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92" i="1" l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<sst xmlns="http://schemas.openxmlformats.org/spreadsheetml/2006/main" count="6062" uniqueCount="3929">
  <si>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</si>
  <si>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</si>
  <si>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</si>
  <si>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</si>
  <si>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ΑΠΟΘΗΚΑΡΙΩΝ - ΔΙΟΙΚΗΣΗΣ ΣΥΣΤΗΜΑΤΩΝ ΕΦΟΔΙΑΣΜΟΥ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</si>
  <si>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</si>
  <si>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</si>
  <si>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</si>
  <si>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</si>
  <si>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</si>
  <si>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</si>
  <si>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</si>
  <si>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</si>
  <si>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ΒΕΖΙΡΤΖΟΓΛΟΥ</t>
  </si>
  <si>
    <t>ΦΑΝΗ</t>
  </si>
  <si>
    <t>ΜΙΧΑΗΛ</t>
  </si>
  <si>
    <t>ΑΕ408201</t>
  </si>
  <si>
    <t>1206-1222-1248-1253-1256-1249-1254-1201-1247-1251</t>
  </si>
  <si>
    <t>ΒΑΤΗΣ</t>
  </si>
  <si>
    <t>ΘΕΟΚΛΗΣ ΑΝΑΣΤΑΣΙΟΣ</t>
  </si>
  <si>
    <t>ΖΑΦΕΙΡΙΟΣ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</si>
  <si>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</si>
  <si>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</si>
  <si>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</si>
  <si>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</si>
  <si>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</si>
  <si>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</si>
  <si>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</si>
  <si>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</si>
  <si>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ΠΕΤΡΟΣ</t>
  </si>
  <si>
    <t>ΑΑ286130</t>
  </si>
  <si>
    <t>1219-1267-1248-1253-1256-1222-1206-1249-1201-1252-1254</t>
  </si>
  <si>
    <t>ΜΠΕΛΤΣΙΟΥ</t>
  </si>
  <si>
    <t>ΧΡΥΣΟΥΛΑ</t>
  </si>
  <si>
    <t>ΓΕΩΡΓΙΟΣ</t>
  </si>
  <si>
    <t>Ρ899348</t>
  </si>
  <si>
    <t>1201-1219-1267-1248-1249-1247-1254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</si>
  <si>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</si>
  <si>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</si>
  <si>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</si>
  <si>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</si>
  <si>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</si>
  <si>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</si>
  <si>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</si>
  <si>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</si>
  <si>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</si>
  <si>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</si>
  <si>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</si>
  <si>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</si>
  <si>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</si>
  <si>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ΠΑΠΠΑ</t>
  </si>
  <si>
    <t>ΑΘΗΝΑ</t>
  </si>
  <si>
    <t>ΑΗ750864</t>
  </si>
  <si>
    <t>1249-1253-1248-1219-1218-1217-1250-1252-1203-1247-1254-1201-1267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</si>
  <si>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</si>
  <si>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</si>
  <si>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</si>
  <si>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</si>
  <si>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</si>
  <si>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</si>
  <si>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</si>
  <si>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</si>
  <si>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</si>
  <si>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</si>
  <si>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</si>
  <si>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</si>
  <si>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</si>
  <si>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</si>
  <si>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</si>
  <si>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</si>
  <si>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</si>
  <si>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</si>
  <si>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</si>
  <si>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</si>
  <si>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</si>
  <si>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</si>
  <si>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</si>
  <si>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</si>
  <si>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</si>
  <si>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</si>
  <si>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</si>
  <si>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ΘΑΝΑΣΑΡΑ</t>
  </si>
  <si>
    <t>ΕΥΑΓΓΕΛΗ</t>
  </si>
  <si>
    <t>ΑΕ796817</t>
  </si>
  <si>
    <t>1201-1254-1249-1253-1206-1250-1248-1247-1255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</si>
  <si>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</si>
  <si>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</si>
  <si>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</si>
  <si>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</si>
  <si>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</si>
  <si>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</si>
  <si>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</si>
  <si>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</si>
  <si>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</si>
  <si>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</si>
  <si>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</si>
  <si>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</si>
  <si>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</si>
  <si>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</si>
  <si>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</si>
  <si>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ΘΕΟΔΩΡΟΣ</t>
  </si>
  <si>
    <t>ΑΒ725681</t>
  </si>
  <si>
    <t>795,3</t>
  </si>
  <si>
    <t>1793,3</t>
  </si>
  <si>
    <t>1201-1202-1206-1205-1254-1255-1253-1249-1247-1248-1250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</si>
  <si>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</si>
  <si>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</si>
  <si>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</si>
  <si>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</si>
  <si>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</si>
  <si>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</si>
  <si>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</si>
  <si>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</si>
  <si>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</si>
  <si>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</si>
  <si>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</si>
  <si>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</si>
  <si>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</si>
  <si>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</si>
  <si>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</si>
  <si>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</si>
  <si>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</si>
  <si>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</si>
  <si>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</si>
  <si>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</si>
  <si>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</si>
  <si>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</si>
  <si>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</si>
  <si>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</si>
  <si>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</si>
  <si>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ΤΣΑΠΡΑΛΗ</t>
  </si>
  <si>
    <t>Ρ893326</t>
  </si>
  <si>
    <t>1203-1201-1254-1256-1267-1248-1223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</si>
  <si>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</si>
  <si>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</si>
  <si>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</si>
  <si>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</si>
  <si>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</si>
  <si>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</si>
  <si>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ΖΩΤΟΥ</t>
  </si>
  <si>
    <t>ΘΕΟΔΩΡΑ</t>
  </si>
  <si>
    <t>ΑΖ746034</t>
  </si>
  <si>
    <t>789,8</t>
  </si>
  <si>
    <t>1757,8</t>
  </si>
  <si>
    <t>1205-1255-1248-1249-1253-1206-1201-1250-1254-1247-1202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</si>
  <si>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</si>
  <si>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</si>
  <si>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</si>
  <si>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</si>
  <si>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ΝΤΑΝΙΚΑΣ</t>
  </si>
  <si>
    <t>ΖΗΣΗΣ</t>
  </si>
  <si>
    <t>Χ413616</t>
  </si>
  <si>
    <t>1203-1201-1247-1248-1250-1254-1253-1255-1205</t>
  </si>
  <si>
    <t>ΚΟΝΤΟΣΤΕΡΓΙΟΥ</t>
  </si>
  <si>
    <t>ΕΛΕΝΗ</t>
  </si>
  <si>
    <t>ΑΒ107727</t>
  </si>
  <si>
    <t>1203-1254-1201-1223-1253-1248-1267-1247-1249-1206-1222-1256-1250-1255-1204-1205-1221-1202-1218</t>
  </si>
  <si>
    <t>ΑΜΕΡΙΚΑΝΗ</t>
  </si>
  <si>
    <t>ΑΙΚΑΤΕΡΙΝΗ</t>
  </si>
  <si>
    <t>ΘΕΟΦΑΝΗΣ</t>
  </si>
  <si>
    <t>ΑΖ227498</t>
  </si>
  <si>
    <t>855,8</t>
  </si>
  <si>
    <t>1743,8</t>
  </si>
  <si>
    <t>1250-1217-1254-1247-1201-1206-1253-1249-1203</t>
  </si>
  <si>
    <t>ΓΚΟΥΓΚΟΥΓΙΑΝΝΗ</t>
  </si>
  <si>
    <t>ΑΙ326658</t>
  </si>
  <si>
    <t>1249-1253-1201-1206-1248-1256-1254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</si>
  <si>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</si>
  <si>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</si>
  <si>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</si>
  <si>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</si>
  <si>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</si>
  <si>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</si>
  <si>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</si>
  <si>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</si>
  <si>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</si>
  <si>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</si>
  <si>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</si>
  <si>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</si>
  <si>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</si>
  <si>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</si>
  <si>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</si>
  <si>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</si>
  <si>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</si>
  <si>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ΧΑΡΑΚΟΠΟΥΛΟΥ</t>
  </si>
  <si>
    <t>ΜΑΡΙΑ</t>
  </si>
  <si>
    <t>ΣΑΒΒΑΣ</t>
  </si>
  <si>
    <t>ΑΖ761430</t>
  </si>
  <si>
    <t>1728,5</t>
  </si>
  <si>
    <t>1203-1201-1219-1248-1247-1249-1206-1254</t>
  </si>
  <si>
    <t>ΓΚΟΥΝΤΡΟΥΜΠΗ</t>
  </si>
  <si>
    <t>Σ923190</t>
  </si>
  <si>
    <t>1249-1201-1267-1248-1254-1206-1256-1253-1250-1247-1205-1255-1202-1221</t>
  </si>
  <si>
    <t>ΠΡΟΔΡΟΜΟΥ</t>
  </si>
  <si>
    <t>ΑΖ829727</t>
  </si>
  <si>
    <t>1253-1267-1248-1249-1250-1247-1201-1202-1205-1206-1254-1255-1223-1203-1221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</si>
  <si>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</si>
  <si>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</si>
  <si>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</si>
  <si>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</si>
  <si>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</si>
  <si>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</si>
  <si>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</si>
  <si>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</si>
  <si>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</si>
  <si>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</si>
  <si>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</si>
  <si>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</si>
  <si>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</si>
  <si>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</si>
  <si>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</si>
  <si>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</si>
  <si>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</si>
  <si>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</si>
  <si>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</si>
  <si>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</si>
  <si>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</si>
  <si>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</si>
  <si>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</si>
  <si>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</si>
  <si>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</si>
  <si>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</si>
  <si>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</si>
  <si>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</si>
  <si>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</si>
  <si>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</si>
  <si>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</si>
  <si>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</si>
  <si>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</si>
  <si>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</si>
  <si>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</si>
  <si>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</si>
  <si>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</si>
  <si>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</si>
  <si>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</si>
  <si>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</si>
  <si>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</si>
  <si>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</si>
  <si>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</si>
  <si>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</si>
  <si>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</si>
  <si>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</si>
  <si>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</si>
  <si>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</si>
  <si>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</si>
  <si>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</si>
  <si>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</si>
  <si>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</si>
  <si>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</si>
  <si>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</si>
  <si>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</si>
  <si>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</si>
  <si>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</si>
  <si>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</si>
  <si>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</si>
  <si>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</si>
  <si>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</si>
  <si>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</si>
  <si>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</si>
  <si>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</si>
  <si>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</si>
  <si>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ΤΣΟΥΚΑΡΕΛΑΣ</t>
  </si>
  <si>
    <t>ΓΡΗΓΟΡΙΟΣ</t>
  </si>
  <si>
    <t>ΑΙ846833</t>
  </si>
  <si>
    <t>830,5</t>
  </si>
  <si>
    <t>1688,5</t>
  </si>
  <si>
    <t>1203-1252-1201-1206-1218-1223-1219-1267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</si>
  <si>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</si>
  <si>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</si>
  <si>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</si>
  <si>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</si>
  <si>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</si>
  <si>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</si>
  <si>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</si>
  <si>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</si>
  <si>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</si>
  <si>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</si>
  <si>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ΖΑΓΚΟΥΜΙΔΟΥ</t>
  </si>
  <si>
    <t>ΣΤΥΛΙΑΝΟΣ</t>
  </si>
  <si>
    <t>ΑΕ679747</t>
  </si>
  <si>
    <t>1201-1202-1205-1206-1217-1219-1247-1248-1249-1250-1251-1254-1253-1255-1256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</si>
  <si>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</si>
  <si>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</si>
  <si>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</si>
  <si>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</si>
  <si>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</si>
  <si>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</si>
  <si>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</si>
  <si>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ΜΥΛΩΝΑΚΗΣ</t>
  </si>
  <si>
    <t>ΧΑΡΑΛΑΜΠΟΣ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</si>
  <si>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</si>
  <si>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</si>
  <si>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</si>
  <si>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</si>
  <si>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</si>
  <si>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</si>
  <si>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</si>
  <si>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</si>
  <si>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</si>
  <si>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</si>
  <si>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</si>
  <si>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</si>
  <si>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</si>
  <si>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</si>
  <si>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</si>
  <si>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</si>
  <si>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</si>
  <si>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</si>
  <si>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</si>
  <si>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</si>
  <si>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</si>
  <si>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</si>
  <si>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</si>
  <si>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</si>
  <si>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</si>
  <si>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</si>
  <si>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</si>
  <si>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</si>
  <si>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</si>
  <si>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ΑΝΑΣΤΑΣΙΟΣ</t>
  </si>
  <si>
    <t>ΑΚ597101</t>
  </si>
  <si>
    <t>764,5</t>
  </si>
  <si>
    <t>1652,5</t>
  </si>
  <si>
    <t>1217-1250-1247-1254-1201-1219-1248-1267-1206-1202-1255-1205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</si>
  <si>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</si>
  <si>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</si>
  <si>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</si>
  <si>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</si>
  <si>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</si>
  <si>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</si>
  <si>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ΑΝΤΩΝΙΟΣ</t>
  </si>
  <si>
    <t>Χ424229</t>
  </si>
  <si>
    <t>1249-1201-1254-1253-1206-1247-1255-1205-1202-1248-1267-1250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</si>
  <si>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</si>
  <si>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</si>
  <si>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</si>
  <si>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</si>
  <si>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</si>
  <si>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</si>
  <si>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</si>
  <si>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</si>
  <si>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</si>
  <si>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</si>
  <si>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</si>
  <si>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</si>
  <si>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</si>
  <si>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</si>
  <si>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</si>
  <si>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</si>
  <si>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ΜΗΛΙΟΥ</t>
  </si>
  <si>
    <t>ΑΜΑΛΙΑ</t>
  </si>
  <si>
    <t>Ρ967307</t>
  </si>
  <si>
    <t>1206-1217-1219-1201-1202-1205-1247-1248-1249-1250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</si>
  <si>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</si>
  <si>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</si>
  <si>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</si>
  <si>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</si>
  <si>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</si>
  <si>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</si>
  <si>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</si>
  <si>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</si>
  <si>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</si>
  <si>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</si>
  <si>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</si>
  <si>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</si>
  <si>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</si>
  <si>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ΚΑΡΑΓΙΑΝΝΙΔΟΥ</t>
  </si>
  <si>
    <t>ΣΜΑΡΩ</t>
  </si>
  <si>
    <t>ΑΖ883092</t>
  </si>
  <si>
    <t>845,9</t>
  </si>
  <si>
    <t>1633,9</t>
  </si>
  <si>
    <t>1206-1219-1267-1248-1253-1256-1217-1250-1247-1249-1251-1255-1205-1202-1201</t>
  </si>
  <si>
    <t>ΚΑΤΕΒΑ</t>
  </si>
  <si>
    <t>ΑΚ430226</t>
  </si>
  <si>
    <t>1631,3</t>
  </si>
  <si>
    <t>1252-1201</t>
  </si>
  <si>
    <t>ΓΕΛΛΑΛΗ</t>
  </si>
  <si>
    <t>ΕΥΘΥΜΙΑ</t>
  </si>
  <si>
    <t>ΑΗ762365</t>
  </si>
  <si>
    <t>1201-1219-1267-1248-1253-1249-1254-1247-1206-1250-1217-1255-1205-1202-1221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</si>
  <si>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</si>
  <si>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</si>
  <si>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</si>
  <si>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</si>
  <si>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</si>
  <si>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</si>
  <si>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</si>
  <si>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</si>
  <si>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</si>
  <si>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</si>
  <si>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</si>
  <si>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ΠΟΙΜΕΝΙΔΟΥ</t>
  </si>
  <si>
    <t>ΑΝΑΣΤΑΣΙΑ</t>
  </si>
  <si>
    <t>ΑΜ366072</t>
  </si>
  <si>
    <t>1252-1201-1267-1219-1248-1256-1254-1253-1247-1255-1250-1249-1205-1202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</si>
  <si>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</si>
  <si>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</si>
  <si>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</si>
  <si>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</si>
  <si>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</si>
  <si>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</si>
  <si>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</si>
  <si>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</si>
  <si>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</si>
  <si>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</si>
  <si>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</si>
  <si>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</si>
  <si>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</si>
  <si>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ΒΑΣΙΛΟΠΟΥΛΟΣ</t>
  </si>
  <si>
    <t>Τ888196</t>
  </si>
  <si>
    <t>1250-1247-1254-1206-1248-1267-1218-1203-1201-1252-1220-1253-1249-1202-1205-1255-1204-1221-1256-1223</t>
  </si>
  <si>
    <t>ΓΟΝΗ</t>
  </si>
  <si>
    <t>ΠΗΝΕΛΟΠΗ</t>
  </si>
  <si>
    <t>Χ985980</t>
  </si>
  <si>
    <t>1254-1201-1267</t>
  </si>
  <si>
    <t>ΣΤΕΡΓΙΟΥ</t>
  </si>
  <si>
    <t>ΑΠΟΣΤΟΛΟΣ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</si>
  <si>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</si>
  <si>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</si>
  <si>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</si>
  <si>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</si>
  <si>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</si>
  <si>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</si>
  <si>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</si>
  <si>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</si>
  <si>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</si>
  <si>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</si>
  <si>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ΚΑΡΑΜΗΤΡΗ</t>
  </si>
  <si>
    <t>Χ220116</t>
  </si>
  <si>
    <t>1201-1202-1203-1204-1205-1206-1217-1218-1219-1221-1222-1223-1247-1248-1249-1250-1251-1253-1254-1255-1256-1267</t>
  </si>
  <si>
    <t>ΒΕΛΑΩΡΑ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</si>
  <si>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</si>
  <si>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</si>
  <si>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</si>
  <si>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</si>
  <si>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</si>
  <si>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ΔΕΣΠΟΙΝΑ</t>
  </si>
  <si>
    <t>ΑΕ662091</t>
  </si>
  <si>
    <t>1249-1267-1248-1253-1256-1206-1201-1254-1247-1250-1255-1205-1202</t>
  </si>
  <si>
    <t>ΜΠΑΓΙΑΣ</t>
  </si>
  <si>
    <t>ΚΑΛΛΙΣΘΕΝΗΣ</t>
  </si>
  <si>
    <t>ΑΖ310962</t>
  </si>
  <si>
    <t>1256-1253-1248-1267-1219-1254-1249-1247-1201-1206-1217-1218-1250</t>
  </si>
  <si>
    <t>ΚΟΡΔΑ</t>
  </si>
  <si>
    <t>Τ265604</t>
  </si>
  <si>
    <t>711,7</t>
  </si>
  <si>
    <t>1589,7</t>
  </si>
  <si>
    <t>1201-1202-1204-1205-1206-1217-1218-1219-1220-1221-1222-1223-1247-1248-1249-1250-1251-1252-1253-1254-1255-1256-1267-1203</t>
  </si>
  <si>
    <t>ΚΩΤΟΥΛΑ</t>
  </si>
  <si>
    <t>ΠΕΡΙΣΤΕΡΑ</t>
  </si>
  <si>
    <t>ΑΙ329070</t>
  </si>
  <si>
    <t>1249-1253-1248-1254-1206-1247-1201-1267-1250-1255-1202</t>
  </si>
  <si>
    <t>ΤΣΑΛΙΚΑΚΗ</t>
  </si>
  <si>
    <t>ΧΡΥΣΟΣΤΟΜΟΣ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</si>
  <si>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</si>
  <si>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</si>
  <si>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</si>
  <si>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</si>
  <si>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</si>
  <si>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ΤΣΙΤΣΙΡΙΔΑΚΗ</t>
  </si>
  <si>
    <t>ΑΙ474834</t>
  </si>
  <si>
    <t>1255-1205-1202-1221-1250-1247-1254-1253-1249-1206-1267-1248-1201</t>
  </si>
  <si>
    <t>ΔΗΜΟΥ</t>
  </si>
  <si>
    <t>ΑΗ271139</t>
  </si>
  <si>
    <t>1581,8</t>
  </si>
  <si>
    <t>1201-1219-1247-1248-1249-1252-1253-1267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</si>
  <si>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</si>
  <si>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</si>
  <si>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</si>
  <si>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</si>
  <si>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</si>
  <si>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ΠΙΤΣΕΛΗ</t>
  </si>
  <si>
    <t>ΑΙ942996</t>
  </si>
  <si>
    <t>1201-1206</t>
  </si>
  <si>
    <t>ΤΣΙΩΡΑΣ</t>
  </si>
  <si>
    <t>ΒΙΚΤΩΡ</t>
  </si>
  <si>
    <t>ΑΒ110930</t>
  </si>
  <si>
    <t>1249-1248-1204-1205-1206-1201-1221-1247-1255</t>
  </si>
  <si>
    <t>ΤΣΙΜΕΡΑΚΗ</t>
  </si>
  <si>
    <t>ΒΑΡΒΑΡΑ</t>
  </si>
  <si>
    <t>ΑΒ098336</t>
  </si>
  <si>
    <t>718,3</t>
  </si>
  <si>
    <t>1576,3</t>
  </si>
  <si>
    <t>1223-1203-1204-1206-1256-1201-1202-1217-1250-1218-1219-1255-1247-1249-1252-1254-1253-1221-1222-1220-1251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</si>
  <si>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</si>
  <si>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</si>
  <si>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</si>
  <si>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</si>
  <si>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</si>
  <si>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</si>
  <si>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</si>
  <si>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</si>
  <si>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</si>
  <si>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</si>
  <si>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</si>
  <si>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ΤΡΥΦΩΝ</t>
  </si>
  <si>
    <t>Χ798165</t>
  </si>
  <si>
    <t>1250-1217-1254-1201-1247-1219-1248-1206-1249-1253-1255</t>
  </si>
  <si>
    <t>ΖΑΒΒΑ</t>
  </si>
  <si>
    <t>ΑΗ678622</t>
  </si>
  <si>
    <t>1267-1219-1248-1220-1222-1203-1252-1201-1247-1250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</si>
  <si>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</si>
  <si>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</si>
  <si>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</si>
  <si>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</si>
  <si>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</si>
  <si>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</si>
  <si>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</si>
  <si>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</si>
  <si>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</si>
  <si>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</si>
  <si>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</si>
  <si>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</si>
  <si>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</si>
  <si>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</si>
  <si>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</si>
  <si>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</si>
  <si>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</si>
  <si>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</si>
  <si>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</si>
  <si>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</si>
  <si>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</si>
  <si>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</si>
  <si>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</si>
  <si>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</si>
  <si>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</si>
  <si>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</si>
  <si>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</si>
  <si>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</si>
  <si>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ΚΑΤΑΚΟΣ</t>
  </si>
  <si>
    <t>ΦΩΤΙΟΣ</t>
  </si>
  <si>
    <t>ΑΜ138244</t>
  </si>
  <si>
    <t>665,5</t>
  </si>
  <si>
    <t>1563,5</t>
  </si>
  <si>
    <t>1201-1219-1248-1267-1249-1217-1250-1247-1253-1254-1256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</si>
  <si>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</si>
  <si>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</si>
  <si>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</si>
  <si>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</si>
  <si>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</si>
  <si>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</si>
  <si>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</si>
  <si>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</si>
  <si>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</si>
  <si>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</si>
  <si>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</si>
  <si>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</si>
  <si>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</si>
  <si>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</si>
  <si>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</si>
  <si>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</si>
  <si>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</si>
  <si>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</si>
  <si>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</si>
  <si>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ΜΙΓΚΟΣ</t>
  </si>
  <si>
    <t>ΑΕ197960</t>
  </si>
  <si>
    <t>1248-1253-1206-1256-1249-1201</t>
  </si>
  <si>
    <t>ΔΡΑΚΟΥ</t>
  </si>
  <si>
    <t>ΑΚ394814</t>
  </si>
  <si>
    <t>905,3</t>
  </si>
  <si>
    <t>1546,3</t>
  </si>
  <si>
    <t>1248-1247-1250-1249-1253-1254-1256-1201-1206-1202-1255</t>
  </si>
  <si>
    <t>ΓΚΟΥΒΑ</t>
  </si>
  <si>
    <t>ΑΒ809435</t>
  </si>
  <si>
    <t>1250-1248-1267-1247-1201-1255-1205-1202-1249-1253-1254-1206</t>
  </si>
  <si>
    <t>ΓΡΗΓΟΡΙΟΥ</t>
  </si>
  <si>
    <t>ΙΩΑΝΝΑ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</si>
  <si>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</si>
  <si>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</si>
  <si>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</si>
  <si>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</si>
  <si>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</si>
  <si>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</si>
  <si>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</si>
  <si>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</si>
  <si>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</si>
  <si>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</si>
  <si>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</si>
  <si>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</si>
  <si>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</si>
  <si>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</si>
  <si>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</si>
  <si>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</si>
  <si>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</si>
  <si>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</si>
  <si>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</si>
  <si>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</si>
  <si>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</si>
  <si>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738,1</t>
  </si>
  <si>
    <t>1536,1</t>
  </si>
  <si>
    <t>1202-1255-1205-1217-1250-1247-1219-1248-1206-1249-1256-1254-1253-1201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</si>
  <si>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</si>
  <si>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</si>
  <si>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</si>
  <si>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</si>
  <si>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</si>
  <si>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</si>
  <si>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</si>
  <si>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</si>
  <si>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</si>
  <si>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</si>
  <si>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</si>
  <si>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</si>
  <si>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</si>
  <si>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</si>
  <si>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</si>
  <si>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</si>
  <si>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</si>
  <si>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</si>
  <si>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</si>
  <si>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</si>
  <si>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</si>
  <si>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</si>
  <si>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</si>
  <si>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</si>
  <si>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</si>
  <si>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</si>
  <si>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</si>
  <si>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</si>
  <si>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</si>
  <si>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</si>
  <si>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</si>
  <si>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</si>
  <si>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</si>
  <si>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ΣΥΜΣΕΡΟΠΟΥΛΟΥ</t>
  </si>
  <si>
    <t>ΕΛΙΣΑΒΕΤ</t>
  </si>
  <si>
    <t>ΑΜ253026</t>
  </si>
  <si>
    <t>772,2</t>
  </si>
  <si>
    <t>1525,2</t>
  </si>
  <si>
    <t>1249-1253-1267-1248-1219-1201-1206-1247-1254-1255</t>
  </si>
  <si>
    <t>ΠΟΝΤΖΟ</t>
  </si>
  <si>
    <t>ΑΝΤΟΝΙΟ</t>
  </si>
  <si>
    <t>Φ158608</t>
  </si>
  <si>
    <t>1219-1267-1248-1253-1256-1206-1249-1201-1254-1247-1217-1250-1205-1202-1221</t>
  </si>
  <si>
    <t>ΣΩΤΗΡΟΠΟΥΛΟΣ</t>
  </si>
  <si>
    <t>ΑΡΓΥΡΙΟΣ</t>
  </si>
  <si>
    <t>ΑΕ418260</t>
  </si>
  <si>
    <t>664,4</t>
  </si>
  <si>
    <t>1522,4</t>
  </si>
  <si>
    <t>1267-1248-1219-1222-1206-1220-1256-1254-1201-1203-1217-1247-1249-1250-1252-1253-1218</t>
  </si>
  <si>
    <t>ΓΟΥΔΑ</t>
  </si>
  <si>
    <t>ΑΙ811379</t>
  </si>
  <si>
    <t>1267-1253-1201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</si>
  <si>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</si>
  <si>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</si>
  <si>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</si>
  <si>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</si>
  <si>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</si>
  <si>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</si>
  <si>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</si>
  <si>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</si>
  <si>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</si>
  <si>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</si>
  <si>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</si>
  <si>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ΣΤΑΘΑΚΗ</t>
  </si>
  <si>
    <t>ΟΛΓΑ ΧΡΙΣΤΙΝΑ</t>
  </si>
  <si>
    <t>ΑΕ807305</t>
  </si>
  <si>
    <t>1201-1202-1206-1217-1219-1247-1248-1249-1250-1253-1254</t>
  </si>
  <si>
    <t>ΤΑΟΥΣΑΚΟΥ</t>
  </si>
  <si>
    <t>ΑΖ598556</t>
  </si>
  <si>
    <t>1517,6</t>
  </si>
  <si>
    <t>1250-1247-1248-1255-1249-1254-1253-1201-1202</t>
  </si>
  <si>
    <t>ΚΩΝΣΤΑΝΤΙΝΙΔΗΣ</t>
  </si>
  <si>
    <t>ΑΗ683466</t>
  </si>
  <si>
    <t>698,5</t>
  </si>
  <si>
    <t>1516,5</t>
  </si>
  <si>
    <t>1248-1206-1202-1201-1255-1254-1253-1250-1247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</si>
  <si>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</si>
  <si>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</si>
  <si>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</si>
  <si>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</si>
  <si>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</si>
  <si>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1515,4</t>
  </si>
  <si>
    <t>1254-1201-1217-1250-1247-1219-1248-1267-1249-1253-1256-1206</t>
  </si>
  <si>
    <t>ΒΑΣΙΛΟΠΟΥΛΟΥ</t>
  </si>
  <si>
    <t>ΑΜ138243</t>
  </si>
  <si>
    <t>656,7</t>
  </si>
  <si>
    <t>1514,7</t>
  </si>
  <si>
    <t>1201-1248-1267-1249-1250-1247-1253-1254-1256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</si>
  <si>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</si>
  <si>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</si>
  <si>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</si>
  <si>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</si>
  <si>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</si>
  <si>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ΚΡΑΝΙΩΤΗ</t>
  </si>
  <si>
    <t>ΚΑΛΛΙΟΠΗ</t>
  </si>
  <si>
    <t>ΑΚ408707</t>
  </si>
  <si>
    <t>1203-1201-1267-1248-1247-1254-1223-1222-1206-1253-1249-1256-1255-1204-1221-1202-1218-1250</t>
  </si>
  <si>
    <t>ΚΥΡΙΑΚΗ</t>
  </si>
  <si>
    <t>ΚΥΡΙΑΚΟΣ</t>
  </si>
  <si>
    <t>ΑΝ769360</t>
  </si>
  <si>
    <t>1206-1205-1255-1267-1219-1248-1249-1250-1202-1201-1217-1253-1254</t>
  </si>
  <si>
    <t>ΒΙΟΛΕΣΤΟΥ</t>
  </si>
  <si>
    <t>KΩΝΣΤΑΝΤΙΝΟΣ</t>
  </si>
  <si>
    <t>ΑΙ151342</t>
  </si>
  <si>
    <t>1201-1206-1247-1248-1249-1250-1253-1254-1256-1267-1203</t>
  </si>
  <si>
    <t>ΔΟΥΛΚΕΡΙΔΗΣ</t>
  </si>
  <si>
    <t>ΑΖ811409</t>
  </si>
  <si>
    <t>1256-1253-1249-1206-1201-1248-1247-1202-1255-1254-1250</t>
  </si>
  <si>
    <t>ΓΕΩΡΓΟΠΟΥΛΟΥ</t>
  </si>
  <si>
    <t>ΔΙΟΝΥΣΙΑ</t>
  </si>
  <si>
    <t>Τ447124</t>
  </si>
  <si>
    <t>841,5</t>
  </si>
  <si>
    <t>1499,5</t>
  </si>
  <si>
    <t>1248-1219-1267-1253-1256-1249-1206-1254-1247-1201-1205-1255-1202-1221-1217-1250</t>
  </si>
  <si>
    <t>ΧΕΛΙΟΥ</t>
  </si>
  <si>
    <t>ΑΓΓΕΛΑ</t>
  </si>
  <si>
    <t>ΑΒ557358</t>
  </si>
  <si>
    <t>1219-1267-1248-1205-1255-1202-1206-1253-1256-1249-1247-1254-1250-1217-1201-1251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</si>
  <si>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</si>
  <si>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</si>
  <si>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</si>
  <si>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</si>
  <si>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</si>
  <si>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</si>
  <si>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</si>
  <si>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</si>
  <si>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735,9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</si>
  <si>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</si>
  <si>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</si>
  <si>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</si>
  <si>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</si>
  <si>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</si>
  <si>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</si>
  <si>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</si>
  <si>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ΜΟΥΣΤΑΚΛΗ</t>
  </si>
  <si>
    <t>ΑΖ380431</t>
  </si>
  <si>
    <t>633,6</t>
  </si>
  <si>
    <t>1491,6</t>
  </si>
  <si>
    <t>1206-1201-1202-1205-1247-1248-1249-1250-1253-1254-1255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</si>
  <si>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</si>
  <si>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</si>
  <si>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</si>
  <si>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</si>
  <si>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</si>
  <si>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</si>
  <si>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</si>
  <si>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</si>
  <si>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</si>
  <si>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</si>
  <si>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</si>
  <si>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</si>
  <si>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</si>
  <si>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</si>
  <si>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</si>
  <si>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</si>
  <si>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</si>
  <si>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</si>
  <si>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</si>
  <si>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</si>
  <si>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</si>
  <si>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</si>
  <si>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</si>
  <si>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</si>
  <si>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</si>
  <si>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</si>
  <si>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ΠΑΠΑΜΑΡΓΑΡΙΤΗ</t>
  </si>
  <si>
    <t>ΠΑΝΑΓΙΩΤΑ</t>
  </si>
  <si>
    <t>Σ461757</t>
  </si>
  <si>
    <t>1201-1254-1248-1247-1253-1206-1249-1250</t>
  </si>
  <si>
    <t>ΚΑΠΡΙΝΗ</t>
  </si>
  <si>
    <t>ΑΝΝΑ</t>
  </si>
  <si>
    <t>ΒΡΑΣΙΔΑΣ</t>
  </si>
  <si>
    <t>ΑΖ295462</t>
  </si>
  <si>
    <t>1249-1253-1206-1248-1267-1201-1203-1254-1202-1255-1205-1204-1221-1247-1250-1218-1220-1256-1222-1223-1252-1219-1217</t>
  </si>
  <si>
    <t>ΔΕΛΛΑ</t>
  </si>
  <si>
    <t>ΑΜ369516</t>
  </si>
  <si>
    <t>959,2</t>
  </si>
  <si>
    <t>1482,2</t>
  </si>
  <si>
    <t>1201-1257-1254-1253</t>
  </si>
  <si>
    <t>ΤΣΑΚΜΑΚΗ</t>
  </si>
  <si>
    <t>ΠΑΡΑΣΚΕΥΗ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</si>
  <si>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</si>
  <si>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</si>
  <si>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</si>
  <si>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</si>
  <si>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</si>
  <si>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</si>
  <si>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</si>
  <si>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</si>
  <si>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</si>
  <si>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ΑΕ401088</t>
  </si>
  <si>
    <t>1206-1267-1253-1249-1201-1254-1247-1202-1205-1255-1250-1248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</si>
  <si>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</si>
  <si>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</si>
  <si>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</si>
  <si>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</si>
  <si>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</si>
  <si>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</si>
  <si>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</si>
  <si>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ΠΑΡΘΕΝΑ</t>
  </si>
  <si>
    <t>Χ458716</t>
  </si>
  <si>
    <t>1218-1248-1267-1203-1249-1253-1250-1247-1254-1206-1201-1256-1222</t>
  </si>
  <si>
    <t>ΑΒ424124</t>
  </si>
  <si>
    <t>918,5</t>
  </si>
  <si>
    <t>1477,5</t>
  </si>
  <si>
    <t>1219-1203-1267-1201-1252-1248-1255</t>
  </si>
  <si>
    <t>ΜΠΟΓΙΑΤΖΗΣ</t>
  </si>
  <si>
    <t>ΑΙ037648</t>
  </si>
  <si>
    <t>1476,4</t>
  </si>
  <si>
    <t>1247-1217-1248-1250-1254-1201-1267-1219-1205-1221-1255-1202-1249-1251-1206-1253-1256</t>
  </si>
  <si>
    <t>ΝΤΕΛΗ</t>
  </si>
  <si>
    <t>ΕΥΑΝΘΙΑ</t>
  </si>
  <si>
    <t>Τ447015</t>
  </si>
  <si>
    <t>1201-1267-1248-1249</t>
  </si>
  <si>
    <t>ΣΙΟΥΛΗ</t>
  </si>
  <si>
    <t>ΑΘΑΝΑΣΙΑ</t>
  </si>
  <si>
    <t>ΧΡΗΣΤΟΥ</t>
  </si>
  <si>
    <t>ΑΗ742861</t>
  </si>
  <si>
    <t>1473,4</t>
  </si>
  <si>
    <t>1201-1249-1253-1203-1248-1267-1250-1222-1254-1206-1204-1205-1255-1256-1223-1221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</si>
  <si>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</si>
  <si>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</si>
  <si>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</si>
  <si>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</si>
  <si>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</si>
  <si>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</si>
  <si>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775,5</t>
  </si>
  <si>
    <t>1472,5</t>
  </si>
  <si>
    <t>1249-1219-1267-1248-1253-1201-1217-1206-1250-1254-1247-1202-1255-1205</t>
  </si>
  <si>
    <t>ΠΕΡΓΑΝΤΗ</t>
  </si>
  <si>
    <t>ΕΥΤΥΧΙΑ</t>
  </si>
  <si>
    <t>ΑΚ787141</t>
  </si>
  <si>
    <t>1472,3</t>
  </si>
  <si>
    <t>1250-1247-1217-1254-1252-1201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</si>
  <si>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</si>
  <si>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</si>
  <si>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</si>
  <si>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</si>
  <si>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</si>
  <si>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ΛΙΤΟΠΟΥΛΟΥ</t>
  </si>
  <si>
    <t>ΑΝ482714</t>
  </si>
  <si>
    <t>1254-1203-1201-1247</t>
  </si>
  <si>
    <t>ΤΣΕΛΑ</t>
  </si>
  <si>
    <t>ΕΥΣΤΡΑΤΙΟΣ</t>
  </si>
  <si>
    <t>ΑΚ950006</t>
  </si>
  <si>
    <t>646,8</t>
  </si>
  <si>
    <t>1464,8</t>
  </si>
  <si>
    <t>1250-1247-1255-1253-1254-1256-1249-1248-1206-1202-1201</t>
  </si>
  <si>
    <t>ΖΗΣΟΠΟΥΛΟΥ</t>
  </si>
  <si>
    <t>ΑΗ495218</t>
  </si>
  <si>
    <t>1463,3</t>
  </si>
  <si>
    <t>1247-1254-1201-1252-1250-1217-1203-1219-1248-1223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</si>
  <si>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</si>
  <si>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</si>
  <si>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</si>
  <si>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</si>
  <si>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</si>
  <si>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</si>
  <si>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ΑΒ669362</t>
  </si>
  <si>
    <t>1251-1255-1206-1201-1202-1249-1253-1205-1252-1254-1250-1247-1248-1219</t>
  </si>
  <si>
    <t>ΣΦΑΚΙΑΝΑΚΗ</t>
  </si>
  <si>
    <t>Σ867893</t>
  </si>
  <si>
    <t>750,2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</si>
  <si>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</si>
  <si>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</si>
  <si>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</si>
  <si>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</si>
  <si>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</si>
  <si>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</si>
  <si>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</si>
  <si>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ΣΚΑΛΑΙΟΥ</t>
  </si>
  <si>
    <t>Χ938132</t>
  </si>
  <si>
    <t>1201-1202-1205-1206-1247-1248-1249-1250-1253-1254-1255-1267</t>
  </si>
  <si>
    <t>ΜΕΡΛΕΜΗ</t>
  </si>
  <si>
    <t>Π906263</t>
  </si>
  <si>
    <t>1201-1254-1253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</si>
  <si>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</si>
  <si>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</si>
  <si>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</si>
  <si>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</si>
  <si>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</si>
  <si>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</si>
  <si>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</si>
  <si>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</si>
  <si>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</si>
  <si>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</si>
  <si>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</si>
  <si>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ΛΟΥΤΣΟΥ</t>
  </si>
  <si>
    <t>ΜΑΡΙΑΝΝΑ</t>
  </si>
  <si>
    <t>ΑΕ757567</t>
  </si>
  <si>
    <t>1219-1248-1247-1249-1253-1254-1255-1217-1201-1202-1203-1204-1205-1206-1221-1250-1218-1222-1223-1251-1256</t>
  </si>
  <si>
    <t>ΤΣΟΥΚΑΛΑ</t>
  </si>
  <si>
    <t>ΣΤΥΛΙΑΝΗ</t>
  </si>
  <si>
    <t>ΑΙ718945</t>
  </si>
  <si>
    <t>762,3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</si>
  <si>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</si>
  <si>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</si>
  <si>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</si>
  <si>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</si>
  <si>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</si>
  <si>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</si>
  <si>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</si>
  <si>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</si>
  <si>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ΑΙ329952</t>
  </si>
  <si>
    <t>761,2</t>
  </si>
  <si>
    <t>1449,2</t>
  </si>
  <si>
    <t>1201-1202-1203-1204-1205-1206-1217-1218-1219-1220-1221-1222-1223-1247-1248-1249-1250-1251-1252-1253-1254-1255-1256</t>
  </si>
  <si>
    <t>ΝΙΚΟΛΙΤΣΑ</t>
  </si>
  <si>
    <t>ΑΙ137600</t>
  </si>
  <si>
    <t>1447,4</t>
  </si>
  <si>
    <t>1250-1253-1249-1254-1206-1205-1255-1202-1201-1222</t>
  </si>
  <si>
    <t>ΣΙΑΚΑΒΑΡΑ</t>
  </si>
  <si>
    <t>Π986543</t>
  </si>
  <si>
    <t>1201-1249-1252-1247</t>
  </si>
  <si>
    <t>ΚΑΛΟΥΣΗ</t>
  </si>
  <si>
    <t>ΣΤΑΜΑΤΙΑ</t>
  </si>
  <si>
    <t>ΑΖ381830</t>
  </si>
  <si>
    <t>1206-1248-1219-1253-1249-1201-1205-1254-1247-1250-1202-1255</t>
  </si>
  <si>
    <t>ΣΑΠΑΛΙΔΟΥ</t>
  </si>
  <si>
    <t>ΑΙ323035</t>
  </si>
  <si>
    <t>1441,5</t>
  </si>
  <si>
    <t>1248-1267-1206-1249-1253-1256-1201-1254-1247-1250-1221-1255-1203-1218</t>
  </si>
  <si>
    <t>ΒΑΣΙΛΕΙΟΥ</t>
  </si>
  <si>
    <t>Χ781546</t>
  </si>
  <si>
    <t>1250-1254-1247-1201-1248-1249-1253-1206-1221-1202-1205-1255-1222-1256-1203-1252-1223-1204</t>
  </si>
  <si>
    <t>ΑΝΤΩΝΙΑ</t>
  </si>
  <si>
    <t>ΑΗ 883826</t>
  </si>
  <si>
    <t>1437,4</t>
  </si>
  <si>
    <t>1206-1201-1205-1202-1247-1255-1253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</si>
  <si>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</si>
  <si>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</si>
  <si>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</si>
  <si>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</si>
  <si>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ΚΑΤΣΑΝΕΒΑΚΗ</t>
  </si>
  <si>
    <t>ΑΕ599678</t>
  </si>
  <si>
    <t>1217-1250-1254-1247-1205-1255-1204-1202-1203-1219-1248-1267-1221-1218-1201-1222-1206-1249-1253-1256-1251-1223</t>
  </si>
  <si>
    <t>ΜΠΑΧΤΣΕΣ</t>
  </si>
  <si>
    <t>ΑΙ869252</t>
  </si>
  <si>
    <t>816,2</t>
  </si>
  <si>
    <t>1434,2</t>
  </si>
  <si>
    <t>1249-1253-1206-1201-1254-1267-1248-1247-1250-1205-1202-1221-1255</t>
  </si>
  <si>
    <t>ΤΣΙΑΝΑΚΑ</t>
  </si>
  <si>
    <t>Σ892192</t>
  </si>
  <si>
    <t>1201-1252</t>
  </si>
  <si>
    <t>ΧΑΤΖΗΔΑΚΗ</t>
  </si>
  <si>
    <t>ΑΡΙΣΤΟΤΕΛΗΣ</t>
  </si>
  <si>
    <t>ΑΙ371790</t>
  </si>
  <si>
    <t>1248-1267-1206-1253-1201-1249-1250-1254-1247-1202-1255-1205</t>
  </si>
  <si>
    <t>ΚΑΡΑΓΙΑΝΝΙΔΗ</t>
  </si>
  <si>
    <t>ΑΗ238727</t>
  </si>
  <si>
    <t>873,4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</si>
  <si>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</si>
  <si>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</si>
  <si>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</si>
  <si>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</si>
  <si>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</si>
  <si>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</si>
  <si>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</si>
  <si>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ΚΑΡΑΓΙΑΝΝΗ</t>
  </si>
  <si>
    <t>Φ339323</t>
  </si>
  <si>
    <t>707,3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</si>
  <si>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</si>
  <si>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</si>
  <si>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</si>
  <si>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</si>
  <si>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</si>
  <si>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</si>
  <si>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</si>
  <si>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ΣΕΠΕΤΗ</t>
  </si>
  <si>
    <t>ΑΚ205338</t>
  </si>
  <si>
    <t>812,9</t>
  </si>
  <si>
    <t>1425,9</t>
  </si>
  <si>
    <t>1247-1248-1219-1254-1201-1206-1253-1250-1217-1218-1249-1204-1205-1255-1202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</si>
  <si>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</si>
  <si>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</si>
  <si>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</si>
  <si>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</si>
  <si>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</si>
  <si>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</si>
  <si>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</si>
  <si>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</si>
  <si>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</si>
  <si>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</si>
  <si>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</si>
  <si>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</si>
  <si>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</si>
  <si>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</si>
  <si>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</si>
  <si>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</si>
  <si>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</si>
  <si>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</si>
  <si>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</si>
  <si>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</si>
  <si>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</si>
  <si>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</si>
  <si>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</si>
  <si>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</si>
  <si>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</si>
  <si>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</si>
  <si>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</si>
  <si>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</si>
  <si>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ΤΣΑΦΑ</t>
  </si>
  <si>
    <t>ΘΩΜΑΗ</t>
  </si>
  <si>
    <t>ΑΖ378435</t>
  </si>
  <si>
    <t>801,9</t>
  </si>
  <si>
    <t>1419,9</t>
  </si>
  <si>
    <t>1201-1203-1206-1217-1219-1223-1247-1248-1249-1250-1252-1253-1254</t>
  </si>
  <si>
    <t>ΙΟΡΔΑΝΑ</t>
  </si>
  <si>
    <t>Χ951184</t>
  </si>
  <si>
    <t>863,5</t>
  </si>
  <si>
    <t>1419,5</t>
  </si>
  <si>
    <t>1253-1256-1219-1248-1206-1249-1201-1254-1250-1217-1247-1255-1205-1202-1267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</si>
  <si>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</si>
  <si>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</si>
  <si>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</si>
  <si>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</si>
  <si>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</si>
  <si>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</si>
  <si>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ΦΩΤΙΑΔΟΥ</t>
  </si>
  <si>
    <t>ΑΗ950788</t>
  </si>
  <si>
    <t>1248-1253-1206-1249-1201-1254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</si>
  <si>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</si>
  <si>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</si>
  <si>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</si>
  <si>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</si>
  <si>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</si>
  <si>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</si>
  <si>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</si>
  <si>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</si>
  <si>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</si>
  <si>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</si>
  <si>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</si>
  <si>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ΚΑΤΣΑΝΤΩΝΗ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</si>
  <si>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</si>
  <si>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</si>
  <si>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</si>
  <si>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</si>
  <si>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</si>
  <si>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ΜΠΟΓΙΑΤΖΗ</t>
  </si>
  <si>
    <t>ΑΝΝΟΥΛΑ</t>
  </si>
  <si>
    <t>ΑΕ925875</t>
  </si>
  <si>
    <t>1206-1253-1249-1267-1248-1201-1254-1247-1205-1255-1202-1250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</si>
  <si>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</si>
  <si>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</si>
  <si>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</si>
  <si>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</si>
  <si>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</si>
  <si>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</si>
  <si>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</si>
  <si>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</si>
  <si>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</si>
  <si>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</si>
  <si>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</si>
  <si>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</si>
  <si>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</si>
  <si>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</si>
  <si>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</si>
  <si>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</si>
  <si>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</si>
  <si>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</si>
  <si>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</si>
  <si>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ΣΕΛΙΜΑ</t>
  </si>
  <si>
    <t>Ρ775333</t>
  </si>
  <si>
    <t>1218-1250-1217-1254-1247-1248-1267-1201-1203-1206-1253-1249-1256-1255-1202</t>
  </si>
  <si>
    <t>ΤΟΥΡΤΟΥΝΗ</t>
  </si>
  <si>
    <t>Φ474451</t>
  </si>
  <si>
    <t>1408,9</t>
  </si>
  <si>
    <t>1203-1201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</si>
  <si>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</si>
  <si>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</si>
  <si>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</si>
  <si>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</si>
  <si>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</si>
  <si>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</si>
  <si>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</si>
  <si>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ΒΑΛΑΒΑΝΗ</t>
  </si>
  <si>
    <t>ΑΚ968497</t>
  </si>
  <si>
    <t>1252-1203-1201-1219-1267-1254-1253-1249-1220-1256-1248-1222-1223-1206-1204-1205-1255-1202-1221-1247-1218-1217-1250-1251</t>
  </si>
  <si>
    <t>ΠΑΠΑΓΕΩΡΓΙΟΥ</t>
  </si>
  <si>
    <t>ΓΙΟΛΑΝΤΑ</t>
  </si>
  <si>
    <t>ΑΙ331262</t>
  </si>
  <si>
    <t>786,5</t>
  </si>
  <si>
    <t>1404,5</t>
  </si>
  <si>
    <t>1249-1219-1248-1267-1201-1253-1206-1222-1203-1217-1250-1254-1218-1247-1204-1205-1255-1202-1221-1223-1251</t>
  </si>
  <si>
    <t>ΣΑΚΚΕΤΟΥ</t>
  </si>
  <si>
    <t>Π273339</t>
  </si>
  <si>
    <t>655,6</t>
  </si>
  <si>
    <t>1403,6</t>
  </si>
  <si>
    <t>1247-1250-1254-1248-1201-1206-1255-1202-1205-1249-1253-1256-1221</t>
  </si>
  <si>
    <t>ΣΑΒΒΙΔΟΥ</t>
  </si>
  <si>
    <t>Τ373816</t>
  </si>
  <si>
    <t>1400,8</t>
  </si>
  <si>
    <t>1249-1253-1267-1248-1201-1206-1254-1247-1250-1205-1255-1202</t>
  </si>
  <si>
    <t>ΚΑΛΚΑΒΟΥΡΑ</t>
  </si>
  <si>
    <t>ΑΝ275255</t>
  </si>
  <si>
    <t>1400,1</t>
  </si>
  <si>
    <t>1248-1205-1255-1202-1201-1254-1206-1247-1250-1253-1249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</si>
  <si>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</si>
  <si>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</si>
  <si>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</si>
  <si>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</si>
  <si>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</si>
  <si>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</si>
  <si>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</si>
  <si>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</si>
  <si>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</si>
  <si>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ΓΕΩΡΓΟΠΟΥΛΟΣ</t>
  </si>
  <si>
    <t>ΑΓΓΕΛΟΣ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</si>
  <si>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</si>
  <si>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</si>
  <si>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</si>
  <si>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</si>
  <si>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</si>
  <si>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</si>
  <si>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</si>
  <si>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</si>
  <si>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</si>
  <si>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</si>
  <si>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</si>
  <si>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</si>
  <si>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ΜΠΑΚΕΑ</t>
  </si>
  <si>
    <t>ΑΕ580621</t>
  </si>
  <si>
    <t>675,4</t>
  </si>
  <si>
    <t>1393,4</t>
  </si>
  <si>
    <t>1217-1250-1247-1254-1201-1218-1249-1219-1267-1220-1222-1206-1204-1205-1221-1202-1223-1251</t>
  </si>
  <si>
    <t>ΒΡΑΚΑ</t>
  </si>
  <si>
    <t>ΧΑΡΙΤΩΜΕΝΗ</t>
  </si>
  <si>
    <t>ΑΖ744794</t>
  </si>
  <si>
    <t>1392,8</t>
  </si>
  <si>
    <t>1219-1248-1206-1201-1254-1249-1250-1217-1247-1253-1255-1205-1202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</si>
  <si>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</si>
  <si>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</si>
  <si>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</si>
  <si>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</si>
  <si>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</si>
  <si>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</si>
  <si>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</si>
  <si>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</si>
  <si>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</si>
  <si>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</si>
  <si>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ΠΟΛΥΖΟΣ</t>
  </si>
  <si>
    <t>Ρ235748</t>
  </si>
  <si>
    <t>1201-1202-1206-1247-1248-1249-1250-1253-1255-1254</t>
  </si>
  <si>
    <t>ΣΕΜΠΡΟΥ</t>
  </si>
  <si>
    <t>ΑΖ767239</t>
  </si>
  <si>
    <t>1201-1247-1218-1254-1250-1217-1203-1219-1248-1223</t>
  </si>
  <si>
    <t>ΚΩΤΣΙΟΥ</t>
  </si>
  <si>
    <t>ΑΗ803748</t>
  </si>
  <si>
    <t>1201-1202-1205-1206-1248-1249-1250-1253-1254-1255-1267</t>
  </si>
  <si>
    <t>ΤΖΗΚΑΛΙΟΥ</t>
  </si>
  <si>
    <t>ΑΙ333904</t>
  </si>
  <si>
    <t>1249-1203-1252-1253-1201-1206-1204-1267-1248-1205-1255-1247-1254-1221-1202-1218-1250</t>
  </si>
  <si>
    <t>ΤΣΙΟΒΟΛΟΣ</t>
  </si>
  <si>
    <t>ΑΕ801696</t>
  </si>
  <si>
    <t>ΓΙΑΛΑΜΑΣ</t>
  </si>
  <si>
    <t>ΑΗ773994</t>
  </si>
  <si>
    <t>768,9</t>
  </si>
  <si>
    <t>1386,9</t>
  </si>
  <si>
    <t>1248-1267-1201-1254-1247-1206</t>
  </si>
  <si>
    <t>ΜΑΝΔΑΛΗΣ</t>
  </si>
  <si>
    <t>Χ447850</t>
  </si>
  <si>
    <t>767,8</t>
  </si>
  <si>
    <t>1385,8</t>
  </si>
  <si>
    <t>1217-1218-1219-1220-1221-1222-1223-1201-1202-1203-1204-1205-1206-1267</t>
  </si>
  <si>
    <t>ΡΑΠΤΗ</t>
  </si>
  <si>
    <t>Φ057135</t>
  </si>
  <si>
    <t>695,2</t>
  </si>
  <si>
    <t>1383,2</t>
  </si>
  <si>
    <t>ΚΛΗΜΗ</t>
  </si>
  <si>
    <t>ΑΖ935930</t>
  </si>
  <si>
    <t>1382,5</t>
  </si>
  <si>
    <t>1248-1250-1206-1247-1249-1202-1253-1254-1201-1205</t>
  </si>
  <si>
    <t>ΚΑΡΑΜΑΝΙΔΟΥ</t>
  </si>
  <si>
    <t>ΦΙΛΙΠΠΟΣ</t>
  </si>
  <si>
    <t>ΑΗ329380</t>
  </si>
  <si>
    <t>1253-1248-1249-1206-1247-1250-1201-1202-1255-1256-1267-1254</t>
  </si>
  <si>
    <t>ΚΑΡΑΓΕΩΡΓΙΟΥ</t>
  </si>
  <si>
    <t>ΑΙ523749</t>
  </si>
  <si>
    <t>1247-1202-1205-1255-1221-1267-1201</t>
  </si>
  <si>
    <t>ΚΑΤΣΑΡΑ</t>
  </si>
  <si>
    <t>ΑΜ844685</t>
  </si>
  <si>
    <t>861,3</t>
  </si>
  <si>
    <t>1381,3</t>
  </si>
  <si>
    <t>1201-1247-1248-1267-1256-1249-1253-1206-1254-1250-1255-1202</t>
  </si>
  <si>
    <t>ΤΣΑΤΣΑΚΗΣ</t>
  </si>
  <si>
    <t>ΖΑΧΑΡΙΑΣ</t>
  </si>
  <si>
    <t>Σ869947</t>
  </si>
  <si>
    <t>702,9</t>
  </si>
  <si>
    <t>1380,9</t>
  </si>
  <si>
    <t>1202-1201-1205-1206-1247-1248-1249-1250-1253-1254-1255-1267</t>
  </si>
  <si>
    <t>ΜΕΛΙΣΣΑΡΟΠΟΥΛΟΥ</t>
  </si>
  <si>
    <t>ΕΥΓΕΝΙΑ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</si>
  <si>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</si>
  <si>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</si>
  <si>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</si>
  <si>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</si>
  <si>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</si>
  <si>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</si>
  <si>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ΓΙΑΒΡΟΥΤΑ</t>
  </si>
  <si>
    <t>Χ374629</t>
  </si>
  <si>
    <t>1379,2</t>
  </si>
  <si>
    <t>1201-1248-1247-1202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</si>
  <si>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</si>
  <si>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</si>
  <si>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</si>
  <si>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</si>
  <si>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</si>
  <si>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</si>
  <si>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</si>
  <si>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</si>
  <si>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</si>
  <si>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</si>
  <si>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</si>
  <si>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ΚΑΡΑΜΗΤΣΙΟΥ</t>
  </si>
  <si>
    <t>ΑΒ835534</t>
  </si>
  <si>
    <t>1203-1252-1201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</si>
  <si>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</si>
  <si>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</si>
  <si>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</si>
  <si>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</si>
  <si>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</si>
  <si>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ΣΟΥΦΛΕΡΟΥ</t>
  </si>
  <si>
    <t>ΑΗ475707</t>
  </si>
  <si>
    <t>1254-1201-1248-1247-1255-1206-1250</t>
  </si>
  <si>
    <t>ΛΑΜΠΑΔΑΡΗ</t>
  </si>
  <si>
    <t>ΑΗ779323</t>
  </si>
  <si>
    <t>1201-1203-1223-1252</t>
  </si>
  <si>
    <t>ΤΑΓΙΑΝΟΓΛΟΥ</t>
  </si>
  <si>
    <t>ΑΕ126156</t>
  </si>
  <si>
    <t>1249-1201-1202-1204-1205-1206-1217-1218-1219-1221-1247-1248-1250-1252-1253-1254-1255</t>
  </si>
  <si>
    <t>ΣΤΑΜΑΤΟΠΟΥΛΟΥ</t>
  </si>
  <si>
    <t>Χ307005</t>
  </si>
  <si>
    <t>1250-1247-1267-1248-1201-1255-1202-1206</t>
  </si>
  <si>
    <t>ΤΑΣΙΟΥΔΗ</t>
  </si>
  <si>
    <t>ΧΡΥΣΗ</t>
  </si>
  <si>
    <t>ΑΕ893272</t>
  </si>
  <si>
    <t>1206-1267-1219-1248-1247-1249-1250-1253-1254-1255-1202-1201-1205-1217-1221-1204-1203-1218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</si>
  <si>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</si>
  <si>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</si>
  <si>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</si>
  <si>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</si>
  <si>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</si>
  <si>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</si>
  <si>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ΧΑΡΙΛΑΟΣ</t>
  </si>
  <si>
    <t>Χ689772</t>
  </si>
  <si>
    <t>1217-1255-1202-1205-1250-1254-1219-1248-1206-1201-1249-1253-1247</t>
  </si>
  <si>
    <t>ΦΛΕΓΚΑ</t>
  </si>
  <si>
    <t>Φ336472</t>
  </si>
  <si>
    <t>1371,6</t>
  </si>
  <si>
    <t>1254-1247-1201-1217-1248-1250-1219</t>
  </si>
  <si>
    <t>ΖΙΑΚΑ</t>
  </si>
  <si>
    <t>ΑΕ859121</t>
  </si>
  <si>
    <t>1222-1221-1217-1218-1204-1202-1205-1255-1201-1206-1219-1248-1267-1247-1249-1250-1253-1254-1251-1256</t>
  </si>
  <si>
    <t>ΚΟΚΚΙΝΟΥ</t>
  </si>
  <si>
    <t>ΑΝ920946</t>
  </si>
  <si>
    <t>1202-1221-1255-1205-1267-1206-1201-1222-1254-1249-1250-1253</t>
  </si>
  <si>
    <t>ΤΣΑΝΤΟΥΛΑΣ</t>
  </si>
  <si>
    <t>ΑΒ549072</t>
  </si>
  <si>
    <t>1248-1247-1250-1267-1201-1206-1249-1253-1254-1202-1205-1255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</si>
  <si>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</si>
  <si>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</si>
  <si>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</si>
  <si>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</si>
  <si>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</si>
  <si>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ΚΑΡΑΤΑΡΑΚΗ</t>
  </si>
  <si>
    <t>ΑΗ969470</t>
  </si>
  <si>
    <t>1202-1221-1204-1255-1201-1247-1248-1249-1250-1253-1254-1256</t>
  </si>
  <si>
    <t>ΙΟΥΛΙΟΣ-ΠΑΝΑΓΙΩΤΗΣ-ΚΑΡΛΟ</t>
  </si>
  <si>
    <t>ΑΚ016231</t>
  </si>
  <si>
    <t>766,7</t>
  </si>
  <si>
    <t>1362,7</t>
  </si>
  <si>
    <t>1247-1250-1201-1253-1254</t>
  </si>
  <si>
    <t>ΖΑΦΕΙΡΑΚΗ</t>
  </si>
  <si>
    <t>ΑΡΓΥΡΗ</t>
  </si>
  <si>
    <t>ΑΗ353948</t>
  </si>
  <si>
    <t>700,7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</si>
  <si>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</si>
  <si>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</si>
  <si>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</si>
  <si>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</si>
  <si>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</si>
  <si>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740,3</t>
  </si>
  <si>
    <t>1358,3</t>
  </si>
  <si>
    <t>1256-1253-1248-1249-1252-1206-1247-1254-1250-1201-1255-1202-1204-1205-1218-1221-1220-1223</t>
  </si>
  <si>
    <t>ΣΤΑΜΚΟΣ</t>
  </si>
  <si>
    <t>Χ389594</t>
  </si>
  <si>
    <t>1356,4</t>
  </si>
  <si>
    <t>1219-1248-1253-1267-1201-1249-1206-1247-1254-1256-1217-1250</t>
  </si>
  <si>
    <t>ΔΑΜΙΑΝΙΔΟΥ</t>
  </si>
  <si>
    <t>ΑΚ302620</t>
  </si>
  <si>
    <t>1253-1267-1248-1206-1249-1201-1254-1202-1255</t>
  </si>
  <si>
    <t>ΣΠΥΡΙΔΟΠΟΥΛΟΥ</t>
  </si>
  <si>
    <t>ΑΖ294939</t>
  </si>
  <si>
    <t>1249-1248-1267-1253-1206-1247-1250-1254-1201-1202-1205-1221-1255</t>
  </si>
  <si>
    <t>ΑΝΑΣΤΑΣΙΟΥ</t>
  </si>
  <si>
    <t>ΑΕ330722</t>
  </si>
  <si>
    <t>1201-1203-1252</t>
  </si>
  <si>
    <t>ΝΤΕΡΚΟΣ</t>
  </si>
  <si>
    <t>Ρ393327</t>
  </si>
  <si>
    <t>1201-1248-1249-1253-1254-1256-1202-1205-1255-1206-1247-1250</t>
  </si>
  <si>
    <t>ΜΠΕΛΛΟΣ</t>
  </si>
  <si>
    <t>Σ443456</t>
  </si>
  <si>
    <t>1221-1204-1205-1255-1202-1249-1250-1253-1256-1252-1254-1201-1203-1206-1218-1247-1248-1267-1223-1222</t>
  </si>
  <si>
    <t>ΓΚΡΙΤΣΑ</t>
  </si>
  <si>
    <t>Χ120135</t>
  </si>
  <si>
    <t>1354,7</t>
  </si>
  <si>
    <t>1250-1217-1247-1204-1205-1255-1221-1202-1248-1219-1267-1223-1201-1206-1254-1251-1249-1253-1256-1222-1218-1220-1203</t>
  </si>
  <si>
    <t>ΚΑΛΟΓΗΡΟΥ</t>
  </si>
  <si>
    <t>Χ846431</t>
  </si>
  <si>
    <t>1253-1249-1267-1248-1206-1201-1254-1247-1217-1250-1255</t>
  </si>
  <si>
    <t>ΟΙΚΟΝΟΜΟΥ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</si>
  <si>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</si>
  <si>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</si>
  <si>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</si>
  <si>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</si>
  <si>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</si>
  <si>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</si>
  <si>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ΑΛΕΞΙΟΥ</t>
  </si>
  <si>
    <t>ΑΗ272865</t>
  </si>
  <si>
    <t>800,8</t>
  </si>
  <si>
    <t>1351,8</t>
  </si>
  <si>
    <t>1201-1254-1249-1248-1253-1206</t>
  </si>
  <si>
    <t>ΓΙΩΒΑΝΝΗ</t>
  </si>
  <si>
    <t>ΣΩΣΣΑΝΑ</t>
  </si>
  <si>
    <t>ΑΚ904036</t>
  </si>
  <si>
    <t>1351,7</t>
  </si>
  <si>
    <t>1201-1202-1205-1206-1221-1247-1248-1249-1250-1253-1254-1255-1256</t>
  </si>
  <si>
    <t>ΚΑΡΑΔΗΜΑ</t>
  </si>
  <si>
    <t>ΑΝ486679</t>
  </si>
  <si>
    <t>1254-1252-1201-1247-1250-1218-1220</t>
  </si>
  <si>
    <t>ΚΑΡΑΘΟΔΩΡΟΥ</t>
  </si>
  <si>
    <t>ΚΛΕΟΠΑΤΡΑ</t>
  </si>
  <si>
    <t>ΑΕ174573</t>
  </si>
  <si>
    <t>1219-1248-1253-1206-1204-1201-1254-1221-1255-1205-1202-1247-1250-1217</t>
  </si>
  <si>
    <t>ΚΟΝΤΟΓΙΑΝΝΗ</t>
  </si>
  <si>
    <t>Χ915373</t>
  </si>
  <si>
    <t>1249-1203-1201-1252</t>
  </si>
  <si>
    <t>ΣΑΚΕΛΛΑΡΗΣ</t>
  </si>
  <si>
    <t>ΑΝ265879</t>
  </si>
  <si>
    <t>652,3</t>
  </si>
  <si>
    <t>1350,3</t>
  </si>
  <si>
    <t>1248-1247-1249-1250-1253-1254-1255-1256-1202-1205-1206-1201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</si>
  <si>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</si>
  <si>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</si>
  <si>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</si>
  <si>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</si>
  <si>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</si>
  <si>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</si>
  <si>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</si>
  <si>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1348,5</t>
  </si>
  <si>
    <t>1256-1253-1219-1248-1206-1267-1202-1205-1255-1254-1249-1247-1251-1201-1218-1217-1250-1221-1223</t>
  </si>
  <si>
    <t>ΚΟΛΟΡΙΔΑ</t>
  </si>
  <si>
    <t>ΑΒ843980</t>
  </si>
  <si>
    <t>1347,6</t>
  </si>
  <si>
    <t>1201-1202-1205-1206-1219-1247-1248-1249-1233-1250-1255-1253-1257-1254-1267-1251-1256</t>
  </si>
  <si>
    <t>ΞΟΥΛΕΗ</t>
  </si>
  <si>
    <t>ΑΓΓΕΛΙΚΗ ΒΑΛΕΡΙΑ</t>
  </si>
  <si>
    <t>Σ524805</t>
  </si>
  <si>
    <t>1347,3</t>
  </si>
  <si>
    <t>1223-1218-1203-1201-1254-1250-1247-1204-1205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</si>
  <si>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</si>
  <si>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</si>
  <si>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</si>
  <si>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</si>
  <si>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</si>
  <si>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</si>
  <si>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728,2</t>
  </si>
  <si>
    <t>1267-1248-1204-1205-1202-1221-1255-1249-1253-1247-1218-1203-1250-1254-1206-1201-1223-1256</t>
  </si>
  <si>
    <t>ΒΑΤΙΔΟΥ</t>
  </si>
  <si>
    <t>ΑΚ267760</t>
  </si>
  <si>
    <t>1248-1267-1253-1206-1204-1205-1255-1247-1202-1221-1223-1256-1203-1249-1254-1222-1201-1250-1218</t>
  </si>
  <si>
    <t>ΠΙΠΙΛΑΚΙΔΗΣ</t>
  </si>
  <si>
    <t>Ξ514596</t>
  </si>
  <si>
    <t>1204-1205-1202-1206-1217-1221-1223-1248-1247-1255-1256-1218-1249-1250-1251-1253-1254-1201</t>
  </si>
  <si>
    <t>ΝΤΟΥΛΙΑ</t>
  </si>
  <si>
    <t>ΣΩΚΡΑΤΗΣ</t>
  </si>
  <si>
    <t>ΑΖ720290</t>
  </si>
  <si>
    <t>1218-1221-1205-1206-1201-1204</t>
  </si>
  <si>
    <t>ΓΚΟΓΚΟΥ</t>
  </si>
  <si>
    <t>ΑΖ514777</t>
  </si>
  <si>
    <t>1250-1247-1254-1248-1267-1203-1252-1201-1253-1249-1206-1255-1204-1205-1221-1202-1218</t>
  </si>
  <si>
    <t>ΤΣΙΓΚΑ</t>
  </si>
  <si>
    <t>ΑΗ273791</t>
  </si>
  <si>
    <t>1201-1202-1205-1206-1247-1248-1249-1250-1253-1254-1255-1267-1221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</si>
  <si>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</si>
  <si>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</si>
  <si>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</si>
  <si>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</si>
  <si>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</si>
  <si>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</si>
  <si>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ΣΑΙΤΑ</t>
  </si>
  <si>
    <t>ΔΙΟΝΥΣΙΟΣ</t>
  </si>
  <si>
    <t>ΑΜ481404</t>
  </si>
  <si>
    <t>1255-1206-1205-1202-1254-1253-1250-1249-1247-1248-1267-1201</t>
  </si>
  <si>
    <t>ΦΡΑΓΚΟΓΙΑΝΝΗ</t>
  </si>
  <si>
    <t>Χ276233</t>
  </si>
  <si>
    <t>755,7</t>
  </si>
  <si>
    <t>1343,7</t>
  </si>
  <si>
    <t>1221-1217-1218-1204-1205-1206-1202-1201-1219-1203-1223-1249-1250-1251-1253-1254-1255-1256-1247-1267</t>
  </si>
  <si>
    <t>ΓΙΩΤΑ</t>
  </si>
  <si>
    <t>ΒΟΥΖΙΑΝΑ</t>
  </si>
  <si>
    <t>ΑΖ294385</t>
  </si>
  <si>
    <t>732,6</t>
  </si>
  <si>
    <t>1342,6</t>
  </si>
  <si>
    <t>1249-1253-1256-1252-1219-1248-1206-1247-1201-1254-1217-1250-1205-1255-1221-1202</t>
  </si>
  <si>
    <t>ΛΑΦΑΖΑΝΗ</t>
  </si>
  <si>
    <t>ΑΙ295089</t>
  </si>
  <si>
    <t>1341,8</t>
  </si>
  <si>
    <t>1201-1252-1203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</si>
  <si>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</si>
  <si>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</si>
  <si>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</si>
  <si>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</si>
  <si>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</si>
  <si>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</si>
  <si>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</si>
  <si>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</si>
  <si>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</si>
  <si>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713,9</t>
  </si>
  <si>
    <t>1340,9</t>
  </si>
  <si>
    <t>1206-1219-1248-1201-1253-1254-1247-1249-1250-1217-1255-1202-1205</t>
  </si>
  <si>
    <t>ΠΑΠΑ</t>
  </si>
  <si>
    <t>ΑΗ812519</t>
  </si>
  <si>
    <t>722,7</t>
  </si>
  <si>
    <t>1340,7</t>
  </si>
  <si>
    <t>1253-1206-1248-1247-1249-1201-1250-1254-1256-1202-1205-1255</t>
  </si>
  <si>
    <t>ΣΟΥΛΕΛΕ</t>
  </si>
  <si>
    <t>ΑΙ205947</t>
  </si>
  <si>
    <t>721,6</t>
  </si>
  <si>
    <t>1339,6</t>
  </si>
  <si>
    <t>1221-1205-1202-1201-1247-1248-1250-1255-1206-1253</t>
  </si>
  <si>
    <t>ΓΡΙΒΑ</t>
  </si>
  <si>
    <t>ΑΖ740179</t>
  </si>
  <si>
    <t>1338,5</t>
  </si>
  <si>
    <t>1248-1267-1249-1201-1206-1253-1250-1254-1247</t>
  </si>
  <si>
    <t>ΠΑΡΑΛΟΠΟΥΛΟΣ</t>
  </si>
  <si>
    <t>ΑΙ212955</t>
  </si>
  <si>
    <t>1336,3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</si>
  <si>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</si>
  <si>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</si>
  <si>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</si>
  <si>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</si>
  <si>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</si>
  <si>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</si>
  <si>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</si>
  <si>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</si>
  <si>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ΚΟΡΜΑ</t>
  </si>
  <si>
    <t>Φ465053</t>
  </si>
  <si>
    <t>745,8</t>
  </si>
  <si>
    <t>1335,8</t>
  </si>
  <si>
    <t>1201-1247-1254-1206-1249-1253-1248-1250</t>
  </si>
  <si>
    <t>ΝΤΑΝΤΑΜΗΣ</t>
  </si>
  <si>
    <t>Χ374564</t>
  </si>
  <si>
    <t>709,5</t>
  </si>
  <si>
    <t>1335,5</t>
  </si>
  <si>
    <t>ΓΡΗΓΟΡΙΑΔΟΥ</t>
  </si>
  <si>
    <t>ΑΒ433274</t>
  </si>
  <si>
    <t>1335,3</t>
  </si>
  <si>
    <t>1249-1248-1267-1253-1206-1201-1256-1202-1205-1255-1254-1250-1247</t>
  </si>
  <si>
    <t>ΚΟΛΛΙΑ</t>
  </si>
  <si>
    <t>ΕΜΜΑΝΟΥΕΛΑ</t>
  </si>
  <si>
    <t>ΣΠΥΡΟΣ</t>
  </si>
  <si>
    <t>ΑΚ358366</t>
  </si>
  <si>
    <t>1334,8</t>
  </si>
  <si>
    <t>1201-1202-1203-1204-1205-1206-1218-1220-1221-1223-1247-1248-1249-1250-1252-1253-1254-1255-1256</t>
  </si>
  <si>
    <t>ΓΙΑΝΝΑΚΟΥ</t>
  </si>
  <si>
    <t>ΠΡΕΣΒΕΙΑ</t>
  </si>
  <si>
    <t>ΛΑΖΑΡΟΣ</t>
  </si>
  <si>
    <t>ΑΒ108495</t>
  </si>
  <si>
    <t>820,6</t>
  </si>
  <si>
    <t>1333,6</t>
  </si>
  <si>
    <t>1201-1267-1248-1254-1249-1247-1206-1256-1250-1253-1255-1202-1205</t>
  </si>
  <si>
    <t>ΤΣΙΝΤΖΟΥ</t>
  </si>
  <si>
    <t>ΑΖ747839</t>
  </si>
  <si>
    <t>1249-1253-1248-1201</t>
  </si>
  <si>
    <t>ΔΗΝΑΚΗ</t>
  </si>
  <si>
    <t>ΦΙΛΙΠΠΙΑ</t>
  </si>
  <si>
    <t>ΑΒ702405</t>
  </si>
  <si>
    <t>1248-1253-1267-1206-1249-1201-1247-1250-1254-1255-1202-1205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</si>
  <si>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</si>
  <si>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</si>
  <si>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</si>
  <si>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</si>
  <si>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</si>
  <si>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ΤΣΟΥΠΟΥ</t>
  </si>
  <si>
    <t>ΜΑΤΘΑΙΟΣ</t>
  </si>
  <si>
    <t>Π500416</t>
  </si>
  <si>
    <t>1219-1267-1248-1220-1253-1206-1256-1222-1252-1201-1203-1249-1223-1254-1250-1217-1247-1218-1251-1204-1205-1255-1202-1221</t>
  </si>
  <si>
    <t>ΣΚΛΑΒΟΣ</t>
  </si>
  <si>
    <t>ΑΗ764842</t>
  </si>
  <si>
    <t>1327,7</t>
  </si>
  <si>
    <t>1219-1201-1248-1249-1217-1253-1254-1247-1206-1250-1202-1205-1255</t>
  </si>
  <si>
    <t>ΜΕΓΑ</t>
  </si>
  <si>
    <t>ΑΖ339638</t>
  </si>
  <si>
    <t>1248-1267-1206-1203-1253-1249-1201-1204-1221-1218-1223-1254-1247-1250-1205-1255-1202-1256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</si>
  <si>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</si>
  <si>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</si>
  <si>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</si>
  <si>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</si>
  <si>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</si>
  <si>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</si>
  <si>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ΧΡΙΣΤΟΔΟΥΛΟΠΟΥΛΟΥ</t>
  </si>
  <si>
    <t>ΑΙ840170</t>
  </si>
  <si>
    <t>666,6</t>
  </si>
  <si>
    <t>1324,6</t>
  </si>
  <si>
    <t>1201-1249-1254-1222-1253-1256-1219-1267-1248-1247-1206-1217-1250-1202-1205-1255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</si>
  <si>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</si>
  <si>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</si>
  <si>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</si>
  <si>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</si>
  <si>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</si>
  <si>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</si>
  <si>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ΤΣΙΑΝΑΣ</t>
  </si>
  <si>
    <t>ΑΕ325464</t>
  </si>
  <si>
    <t>ΓΚΙΡΤΣΟΥ</t>
  </si>
  <si>
    <t>ΑΕ689118</t>
  </si>
  <si>
    <t>1267-1248-1203-1222-1206-1201-1202-1205-1218-1221-1247-1249-1250-1253-1254-1255</t>
  </si>
  <si>
    <t>ΝΤΑΦΟΥ</t>
  </si>
  <si>
    <t>ΒΑΙΑ</t>
  </si>
  <si>
    <t>ΑΙ294789</t>
  </si>
  <si>
    <t>1201-1253-1254-1206-1247-1249-1250-1267-1248-1255-1205-1221-1202-1256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</si>
  <si>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</si>
  <si>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</si>
  <si>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</si>
  <si>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</si>
  <si>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</si>
  <si>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</si>
  <si>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</si>
  <si>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</si>
  <si>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ΦΟΥΛΙΡΑ</t>
  </si>
  <si>
    <t>ΔΑΜΙΑΝΟΥΛΑ</t>
  </si>
  <si>
    <t>ΑΙ333459</t>
  </si>
  <si>
    <t>706,2</t>
  </si>
  <si>
    <t>1318,2</t>
  </si>
  <si>
    <t>1205-1255-1221-1206-1249-1256-1253-1248-1201-1247-1202-1254-1250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</si>
  <si>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</si>
  <si>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</si>
  <si>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</si>
  <si>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</si>
  <si>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</si>
  <si>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</si>
  <si>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ΓΕΩΡΓΙΟΥ</t>
  </si>
  <si>
    <t>ΑΙ880337</t>
  </si>
  <si>
    <t>1317,6</t>
  </si>
  <si>
    <t>1249-1256-1253-1248-1206-1222-1201-1254-1255-1204-1205-1223-1221-1247-1250-1202</t>
  </si>
  <si>
    <t>ΦΡΑΤΖΕΖΟΥ</t>
  </si>
  <si>
    <t>ΑΜ838259</t>
  </si>
  <si>
    <t>826,1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</si>
  <si>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</si>
  <si>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</si>
  <si>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</si>
  <si>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</si>
  <si>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</si>
  <si>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</si>
  <si>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ΜΠΑΛΛΑΣΗΣ</t>
  </si>
  <si>
    <t>ΑΚ122233</t>
  </si>
  <si>
    <t>1313,2</t>
  </si>
  <si>
    <t>1252-1204-1221-1218-1202-1205-1220-1255-1250-1249-1253-1254-1247-1248-1201-1203-1206-1267-1222-1223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</si>
  <si>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</si>
  <si>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</si>
  <si>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</si>
  <si>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</si>
  <si>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</si>
  <si>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</si>
  <si>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</si>
  <si>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</si>
  <si>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</si>
  <si>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ΕΥΑΓΓΕΛΙΟΥ</t>
  </si>
  <si>
    <t>Π247926</t>
  </si>
  <si>
    <t>1201-1254-1203-1247-1252-1253-1223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</si>
  <si>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</si>
  <si>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</si>
  <si>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</si>
  <si>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</si>
  <si>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</si>
  <si>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</si>
  <si>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</si>
  <si>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</si>
  <si>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</si>
  <si>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</si>
  <si>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</si>
  <si>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</si>
  <si>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</si>
  <si>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ΣΤΡΑΚΑΛΗ</t>
  </si>
  <si>
    <t>Χ391573</t>
  </si>
  <si>
    <t>1249-1253-1248-1267-1254-1201-1202-1206-1255-1247-1250-1252-1221-1219-1217-1205-1251-1256-1223-1222-1218-1203-1204-1220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</si>
  <si>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</si>
  <si>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</si>
  <si>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</si>
  <si>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</si>
  <si>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</si>
  <si>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</si>
  <si>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ΜΠΙΣΤΙΤΖΙΑΝΟΥ</t>
  </si>
  <si>
    <t>ΑΓΛΑΙΑ</t>
  </si>
  <si>
    <t>ΑΕ243963</t>
  </si>
  <si>
    <t>689,7</t>
  </si>
  <si>
    <t>1307,7</t>
  </si>
  <si>
    <t>1254-1253-1249-1250-1255-1247-1248-1206-1205-1202-1201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</si>
  <si>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</si>
  <si>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</si>
  <si>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</si>
  <si>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</si>
  <si>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ΡΙΓΑΛΙΔΗ</t>
  </si>
  <si>
    <t>ΑΜ366517</t>
  </si>
  <si>
    <t>793,1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</si>
  <si>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</si>
  <si>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</si>
  <si>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</si>
  <si>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</si>
  <si>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</si>
  <si>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</si>
  <si>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</si>
  <si>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</si>
  <si>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</si>
  <si>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</si>
  <si>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</si>
  <si>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ΚΟΤΣΩΝΗ</t>
  </si>
  <si>
    <t>ΧΡΙΣΤΟΔΟΥΛΟΣ</t>
  </si>
  <si>
    <t>Ρ301094</t>
  </si>
  <si>
    <t>685,3</t>
  </si>
  <si>
    <t>1303,3</t>
  </si>
  <si>
    <t>1247-1201-1218-1206-1250-1254-1249-1256-1202-1204-1205</t>
  </si>
  <si>
    <t>ΚΟΤΣΑΝΗ</t>
  </si>
  <si>
    <t>Χ961032</t>
  </si>
  <si>
    <t>1302,9</t>
  </si>
  <si>
    <t>1218-1219-1203-1217-1267-1248-1249-1252-1250-1247-1201-1221-1253-1254-1206-1202-1204-1205-1220-1222-1223-1256-1251-1255</t>
  </si>
  <si>
    <t>ΓΚΑΝΤΖΩΡΑΣ</t>
  </si>
  <si>
    <t>Χ656236</t>
  </si>
  <si>
    <t>684,2</t>
  </si>
  <si>
    <t>1302,2</t>
  </si>
  <si>
    <t>1247-1250-1254-1201-1253-1206-1249-1255-1205-1202-1267-1248</t>
  </si>
  <si>
    <t>ΜΑΚΡΑΚΗ</t>
  </si>
  <si>
    <t>ΖΩΗ</t>
  </si>
  <si>
    <t>ΑΡΜΟΔΙΟΣ</t>
  </si>
  <si>
    <t>ΑΑ443441</t>
  </si>
  <si>
    <t>1301,1</t>
  </si>
  <si>
    <t>1202-1201-1205-1247-1255-1254-1253-1206-1249-1250-1248-1267-1256</t>
  </si>
  <si>
    <t>ΠΟΥΝΤΖΟΥΚΙΔΟΥ</t>
  </si>
  <si>
    <t>ΑΜ899545</t>
  </si>
  <si>
    <t>1220-1248-1206-1221-1252-1201-1202-1253-1249-1247-1254-1255</t>
  </si>
  <si>
    <t>ΑΗ094347</t>
  </si>
  <si>
    <t>1251-1201-1247-1206-1250-1249-1253-1255-1205</t>
  </si>
  <si>
    <t>ΖΟΥΡΛΑΔΑΝΗ</t>
  </si>
  <si>
    <t>Χ909368</t>
  </si>
  <si>
    <t>1299,7</t>
  </si>
  <si>
    <t>1201-1252-1249-1220-1219-1248-1222-1206-1247-1218-1254-1253-1217-1250-1256-1205-1255-1202-1204-1223</t>
  </si>
  <si>
    <t>ΤΣΑΛΙΔΟΥ</t>
  </si>
  <si>
    <t>ΑΖ788756</t>
  </si>
  <si>
    <t>807,4</t>
  </si>
  <si>
    <t>1299,4</t>
  </si>
  <si>
    <t>1254-1249-1252-1201-1248-1219-1267-1253-1206-1217-1250-1218-1205-1255-1202-1247-1203-1204-1221</t>
  </si>
  <si>
    <t>ΡΑΠΑΝΟΥ</t>
  </si>
  <si>
    <t>ΑΕ232089</t>
  </si>
  <si>
    <t>680,9</t>
  </si>
  <si>
    <t>1298,9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</si>
  <si>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</si>
  <si>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</si>
  <si>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</si>
  <si>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</si>
  <si>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</si>
  <si>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650,1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</si>
  <si>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</si>
  <si>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</si>
  <si>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</si>
  <si>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</si>
  <si>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</si>
  <si>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</si>
  <si>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ΒΕΡΕΝΤΖΙΩΤΗ</t>
  </si>
  <si>
    <t>ΑΧΙΛΛΕΥΣ</t>
  </si>
  <si>
    <t>ΑΗ290549</t>
  </si>
  <si>
    <t>1249-1253-1256-1267-1248-1203-1201-1206-1222-1254-1218-1223-1247-1204-1205-1255-1202-1221-1250</t>
  </si>
  <si>
    <t>Π851224</t>
  </si>
  <si>
    <t>1221-1205-1255-1206-1202-1201-1248-1249-1250-1253-1254-1247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</si>
  <si>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</si>
  <si>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</si>
  <si>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</si>
  <si>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</si>
  <si>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</si>
  <si>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</si>
  <si>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</si>
  <si>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</si>
  <si>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</si>
  <si>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</si>
  <si>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</si>
  <si>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678,7</t>
  </si>
  <si>
    <t>1295,7</t>
  </si>
  <si>
    <t>1219-1217-1205-1201-1202-1206-1250-1255-1253-1254-1248-1247-1249-1256-1251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</si>
  <si>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</si>
  <si>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</si>
  <si>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</si>
  <si>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</si>
  <si>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</si>
  <si>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</si>
  <si>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</si>
  <si>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</si>
  <si>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</si>
  <si>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</si>
  <si>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ΚΑΡΔΑΣΗΣ</t>
  </si>
  <si>
    <t>ΑΙ489881</t>
  </si>
  <si>
    <t>1247-1201-1217-1267-1219-1248</t>
  </si>
  <si>
    <t>ΤΣΙΦΤΣΙΑΝ</t>
  </si>
  <si>
    <t>ΑΜ235068</t>
  </si>
  <si>
    <t>1291,3</t>
  </si>
  <si>
    <t>1267-1248-1249-1253-1206-1250-1247-1254-1201-1255-1205-1202</t>
  </si>
  <si>
    <t>ΣΤΡΑΒΟΔΗΜΟΥ</t>
  </si>
  <si>
    <t>ΑΝΔΡΙΑΝΑ</t>
  </si>
  <si>
    <t>ΑΑ306147</t>
  </si>
  <si>
    <t>1291,2</t>
  </si>
  <si>
    <t>1250-1247-1201-1206-1254</t>
  </si>
  <si>
    <t>ΚΑΤΣΑΜΠΑΛΟΥ</t>
  </si>
  <si>
    <t>ΟΛΓΑ</t>
  </si>
  <si>
    <t>ΑΒ772952</t>
  </si>
  <si>
    <t>1217-1201-1250-1254-1253-1255-1249-1247-1248-1206-1219-1256-1251</t>
  </si>
  <si>
    <t>ΑΝΑΣΤΑΣΙΑΔΟΥ</t>
  </si>
  <si>
    <t>ΝΙΚΟΛΕΤΑ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</si>
  <si>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</si>
  <si>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</si>
  <si>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</si>
  <si>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</si>
  <si>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</si>
  <si>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ΚΟΡΑΚΑ</t>
  </si>
  <si>
    <t>ΑΕ476604</t>
  </si>
  <si>
    <t>1254-1202-1203-1201-1204-1205-1206-1217-1218-1219-1220-1221-1222-1223</t>
  </si>
  <si>
    <t>ΠΑΝΑΓΑΚΗ</t>
  </si>
  <si>
    <t>ΑΙ121111</t>
  </si>
  <si>
    <t>668,8</t>
  </si>
  <si>
    <t>1286,8</t>
  </si>
  <si>
    <t>1201-1202-1206-1217-1247-1248-1249-1250-1253-1254-1255-1256-1203-1267</t>
  </si>
  <si>
    <t>Σ447821</t>
  </si>
  <si>
    <t>667,7</t>
  </si>
  <si>
    <t>1285,7</t>
  </si>
  <si>
    <t>1250-1218-1254-1247-1248-1253-1255-1204-1221-1202-1201-1222-1206-1223-1249-1256</t>
  </si>
  <si>
    <t>ΓΚΑΝΑΤΣΑ</t>
  </si>
  <si>
    <t>ΠΑΣΧΑΛΙΑ</t>
  </si>
  <si>
    <t>Ρ393688</t>
  </si>
  <si>
    <t>ΜΑΓΝΗΣΑΛΗ</t>
  </si>
  <si>
    <t>ΘΕΟΦΑΝΙΑ</t>
  </si>
  <si>
    <t>ΑΙ159852</t>
  </si>
  <si>
    <t>1282,7</t>
  </si>
  <si>
    <t>1267-1248-1253-1249-1206-1201-1255-1250-1247-1202-1254-1256-1203</t>
  </si>
  <si>
    <t>ΗΛΙΟΠΟΥΛΟΥ</t>
  </si>
  <si>
    <t>ΑΙ206580</t>
  </si>
  <si>
    <t>1282,4</t>
  </si>
  <si>
    <t>1250-1254-1247-1248-1201-1253</t>
  </si>
  <si>
    <t>ΘΕΟΔΟΣΙΟΥ</t>
  </si>
  <si>
    <t>ΑΖ822934</t>
  </si>
  <si>
    <t>1202-1205-1254-1250-1201-1206-1267-1249-1253-1256</t>
  </si>
  <si>
    <t>ΑΒΟΥΡΗ</t>
  </si>
  <si>
    <t>ΜΑΡΙΝΟΣ</t>
  </si>
  <si>
    <t>ΑΗ623082</t>
  </si>
  <si>
    <t>1274,7</t>
  </si>
  <si>
    <t>1217-1247-1248-1249-1250-1254-1253-1255-1256-1201-1202-1205-1206-1251</t>
  </si>
  <si>
    <t>ΚΙΡΚΙΝΕΖΟΣ</t>
  </si>
  <si>
    <t>Φ338394</t>
  </si>
  <si>
    <t>705,1</t>
  </si>
  <si>
    <t>1273,1</t>
  </si>
  <si>
    <t>1254-1247-1223-1203-1201-1218-1217-1250-1219-1248-1267</t>
  </si>
  <si>
    <t>ΞΑΝΘΟΥ</t>
  </si>
  <si>
    <t>Φ314535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</si>
  <si>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</si>
  <si>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</si>
  <si>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</si>
  <si>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</si>
  <si>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</si>
  <si>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</si>
  <si>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ΛΑΜΠΕΡΝΑΚΗ</t>
  </si>
  <si>
    <t>ΑΕ422304</t>
  </si>
  <si>
    <t>632,5</t>
  </si>
  <si>
    <t>1271,5</t>
  </si>
  <si>
    <t>1201-1202-1205-1206-1217-1219-1247-1248-1249-1250-1251-1253-1254-1255-1256</t>
  </si>
  <si>
    <t>ΠΑΠΠΑΣ</t>
  </si>
  <si>
    <t>ΑΗ935987</t>
  </si>
  <si>
    <t>907,5</t>
  </si>
  <si>
    <t>1270,5</t>
  </si>
  <si>
    <t>1201-1202-1205-1206-1247-1248-1249-1250-1253-1254-1255-1256-1267</t>
  </si>
  <si>
    <t>ΔΟΝΤΑΚΗ</t>
  </si>
  <si>
    <t>ΑΑ050641</t>
  </si>
  <si>
    <t>1269,7</t>
  </si>
  <si>
    <t>1247-1250-1218-1219-1267-1203-1206-1248-1204-1205-1255-1202-1221-1201-1220-1223-1252-1249-1253-1254-1256</t>
  </si>
  <si>
    <t>ΚΩΝΣΤΝΤΙΝΟΥ</t>
  </si>
  <si>
    <t>ΑΗ244020</t>
  </si>
  <si>
    <t>1201-1253-1248-1249-1206-1247-1250-1202-1205</t>
  </si>
  <si>
    <t>ΦΙΛΚΑΣ</t>
  </si>
  <si>
    <t>ΠΡΟΔΡΟΜΟΣ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</si>
  <si>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</si>
  <si>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</si>
  <si>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</si>
  <si>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</si>
  <si>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</si>
  <si>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ΠΑΠΑΕΥΣΤΑΘΙΟΥ</t>
  </si>
  <si>
    <t>ΜΑΡΙΟΣ</t>
  </si>
  <si>
    <t>ΑΖ772814</t>
  </si>
  <si>
    <t>1214-1208-1203-1201-1211-1268-1269-1252-1249-1248-1222-1210-1213-1220</t>
  </si>
  <si>
    <t>ΓΑΖΕΤΗ</t>
  </si>
  <si>
    <t>Π943107</t>
  </si>
  <si>
    <t>1248-1267-1219-1253-1206-1249-1252-1201-1247-1250-1217-1202</t>
  </si>
  <si>
    <t>ΚΑΡΑΓΚΟΥΝΗ</t>
  </si>
  <si>
    <t>ΑΙ860079</t>
  </si>
  <si>
    <t>1201-1254-1267-1256-1247-1248-1249-1253-1250-1255-1206-1205-1202</t>
  </si>
  <si>
    <t>ΜΙΧΑΛΑΤΟΥ</t>
  </si>
  <si>
    <t>ΑΣΠΑΣΙΑ</t>
  </si>
  <si>
    <t>Φ881023</t>
  </si>
  <si>
    <t>743,6</t>
  </si>
  <si>
    <t>1261,6</t>
  </si>
  <si>
    <t>1218-1217-1250-1247-1203-1254-1201-1256-1253-1249-1222-1219-1248-1267-1206-1223-1251-1202-1204-1205-1255-1221</t>
  </si>
  <si>
    <t>ΠΟΛΥΓΕΝΗ</t>
  </si>
  <si>
    <t>ΑΖ273260</t>
  </si>
  <si>
    <t>1201-1256-1267-1254-1248-1219-1222-1202-1247-1249-1250-1253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</si>
  <si>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</si>
  <si>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</si>
  <si>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</si>
  <si>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</si>
  <si>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</si>
  <si>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</si>
  <si>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</si>
  <si>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</si>
  <si>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</si>
  <si>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ΤΟΥΦΕΞΗ</t>
  </si>
  <si>
    <t>ΑΒ433028</t>
  </si>
  <si>
    <t>1249-1253-1256-1248-1201-1206-1254-1247-1250-1255-1205-1202</t>
  </si>
  <si>
    <t>ΙΟΡΔΑΝΟΓΛΟΥ</t>
  </si>
  <si>
    <t>ΚΛΕΙΣΘΕΝΗΣ</t>
  </si>
  <si>
    <t>ΑΜ593794</t>
  </si>
  <si>
    <t>597,3</t>
  </si>
  <si>
    <t>1255,3</t>
  </si>
  <si>
    <t>1253-1247-1250-1255-1217-1205-1204-1219-1202-1254-1206-1221-1220-1223-1218-1251-1249-1256-1201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</si>
  <si>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</si>
  <si>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</si>
  <si>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</si>
  <si>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</si>
  <si>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</si>
  <si>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</si>
  <si>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</si>
  <si>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</si>
  <si>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</si>
  <si>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</si>
  <si>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</si>
  <si>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ΚΑΤΣΟΥΡΟΥ</t>
  </si>
  <si>
    <t>ΑΜΑΛΙΑ ΠΑΝΑΓΙΩΤΑ</t>
  </si>
  <si>
    <t>ΑΕ932427</t>
  </si>
  <si>
    <t>1253,3</t>
  </si>
  <si>
    <t>ΔΙΝΟΒΙΤΣ</t>
  </si>
  <si>
    <t>ΑΚ668837</t>
  </si>
  <si>
    <t>1250,7</t>
  </si>
  <si>
    <t>1249-1248-1267-1253-1250-1202-1205-1255-1201-1247-1254-1206-1222</t>
  </si>
  <si>
    <t>ΣΟΥΛΟΥΤΑΣ</t>
  </si>
  <si>
    <t>ΑΖ536150</t>
  </si>
  <si>
    <t>1248,3</t>
  </si>
  <si>
    <t>1205-1219-1248-1255-1267-1202-1206-1217-1247-1250-1253-1249-1254-1201-1222-1256-1251-1252-1204-1203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</si>
  <si>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</si>
  <si>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</si>
  <si>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</si>
  <si>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</si>
  <si>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</si>
  <si>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</si>
  <si>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</si>
  <si>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</si>
  <si>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</si>
  <si>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</si>
  <si>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</si>
  <si>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</si>
  <si>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</si>
  <si>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</si>
  <si>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ΚΛΙΑΡΗ</t>
  </si>
  <si>
    <t>ΜΑΓΔΑΛΗΝΗ</t>
  </si>
  <si>
    <t>ΑΙ300560</t>
  </si>
  <si>
    <t>1201-1203-1206-1247-1248-1249-1250-1253-1254-1256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</si>
  <si>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</si>
  <si>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</si>
  <si>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</si>
  <si>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</si>
  <si>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</si>
  <si>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</si>
  <si>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</si>
  <si>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</si>
  <si>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</si>
  <si>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ΜΑΓΚΟΥΡΙΤΣΑ</t>
  </si>
  <si>
    <t>ΑΒ104853</t>
  </si>
  <si>
    <t>1201-1252-1254-1219-1248-1253</t>
  </si>
  <si>
    <t>ΚΩΣΤΗ</t>
  </si>
  <si>
    <t>ΑΜ825095</t>
  </si>
  <si>
    <t>1267-1201-1248-1254-1249-1253-1206-1247-1250-1255-1202</t>
  </si>
  <si>
    <t>ΑΗ262180</t>
  </si>
  <si>
    <t>1201-1254-1256-1247-1206-1253-1205-1255</t>
  </si>
  <si>
    <t>ΚΑΦΦΕ</t>
  </si>
  <si>
    <t>ΞΑΝΘΗ</t>
  </si>
  <si>
    <t>ΑΣΤΕΡΙΟΣ</t>
  </si>
  <si>
    <t>AM 812099</t>
  </si>
  <si>
    <t>696,3</t>
  </si>
  <si>
    <t>1238,3</t>
  </si>
  <si>
    <t>1201-1248</t>
  </si>
  <si>
    <t>ΜΑΡΚΟΣ</t>
  </si>
  <si>
    <t>Χ377044</t>
  </si>
  <si>
    <t>1203-1201-1267-1248-1219-1253-1254-1247-1249-1256-1220-1206-1217-1250-1222-1202-1218-1204-1205-1255-1221-1251-1223</t>
  </si>
  <si>
    <t>ΠΑΤΕΔΑΚΗΣ</t>
  </si>
  <si>
    <t>ΑΙ957950</t>
  </si>
  <si>
    <t>881,1</t>
  </si>
  <si>
    <t>1235,1</t>
  </si>
  <si>
    <t>1201-1202-1205-1206-1217-1247-1248-1249-1250-1251-1253-1254-1255-1256-1267</t>
  </si>
  <si>
    <t>ΚΑΖΑΝΤΖΗ</t>
  </si>
  <si>
    <t>ΕΛΕΝΑ</t>
  </si>
  <si>
    <t>ΑΒ883516</t>
  </si>
  <si>
    <t>1218-1250-1247-1267-1204-1205-1255-1202-1221-1253-1203-1201-1206-1249-1254-1248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</si>
  <si>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</si>
  <si>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</si>
  <si>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</si>
  <si>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</si>
  <si>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</si>
  <si>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</si>
  <si>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</si>
  <si>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</si>
  <si>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</si>
  <si>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</si>
  <si>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</si>
  <si>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</si>
  <si>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</si>
  <si>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ΠΟΛΥΞΕΝΗ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</si>
  <si>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</si>
  <si>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</si>
  <si>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</si>
  <si>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</si>
  <si>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</si>
  <si>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</si>
  <si>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</si>
  <si>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ΚΟΣΒΥΡΑ</t>
  </si>
  <si>
    <t>ΜΕΛΙΝΑ</t>
  </si>
  <si>
    <t>ΑΒ840426</t>
  </si>
  <si>
    <t>1227,8</t>
  </si>
  <si>
    <t>ΚΑΡΠΑΘΙΩΤΑΚΗ</t>
  </si>
  <si>
    <t>Φ249766</t>
  </si>
  <si>
    <t>730,4</t>
  </si>
  <si>
    <t>1222,4</t>
  </si>
  <si>
    <t>1202-1255-1248-1247-1250-1201-1206-1249-1253-1254</t>
  </si>
  <si>
    <t>ΑΡΧΙΤΕΚΤΟΝΙΔΟΥ</t>
  </si>
  <si>
    <t>ΣΤΕΛΛΑ</t>
  </si>
  <si>
    <t>ΑΑ761738</t>
  </si>
  <si>
    <t>1222,1</t>
  </si>
  <si>
    <t>1202-1249-1255-1206-1205-1252-1253-1247-1248-1256-1201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</si>
  <si>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</si>
  <si>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</si>
  <si>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</si>
  <si>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</si>
  <si>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</si>
  <si>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</si>
  <si>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</si>
  <si>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827,2</t>
  </si>
  <si>
    <t>1221,2</t>
  </si>
  <si>
    <t>1250-1247-1255-1205-1202-1221-1254-1201-1267-1206-1248</t>
  </si>
  <si>
    <t>ΦΟΥΚΑΣ</t>
  </si>
  <si>
    <t>Σ507375</t>
  </si>
  <si>
    <t>799,7</t>
  </si>
  <si>
    <t>1219,7</t>
  </si>
  <si>
    <t>1219-1248-1217-1247-1250-1202-1205-1255-1254-1201-1206-1256-1253-1251-1249</t>
  </si>
  <si>
    <t>ΒΡΑΚΑΤΟΥ</t>
  </si>
  <si>
    <t>ΑΝ427809</t>
  </si>
  <si>
    <t>1219,5</t>
  </si>
  <si>
    <t>1253-1254-1248-1206-1249-1247-1255-1201</t>
  </si>
  <si>
    <t>ΧΡΥΣΙΝΑΣ</t>
  </si>
  <si>
    <t>ΑΜ510315</t>
  </si>
  <si>
    <t>1214,7</t>
  </si>
  <si>
    <t>1202-1206-1247-1248-1249-1250-1253-1254-1255-1201</t>
  </si>
  <si>
    <t>ΑΛΕΞΑΝΔΡΙΔΟΥ</t>
  </si>
  <si>
    <t>ΑΚ445310</t>
  </si>
  <si>
    <t>1206-1205-1201-1219-1202-1248-1253-1249-1254-1247-1255-1250-1267</t>
  </si>
  <si>
    <t>ΧΑΤΖΟΠΟΥΛΟΥ</t>
  </si>
  <si>
    <t>ΒΑΓΙΑ</t>
  </si>
  <si>
    <t>Φ181390</t>
  </si>
  <si>
    <t>749,1</t>
  </si>
  <si>
    <t>1213,1</t>
  </si>
  <si>
    <t>1201-1205-1206-1217-1219-1247-1248-1249-1250-1251-1253-1254-1255-1256-1267</t>
  </si>
  <si>
    <t>ΣΙΟΥΤΚΑ</t>
  </si>
  <si>
    <t>Χ380669</t>
  </si>
  <si>
    <t>1202-1204-1205-1203-1255-1221-1201-1252-1247-1206-1223-1253-1219-1248-1249-1250-1222-1218-1217-1254-1256-1220-1251</t>
  </si>
  <si>
    <t>ΓΑΛΑΝΟΠΟΥΛΟΥ</t>
  </si>
  <si>
    <t>ΑΖ272871</t>
  </si>
  <si>
    <t>1209,5</t>
  </si>
  <si>
    <t>1201-1252-1203-1254-1253-1217-1250-1206-1219-1248-1267-1256-1247-1218-1202-1221-1255-1222-1205-1204</t>
  </si>
  <si>
    <t>ΠΑΤΣΙΚΑΘΕΟΔΩΡΟΥ</t>
  </si>
  <si>
    <t>ΑΜ370789</t>
  </si>
  <si>
    <t>1207,3</t>
  </si>
  <si>
    <t>1203-1201-1256-1249-1248-1247-1253-1254-1223-1222-1206-1218-1221-1267-1250-1204-1205-1255-1202</t>
  </si>
  <si>
    <t>ΑΒ868867</t>
  </si>
  <si>
    <t>1201-1206-1249-1253-1256-1248-1267-1254-1250-1247-1255-1202</t>
  </si>
  <si>
    <t>ΔΡΑΚΑΚΗΣ</t>
  </si>
  <si>
    <t>ΜΙΧΑΛΗΣ</t>
  </si>
  <si>
    <t>ΑΜ382405</t>
  </si>
  <si>
    <t>1203,4</t>
  </si>
  <si>
    <t>1251-1249-1253-1206-1205-1255-1254-1256-1217-1250-1247-1202-1219-1248-1267-1201</t>
  </si>
  <si>
    <t>ΜΠΕΝΕΚΗ</t>
  </si>
  <si>
    <t>ΑΗ783282</t>
  </si>
  <si>
    <t>1201-1248-1206-1247-1249-1250-1253-1254</t>
  </si>
  <si>
    <t>ΤΣΟΛΑΚΗΣ</t>
  </si>
  <si>
    <t>Χ745420</t>
  </si>
  <si>
    <t>774,4</t>
  </si>
  <si>
    <t>1201,4</t>
  </si>
  <si>
    <t>1248-1201-1206-1247-1249-1250-1253-1219-1267</t>
  </si>
  <si>
    <t>ΚΑΡΑΜΠΙΝΗ</t>
  </si>
  <si>
    <t>ΑΚ132355</t>
  </si>
  <si>
    <t>1193,7</t>
  </si>
  <si>
    <t>1247-1250-1254-1201-1206-1248-1253-1255-1202-1205-1249</t>
  </si>
  <si>
    <t>ΡΑΧΜΑΝΗ</t>
  </si>
  <si>
    <t>Φ266613</t>
  </si>
  <si>
    <t>686,4</t>
  </si>
  <si>
    <t>1192,4</t>
  </si>
  <si>
    <t>1201-1254-1219-1248-1267</t>
  </si>
  <si>
    <t>ΣΙΣΚΟΥ</t>
  </si>
  <si>
    <t>ΑΧΙΛΛΕΑΣ</t>
  </si>
  <si>
    <t>Χ912747</t>
  </si>
  <si>
    <t>1190,4</t>
  </si>
  <si>
    <t>1201-1254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</si>
  <si>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</si>
  <si>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</si>
  <si>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</si>
  <si>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</si>
  <si>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</si>
  <si>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ΣΑΧΤΟΥΡΗΣ</t>
  </si>
  <si>
    <t>Χ664065</t>
  </si>
  <si>
    <t>1188,2</t>
  </si>
  <si>
    <t>1205-1202-1221-1217-1247-1250-1255-1206-1201-1219-1248-1254-1253-1267-1249</t>
  </si>
  <si>
    <t>ΒΑΓΙΑΝΑ</t>
  </si>
  <si>
    <t>ΡΩΣΣΙΤΣΑ</t>
  </si>
  <si>
    <t>ΑΖ356176</t>
  </si>
  <si>
    <t>1184,1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</si>
  <si>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</si>
  <si>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</si>
  <si>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</si>
  <si>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</si>
  <si>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</si>
  <si>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</si>
  <si>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</si>
  <si>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</si>
  <si>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</si>
  <si>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ΓΑΒΡΑΝΙΔΗΣ</t>
  </si>
  <si>
    <t>ΑΕ955912</t>
  </si>
  <si>
    <t>1177,5</t>
  </si>
  <si>
    <t>1201-1252-1220-1219-1203-1256-1250-1253</t>
  </si>
  <si>
    <t>ΧΑΒΕΛΑΣ</t>
  </si>
  <si>
    <t>ΑΕ726606</t>
  </si>
  <si>
    <t>1247-1248-1201-1250-1249-1256-1253-1254-1257-1202-1221-1255</t>
  </si>
  <si>
    <t>ΔΙΑΜΑΝΤΗ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</si>
  <si>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</si>
  <si>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</si>
  <si>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</si>
  <si>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</si>
  <si>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</si>
  <si>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</si>
  <si>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</si>
  <si>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</si>
  <si>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</si>
  <si>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</si>
  <si>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</si>
  <si>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</si>
  <si>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</si>
  <si>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</si>
  <si>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</si>
  <si>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</si>
  <si>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</si>
  <si>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</si>
  <si>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</si>
  <si>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</si>
  <si>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ΧΑΡΑΛΑΜΠΟΥΣ</t>
  </si>
  <si>
    <t>ΑΙ915556</t>
  </si>
  <si>
    <t>ΑΝΑΓΝΩΣΤΟΠΟΥΛΟΣ</t>
  </si>
  <si>
    <t>ΑΒ627387</t>
  </si>
  <si>
    <t>1169,5</t>
  </si>
  <si>
    <t>1250-1248-1267-1247-1201</t>
  </si>
  <si>
    <t>ΤΑΣΙΟΥ</t>
  </si>
  <si>
    <t>Χ429507</t>
  </si>
  <si>
    <t>1166,5</t>
  </si>
  <si>
    <t>1203-1201-1223-1248-1252-1267-1247-1254-1219-1253-1256-1222-1206-1249-1250-1218-1221-1220-1204-1205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</si>
  <si>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</si>
  <si>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</si>
  <si>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</si>
  <si>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</si>
  <si>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</si>
  <si>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</si>
  <si>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</si>
  <si>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</si>
  <si>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</si>
  <si>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</si>
  <si>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</si>
  <si>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</si>
  <si>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1160,3</t>
  </si>
  <si>
    <t>1267-1219-1248-1253-1201-1206-1249-1254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</si>
  <si>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</si>
  <si>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</si>
  <si>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</si>
  <si>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</si>
  <si>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</si>
  <si>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</si>
  <si>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</si>
  <si>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</si>
  <si>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</si>
  <si>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ΚΩΣΤΑΚΗΣ</t>
  </si>
  <si>
    <t>ΑΡΗΣ-ΠΑΝΑΓΙΩΤΗΣ</t>
  </si>
  <si>
    <t>ΑΙ319768</t>
  </si>
  <si>
    <t>1158,3</t>
  </si>
  <si>
    <t>ΜΟΥΔΟΥΡΗ</t>
  </si>
  <si>
    <t>ΑΑ307009</t>
  </si>
  <si>
    <t>757,9</t>
  </si>
  <si>
    <t>1157,9</t>
  </si>
  <si>
    <t>1218-1201-1250</t>
  </si>
  <si>
    <t>ΜΑΝΔΗΛΑ</t>
  </si>
  <si>
    <t>ΑΕ793360</t>
  </si>
  <si>
    <t>658,9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</si>
  <si>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</si>
  <si>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</si>
  <si>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</si>
  <si>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</si>
  <si>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</si>
  <si>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</si>
  <si>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ΤΣΙΓΑΡΑΣ</t>
  </si>
  <si>
    <t>ΑΒ490105</t>
  </si>
  <si>
    <t>1155,7</t>
  </si>
  <si>
    <t>1254-1201-1247-1267-1248-1250-1206-1249-1253-1256-1255-1205-1202-1218-1223-1222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</si>
  <si>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</si>
  <si>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</si>
  <si>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</si>
  <si>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</si>
  <si>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</si>
  <si>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</si>
  <si>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</si>
  <si>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</si>
  <si>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</si>
  <si>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</si>
  <si>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</si>
  <si>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</si>
  <si>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Χ574046</t>
  </si>
  <si>
    <t>1205-1255-1254-1202-1247-1250-1201</t>
  </si>
  <si>
    <t>ΚΑΤΩΤΙΚΙΔΗ</t>
  </si>
  <si>
    <t>Φ329239</t>
  </si>
  <si>
    <t>788,7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</si>
  <si>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</si>
  <si>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</si>
  <si>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</si>
  <si>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</si>
  <si>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</si>
  <si>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</si>
  <si>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ΓΚΕΣΟΥ</t>
  </si>
  <si>
    <t>ΑΗ311685</t>
  </si>
  <si>
    <t>1144,3</t>
  </si>
  <si>
    <t>1219-1206-1201-1217-1205-1202</t>
  </si>
  <si>
    <t>ΜΑΝΔΕΧΟΥ</t>
  </si>
  <si>
    <t>ΑΒ908074</t>
  </si>
  <si>
    <t>1142,5</t>
  </si>
  <si>
    <t>1206-1222-1219-1248-1249-1223-1220-1256-1202-1204-1205-1201-1217-1218-1221-1247-1250-1251-1252-1253-1254-1255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</si>
  <si>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</si>
  <si>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</si>
  <si>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</si>
  <si>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</si>
  <si>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</si>
  <si>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</si>
  <si>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</si>
  <si>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</si>
  <si>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</si>
  <si>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</si>
  <si>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</si>
  <si>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</si>
  <si>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</si>
  <si>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</si>
  <si>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</si>
  <si>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</si>
  <si>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ΑΛΕΞΙΟΣ</t>
  </si>
  <si>
    <t>ΑΗ999999</t>
  </si>
  <si>
    <t>1137,3</t>
  </si>
  <si>
    <t>1201-1202-1254-1250-1253-1249-1255-1206-1205</t>
  </si>
  <si>
    <t>ΓΕΩΡΓΙΑ ΕΛΕΝΑ</t>
  </si>
  <si>
    <t>Χ408624</t>
  </si>
  <si>
    <t>1134,7</t>
  </si>
  <si>
    <t>1201-1248-1249-1253-1254</t>
  </si>
  <si>
    <t>ΕΥΔΟΚΙΑ</t>
  </si>
  <si>
    <t>ΑΑ870213</t>
  </si>
  <si>
    <t>1133,9</t>
  </si>
  <si>
    <t>1248-1253-1254-1249-1206-1201-1255</t>
  </si>
  <si>
    <t>ΓΚΑΝΑ</t>
  </si>
  <si>
    <t>Σ380553</t>
  </si>
  <si>
    <t>697,4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</si>
  <si>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</si>
  <si>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</si>
  <si>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</si>
  <si>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</si>
  <si>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</si>
  <si>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</si>
  <si>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</si>
  <si>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</si>
  <si>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</si>
  <si>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</si>
  <si>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</si>
  <si>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</si>
  <si>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</si>
  <si>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</si>
  <si>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ΤΑΡΑΝΤΙΛΗ</t>
  </si>
  <si>
    <t>Χ283190</t>
  </si>
  <si>
    <t>1129,6</t>
  </si>
  <si>
    <t>1201-1202-1204-1205-1206-1217-1218-1219-1220-1221-1222-1223-1247-1248-1249-1250-1251-1252-1253-1254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</si>
  <si>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</si>
  <si>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</si>
  <si>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</si>
  <si>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</si>
  <si>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</si>
  <si>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</si>
  <si>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</si>
  <si>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ΖΗΚΟΥ</t>
  </si>
  <si>
    <t>ΑΙ870742</t>
  </si>
  <si>
    <t>1127,7</t>
  </si>
  <si>
    <t>1249-1253-1256-1201-1248-1222-1206-1254-1247-1250</t>
  </si>
  <si>
    <t>ΕΛΕΥΘΕΡΙΟΥ</t>
  </si>
  <si>
    <t>ΑΒ933651</t>
  </si>
  <si>
    <t>634,7</t>
  </si>
  <si>
    <t>1125,7</t>
  </si>
  <si>
    <t>1251-1206-1248-1201</t>
  </si>
  <si>
    <t>ΑΡΑΜΠΑΤΖΗ</t>
  </si>
  <si>
    <t>Χ386938</t>
  </si>
  <si>
    <t>1206-1248-1267-1256-1253-1249-1201-1247-1254-1202-1250-1255-1205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</si>
  <si>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</si>
  <si>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</si>
  <si>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</si>
  <si>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</si>
  <si>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</si>
  <si>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</si>
  <si>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710,6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</si>
  <si>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</si>
  <si>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</si>
  <si>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</si>
  <si>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</si>
  <si>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</si>
  <si>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</si>
  <si>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ΜΟΥΡΟΥΦΑ</t>
  </si>
  <si>
    <t xml:space="preserve">ΕΛΕΝΗ </t>
  </si>
  <si>
    <t>Τ963130</t>
  </si>
  <si>
    <t>1113,4</t>
  </si>
  <si>
    <t>1201-1206-1247-1253-1254-1255-1256-1202-1248-1249-1250</t>
  </si>
  <si>
    <t>ΒΑΚΑΛΟΥΛΗΣ</t>
  </si>
  <si>
    <t>ΑΚ965058</t>
  </si>
  <si>
    <t>1248-1247-1206-1202-1201-1205</t>
  </si>
  <si>
    <t>ΚΥΡΙΑΖΗ</t>
  </si>
  <si>
    <t>ΧΡΙΣΤΝΑ</t>
  </si>
  <si>
    <t>ΑΗ476513</t>
  </si>
  <si>
    <t>1112,1</t>
  </si>
  <si>
    <t>1202-1201-1203-1204-1220-1252-1222-1223-1218-1217-1221-1247-1248-1255-1253-1267-1256-1205-1206-1249-1254-1250-1219</t>
  </si>
  <si>
    <t>ΛΟΓΔΑΝΙΔΟΥ</t>
  </si>
  <si>
    <t>ΜΙΧΑΕΛΑ</t>
  </si>
  <si>
    <t>ΑΚ982970</t>
  </si>
  <si>
    <t>1104,1</t>
  </si>
  <si>
    <t>1249-1267-1248-1219-1253-1206-1205-1202-1201-1250-1217-1254-1256</t>
  </si>
  <si>
    <t>ΚΙΩΚΑΚΗ</t>
  </si>
  <si>
    <t>ΓΛΥΚΕΡΙΑ</t>
  </si>
  <si>
    <t>ΑΜ402326</t>
  </si>
  <si>
    <t>1103,3</t>
  </si>
  <si>
    <t>1249-1256-1253-1248-1201-1206</t>
  </si>
  <si>
    <t>ΝΤΑΦΟΠΟΥΛΟΥ</t>
  </si>
  <si>
    <t>Ρ348557</t>
  </si>
  <si>
    <t>1102,6</t>
  </si>
  <si>
    <t>1201-1202-1205-1206-1219-1217-1247-1248-1249-1250-1253-1254-1255-1267-1222-1251-1256</t>
  </si>
  <si>
    <t>ΑΜ417245</t>
  </si>
  <si>
    <t>644,6</t>
  </si>
  <si>
    <t>1101,6</t>
  </si>
  <si>
    <t>1253-1248-1219-1267-1249-1206-1203-1202-1204-1205-1255-1221-1247-1201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</si>
  <si>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</si>
  <si>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</si>
  <si>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</si>
  <si>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</si>
  <si>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</si>
  <si>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</si>
  <si>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</si>
  <si>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ΝΙΚΟΥ</t>
  </si>
  <si>
    <t>Σ870049</t>
  </si>
  <si>
    <t>1247-1217-1219-1248-1249-1253-1254-1256-1267-1206-1205-1202-1201-1250-1251-1255</t>
  </si>
  <si>
    <t>ΠΙΣΤΑ</t>
  </si>
  <si>
    <t>Χ306027</t>
  </si>
  <si>
    <t>1090,8</t>
  </si>
  <si>
    <t>1250-1254-1253-1255-1247-1206-1205-1202-1201-1248-1249</t>
  </si>
  <si>
    <t>ΚΩΝΣΤΑΝΤΙΝΟΥ</t>
  </si>
  <si>
    <t>ΜΩΥΣΗΣ</t>
  </si>
  <si>
    <t>ΑΙ227245</t>
  </si>
  <si>
    <t>1088,6</t>
  </si>
  <si>
    <t>1218-1250-1254-1201-1203-1253-1249-1248-1206</t>
  </si>
  <si>
    <t>ΜΟΥΤΟΥ</t>
  </si>
  <si>
    <t>ΠΑΡΑΣΚΕΥΑΣ</t>
  </si>
  <si>
    <t>ΑΖ938930</t>
  </si>
  <si>
    <t>620,4</t>
  </si>
  <si>
    <t>1087,4</t>
  </si>
  <si>
    <t>1217-1201-1206-1204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</si>
  <si>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</si>
  <si>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</si>
  <si>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</si>
  <si>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</si>
  <si>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</si>
  <si>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</si>
  <si>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</si>
  <si>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</si>
  <si>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ΚΑΡΟΥΜΠΑ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</si>
  <si>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</si>
  <si>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</si>
  <si>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</si>
  <si>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</si>
  <si>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</si>
  <si>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</si>
  <si>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</si>
  <si>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ΜΑΝΤΖΙΑΡΑΣ</t>
  </si>
  <si>
    <t>ΑΜ844391</t>
  </si>
  <si>
    <t>1085,2</t>
  </si>
  <si>
    <t>1201-1253-1254-1249-1267-1248-1247-1206-1255-1205-1202-1250</t>
  </si>
  <si>
    <t>ΜΠΟΜΠΟΛΑΚΗΣ</t>
  </si>
  <si>
    <t>Σ499521</t>
  </si>
  <si>
    <t>1205-1255-1202-1247-1250-1248-1267-1201-1206-1256-1254-1253-1249</t>
  </si>
  <si>
    <t>ΚΑΛΟΓΙΑΝΝΗ</t>
  </si>
  <si>
    <t>ΔΗΜΟΣΘΕΝΗΣ</t>
  </si>
  <si>
    <t>ΑΒ080163</t>
  </si>
  <si>
    <t>1079,6</t>
  </si>
  <si>
    <t>1217-1250-1247-1254-1219-1248-1201-1249-1253-1255-1202-1206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</si>
  <si>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</si>
  <si>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</si>
  <si>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</si>
  <si>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</si>
  <si>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</si>
  <si>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</si>
  <si>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</si>
  <si>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</si>
  <si>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ΜΠΛΑΝΗ</t>
  </si>
  <si>
    <t>Φ239338</t>
  </si>
  <si>
    <t>794,2</t>
  </si>
  <si>
    <t>1076,2</t>
  </si>
  <si>
    <t>1201-1203</t>
  </si>
  <si>
    <t>ΠΙΠΙΛΑ</t>
  </si>
  <si>
    <t>Χ409843</t>
  </si>
  <si>
    <t>1074,3</t>
  </si>
  <si>
    <t>ΦΩΤΟΠΟΥΛΟΣ</t>
  </si>
  <si>
    <t>ΑΗ734277</t>
  </si>
  <si>
    <t>651,2</t>
  </si>
  <si>
    <t>1073,2</t>
  </si>
  <si>
    <t>1250-1202-1203-1221-1255-1204-1205-1254-1218-1267-1201-1223-1206-1249-1253-1256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</si>
  <si>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</si>
  <si>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</si>
  <si>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</si>
  <si>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</si>
  <si>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</si>
  <si>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</si>
  <si>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</si>
  <si>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</si>
  <si>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Τ394720</t>
  </si>
  <si>
    <t>1071,8</t>
  </si>
  <si>
    <t>1201-1203-1253-1254-1256</t>
  </si>
  <si>
    <t>ΚΟΚΟΖΙΔΟΥ</t>
  </si>
  <si>
    <t>ΒΕΡΑ</t>
  </si>
  <si>
    <t>Χ760250</t>
  </si>
  <si>
    <t>1071,2</t>
  </si>
  <si>
    <t>1249-1253-1201-1206</t>
  </si>
  <si>
    <t>ΚΑΡΑΝΤΩΝΗ</t>
  </si>
  <si>
    <t>ΔΗΜΗΤΡΑ ΧΑΡΑ</t>
  </si>
  <si>
    <t>ΑΕ867512</t>
  </si>
  <si>
    <t>760,1</t>
  </si>
  <si>
    <t>1068,1</t>
  </si>
  <si>
    <t>1219-1267-1206-1248-1201-1253-1249-1254-1255-1205-1221-1202-1250-1247-1217-1256</t>
  </si>
  <si>
    <t>ΣΤΑΜΑΤΟΠΟΥΛΟΣ</t>
  </si>
  <si>
    <t>ΑΝΑΣΤΑΣΗΣ</t>
  </si>
  <si>
    <t>ΣΤΑΜΑΤΙΟΣ</t>
  </si>
  <si>
    <t>ΑΙ405861</t>
  </si>
  <si>
    <t>1067,7</t>
  </si>
  <si>
    <t>1206-1219-1248-1253-1256-1254-1201-1249-1247-1250-1217-1202-1255-1251</t>
  </si>
  <si>
    <t>ΡΟΒΥΘΑΚΗ</t>
  </si>
  <si>
    <t>ΑΜ453840</t>
  </si>
  <si>
    <t>1067,2</t>
  </si>
  <si>
    <t>1202-1205-1255-1221-1248-1249-1247-1250-1253-1256-1206-1267-1254-1201</t>
  </si>
  <si>
    <t>ΣΑΡΤΖΕΤΑΚΗ</t>
  </si>
  <si>
    <t>Χ995907</t>
  </si>
  <si>
    <t>1065,8</t>
  </si>
  <si>
    <t>1255-1205-1202-1221-1248-1201-1247-1253-1254-1206-1250-1249-1222-1256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</si>
  <si>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</si>
  <si>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</si>
  <si>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</si>
  <si>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</si>
  <si>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</si>
  <si>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</si>
  <si>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</si>
  <si>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</si>
  <si>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</si>
  <si>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ΣΥΛΕΟΥΝΗ</t>
  </si>
  <si>
    <t>ΑΗ785843</t>
  </si>
  <si>
    <t>1062,9</t>
  </si>
  <si>
    <t>1201-1254-1247-1267-1253-1249-1206-1250-1248-1255-1205-1202-1222-1256</t>
  </si>
  <si>
    <t>ΠΑΣΧΑΛΙΔΟΥ</t>
  </si>
  <si>
    <t>ΑΕ820358</t>
  </si>
  <si>
    <t>763,4</t>
  </si>
  <si>
    <t>1061,4</t>
  </si>
  <si>
    <t>1249-1256-1253-1248-1201-1206-1223-1250-1254-1247-1255-1205-1202</t>
  </si>
  <si>
    <t>ΚΑΡΑΛΗ</t>
  </si>
  <si>
    <t>ΓΙΑΝΝΟΥΛΑ</t>
  </si>
  <si>
    <t>ΑΒ545349</t>
  </si>
  <si>
    <t>1059,9</t>
  </si>
  <si>
    <t>1206-1204-1205-1255-1202-1203-1249-1250-1253-1254-1256-1221-1218-1223-1219-1201</t>
  </si>
  <si>
    <t>ΜΑΥΡΟΘΑΛΑΣΣΙΤΗΣ</t>
  </si>
  <si>
    <t>ΑΖ944052</t>
  </si>
  <si>
    <t>1059,2</t>
  </si>
  <si>
    <t>1202-1255-1205-1247-1248-1250-1253-1201-1254-1206-1249</t>
  </si>
  <si>
    <t>ΓΚΙΚΑ</t>
  </si>
  <si>
    <t>ΑΣΗΜΙΝΑ</t>
  </si>
  <si>
    <t>ΙΣΤΡΟΣ</t>
  </si>
  <si>
    <t>ΑΚ767811</t>
  </si>
  <si>
    <t>1253-1219-1248-1250-1217-1247-1254-1201-1249-1206-1202-1205-1255</t>
  </si>
  <si>
    <t>ΣΑΡΓΙΩΤΗ</t>
  </si>
  <si>
    <t>Φ334137</t>
  </si>
  <si>
    <t>1055,1</t>
  </si>
  <si>
    <t>1202-1204-1206-1247-1248-1249-1250-1253-1254-1255-1201-1267</t>
  </si>
  <si>
    <t>ΚΑΠΕΡΩΝΗ</t>
  </si>
  <si>
    <t>Φ333089</t>
  </si>
  <si>
    <t>1054,2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</si>
  <si>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</si>
  <si>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</si>
  <si>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</si>
  <si>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</si>
  <si>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</si>
  <si>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ΚΥΡΚΟΥ</t>
  </si>
  <si>
    <t>ΑΙ840921</t>
  </si>
  <si>
    <t>1256-1201-1255-1202-1205-1206-1248-1249-1247-1253-1254-1250</t>
  </si>
  <si>
    <t>ΓΕΡΟΔΗΜΟΣ</t>
  </si>
  <si>
    <t>ΑΜ654538</t>
  </si>
  <si>
    <t>661,1</t>
  </si>
  <si>
    <t>1048,1</t>
  </si>
  <si>
    <t>1201-1202-1204-1205-1206-1217-1218-1219-1220-1221-1222-1223-1247-1248-1249-1250-1251-1252-1253-1254-1255-1256</t>
  </si>
  <si>
    <t>ΜΗΤΡΟΥΣΗ</t>
  </si>
  <si>
    <t>Ρ457687</t>
  </si>
  <si>
    <t>1222-1206-1248-1253-1205-1255-1202-1247-1201-1249-1217-1250-1254</t>
  </si>
  <si>
    <t>ΠΑΠΑΔΑΚΗ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</si>
  <si>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</si>
  <si>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</si>
  <si>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</si>
  <si>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</si>
  <si>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ΣΩΤΗΡΙΑ</t>
  </si>
  <si>
    <t>ΑΜ161042</t>
  </si>
  <si>
    <t>839,3</t>
  </si>
  <si>
    <t>1045,3</t>
  </si>
  <si>
    <t>1201-1253-1206-1248-1249-1256-1254-1250-1247-1255-1202-1205</t>
  </si>
  <si>
    <t>ΑΕ801197</t>
  </si>
  <si>
    <t>1042,6</t>
  </si>
  <si>
    <t>1201-1206-1249-1254-1219-1248-1253-1256-1218-1205-1255-1202</t>
  </si>
  <si>
    <t>ΘΥΜΑΡΑ</t>
  </si>
  <si>
    <t>Χ120216</t>
  </si>
  <si>
    <t>1039,7</t>
  </si>
  <si>
    <t>1250-1247-1217-1204-1205-1202-1248-1255-1206-1267-1201-1219-1221-1252-1251-1203-1249-1253-1254-1256-1223</t>
  </si>
  <si>
    <t>ΠΑΛΑΜΙΩΤΗ</t>
  </si>
  <si>
    <t>ΑΖ784307</t>
  </si>
  <si>
    <t>751,3</t>
  </si>
  <si>
    <t>1037,3</t>
  </si>
  <si>
    <t>1201-1254-1248-1247-1206-1249-1253-1250-1205-1255-1202</t>
  </si>
  <si>
    <t>ΕΥΔΟΚΗΣ</t>
  </si>
  <si>
    <t>Φ263829</t>
  </si>
  <si>
    <t>1206-1222-1203-1201-1204-1205-1221-1202-1223-1218</t>
  </si>
  <si>
    <t>ΓΚΙΖΑ</t>
  </si>
  <si>
    <t>ΑΖ742238</t>
  </si>
  <si>
    <t>687,5</t>
  </si>
  <si>
    <t>1032,5</t>
  </si>
  <si>
    <t>1248-1249-1253-1206-1201-1250-1254-1255-1243-1205-1202-1267-1256</t>
  </si>
  <si>
    <t>ΚΙΟΥΤΟΥΚΙΔΟΥ</t>
  </si>
  <si>
    <t>ΑΝΔΡΙΑΝΝΑ</t>
  </si>
  <si>
    <t>ΑΒ156686</t>
  </si>
  <si>
    <t>1219-1267-1248-1206-1202-1253-1255-1205-1247-1252-1201-1249-1254-1217-1250-1218</t>
  </si>
  <si>
    <t>ΤΑΜΠΑΚΗ</t>
  </si>
  <si>
    <t>ΑΕ344464</t>
  </si>
  <si>
    <t>1031,6</t>
  </si>
  <si>
    <t>1219-1217-1251-1249-1248-1247-1206-1205-1202-1255-1253-1254-1201-1256-1267</t>
  </si>
  <si>
    <t>ΣΤΑΜΠΟΥΛΙΔΟΥ</t>
  </si>
  <si>
    <t>Σ385236</t>
  </si>
  <si>
    <t>1253-1267-1206-1201-1249-1254-1247-1250-1221-1255-1202-1205-1248-1203-1218</t>
  </si>
  <si>
    <t>ΛΥΤΗΣ</t>
  </si>
  <si>
    <t>ΔΗΜΗΤΡΗΣ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</si>
  <si>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</si>
  <si>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</si>
  <si>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</si>
  <si>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</si>
  <si>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</si>
  <si>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</si>
  <si>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</si>
  <si>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</si>
  <si>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</si>
  <si>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</si>
  <si>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</si>
  <si>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</si>
  <si>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</si>
  <si>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</si>
  <si>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</si>
  <si>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</si>
  <si>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</si>
  <si>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</si>
  <si>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</si>
  <si>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</si>
  <si>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Σ848900</t>
  </si>
  <si>
    <t>630,3</t>
  </si>
  <si>
    <t>1023,3</t>
  </si>
  <si>
    <t>1217-1219-1205-1201-1247-1250-1255-1206-1254-1253-1202-1267-1222</t>
  </si>
  <si>
    <t>ΚΑΡΑΙΣΚΟΥ</t>
  </si>
  <si>
    <t>ΑΖ283825</t>
  </si>
  <si>
    <t>1022,6</t>
  </si>
  <si>
    <t>1252-1201-1248-1249-1267</t>
  </si>
  <si>
    <t>ΚΑΛΛΙΝΙΚΟΥ</t>
  </si>
  <si>
    <t>ΑΙ496660</t>
  </si>
  <si>
    <t>1247-1250-1254-1248-1201-1249-1253-1256-1255-1205-1202-1206</t>
  </si>
  <si>
    <t>ΦΕΥΓΑ</t>
  </si>
  <si>
    <t>ΑΕ802478</t>
  </si>
  <si>
    <t>1017,3</t>
  </si>
  <si>
    <t>1223-1203-1201-1267-1248-1247-1254-1250-1249-1206-1253-1256-1221-1255-1202-1205</t>
  </si>
  <si>
    <t>ΚΟΝΙΑΡΗ</t>
  </si>
  <si>
    <t>Σ803275</t>
  </si>
  <si>
    <t>672,1</t>
  </si>
  <si>
    <t>1017,1</t>
  </si>
  <si>
    <t>1201-1249-1250-1253-1248-1267-1254-1247-1206</t>
  </si>
  <si>
    <t>ΜΠΑΝΤΗ</t>
  </si>
  <si>
    <t>ΑΖ812740</t>
  </si>
  <si>
    <t>1015,4</t>
  </si>
  <si>
    <t>1248-1253-1249-1254-1206-1201-1247-1205-1202-1250-1255</t>
  </si>
  <si>
    <t>ΜΠΟΥΡΑ</t>
  </si>
  <si>
    <t>Π405704</t>
  </si>
  <si>
    <t>1219-1267-1248-1206-1249-1203-1201-1253-1254-1256-1250-1247-1202-1205-1251-1255-1217-1222-1223-1220</t>
  </si>
  <si>
    <t>ΠΛΙΑΜΕΡΗ</t>
  </si>
  <si>
    <t>Σ775208</t>
  </si>
  <si>
    <t>ΣΑΤΣΙΟΣ</t>
  </si>
  <si>
    <t>ΑΖ400994</t>
  </si>
  <si>
    <t>741,4</t>
  </si>
  <si>
    <t>1011,4</t>
  </si>
  <si>
    <t>1219-1248-1252-1249-1201-1254-1247-1250-1255-1202</t>
  </si>
  <si>
    <t>ΒΟΝΟΡΤΑ</t>
  </si>
  <si>
    <t>ΑΒ998866</t>
  </si>
  <si>
    <t>1011,1</t>
  </si>
  <si>
    <t>1248-1267-1201-1254-1250-1247-1255-1205-1202-1206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</si>
  <si>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</si>
  <si>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</si>
  <si>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</si>
  <si>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</si>
  <si>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</si>
  <si>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</si>
  <si>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</si>
  <si>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</si>
  <si>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ΧΡΙΣΤΟΠΟΥΛΟΣ</t>
  </si>
  <si>
    <t>ΧΑΡΙΤΩΝ</t>
  </si>
  <si>
    <t>Σ375468</t>
  </si>
  <si>
    <t>1250-1254-1247-1248-1249-1253-1201-1202</t>
  </si>
  <si>
    <t>ΑΝΑΣΤΑΣΙΑΔΗΣ</t>
  </si>
  <si>
    <t>ΑΝ914178</t>
  </si>
  <si>
    <t>1008,4</t>
  </si>
  <si>
    <t>1267-1248-1256-1206-1253-1249-1219-1247-1201-1254-1250-1251-1255-1205-1202-1217</t>
  </si>
  <si>
    <t>ΤΟΠΑΛΙΔΗΣ</t>
  </si>
  <si>
    <t>ΑΗ839257</t>
  </si>
  <si>
    <t>1206-1219-1267-1248-1253-1249-1254-1247-1201-1205-1255-1202-1217-1250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</si>
  <si>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</si>
  <si>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</si>
  <si>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</si>
  <si>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</si>
  <si>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</si>
  <si>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</si>
  <si>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</si>
  <si>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</si>
  <si>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</si>
  <si>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</si>
  <si>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</si>
  <si>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</si>
  <si>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</si>
  <si>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</si>
  <si>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</si>
  <si>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</si>
  <si>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</si>
  <si>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</si>
  <si>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</si>
  <si>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</si>
  <si>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</si>
  <si>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</si>
  <si>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</si>
  <si>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</si>
  <si>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</si>
  <si>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</si>
  <si>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</si>
  <si>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</si>
  <si>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</si>
  <si>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</si>
  <si>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</si>
  <si>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</si>
  <si>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</si>
  <si>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ΧΑΤΖΗΓΕΩΡΓΙΑΔΟΥ</t>
  </si>
  <si>
    <t>ΑΕ899797</t>
  </si>
  <si>
    <t>1206-1219-1267-1255-1205-1202-1253-1201-1254-1217</t>
  </si>
  <si>
    <t>ΣΠΥΡΙΔΟΥΛΑ</t>
  </si>
  <si>
    <t>Χ780789</t>
  </si>
  <si>
    <t>1248-1202-1205-1254-1253-1267-1255-1249-1247-1250-1201</t>
  </si>
  <si>
    <t>ΓΟΥΣΗ</t>
  </si>
  <si>
    <t>ΑΒ549920</t>
  </si>
  <si>
    <t>742,5</t>
  </si>
  <si>
    <t>992,5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</si>
  <si>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</si>
  <si>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</si>
  <si>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</si>
  <si>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</si>
  <si>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</si>
  <si>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</si>
  <si>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</si>
  <si>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</si>
  <si>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ΑΒ431730</t>
  </si>
  <si>
    <t>990,3</t>
  </si>
  <si>
    <t>ΣΟΥΒΑΤΖΗ</t>
  </si>
  <si>
    <t>Φ224155</t>
  </si>
  <si>
    <t>832,7</t>
  </si>
  <si>
    <t>989,7</t>
  </si>
  <si>
    <t>1201-1217-1247</t>
  </si>
  <si>
    <t>ΑΙ295021</t>
  </si>
  <si>
    <t>987,4</t>
  </si>
  <si>
    <t>1201-1202-1203-1205-1206-1247-1248-1249-1250-1253-1254-1255-1256-1267</t>
  </si>
  <si>
    <t>ΑΑ250523</t>
  </si>
  <si>
    <t>986,6</t>
  </si>
  <si>
    <t>1219-1267-1248-1256-1220-1253-1249-1203-1201-1252</t>
  </si>
  <si>
    <t>ΦΙΛΗ</t>
  </si>
  <si>
    <t>ΜΗΤΣΗΣ</t>
  </si>
  <si>
    <t>ΑΖ751069</t>
  </si>
  <si>
    <t>986,2</t>
  </si>
  <si>
    <t>1205-1249-1201-1248-1206-1253-1254-1250-1247-1202-1255-1267</t>
  </si>
  <si>
    <t>ΔΡΕΤΑΚΗ</t>
  </si>
  <si>
    <t>ΑΙ940373</t>
  </si>
  <si>
    <t>983,8</t>
  </si>
  <si>
    <t>1202-1205-1255-1248-1247-1250-1201-1253-1254-1256-1206-1249</t>
  </si>
  <si>
    <t>ΙΩΑΝΝΟΥ</t>
  </si>
  <si>
    <t>Χ360092</t>
  </si>
  <si>
    <t>783,2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</si>
  <si>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</si>
  <si>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</si>
  <si>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</si>
  <si>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</si>
  <si>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</si>
  <si>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</si>
  <si>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ΠΕΡΚΑ</t>
  </si>
  <si>
    <t>ΑΒ836479</t>
  </si>
  <si>
    <t>981,3</t>
  </si>
  <si>
    <t>1219-1267-1248-1201-1253-1247-1249-1254-1256-1206-1250-1217-1202-1205-1255-1251</t>
  </si>
  <si>
    <t>ΑΚ965486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</si>
  <si>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</si>
  <si>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</si>
  <si>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</si>
  <si>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</si>
  <si>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</si>
  <si>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ΚΑΨΟΠΟΥΛΟΣ</t>
  </si>
  <si>
    <t>ΑΑ376166</t>
  </si>
  <si>
    <t>976,7</t>
  </si>
  <si>
    <t>1205-1249-1206-1247-1202-1250-1253-1254-1201-1248-1255-1267</t>
  </si>
  <si>
    <t>ΠΑΠΑΘΕΟΔΩΡΟΥ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</si>
  <si>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</si>
  <si>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</si>
  <si>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</si>
  <si>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</si>
  <si>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</si>
  <si>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</si>
  <si>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ΝΙΚΟΛΑΚΟΠΟΥΛΟΣ</t>
  </si>
  <si>
    <t>ΑΙ768443</t>
  </si>
  <si>
    <t>940,5</t>
  </si>
  <si>
    <t>970,5</t>
  </si>
  <si>
    <t>1250-1247-1254-1201-1253-1249-1267-1248-1206-1205-1255-1202-1256-1222</t>
  </si>
  <si>
    <t>ΠΡΑΠΑΣ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</si>
  <si>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</si>
  <si>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</si>
  <si>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</si>
  <si>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</si>
  <si>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</si>
  <si>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</si>
  <si>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</si>
  <si>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</si>
  <si>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ΝΑΝΟΣ</t>
  </si>
  <si>
    <t>ΤΡΑΙΑΝΟΣ</t>
  </si>
  <si>
    <t>ΑΚ433718</t>
  </si>
  <si>
    <t>966,1</t>
  </si>
  <si>
    <t>1256-1206-1248-1253-1247-1249-1255-1205-1254-1250-1202-1201-1222</t>
  </si>
  <si>
    <t>ΤΖΙΟΥΒΙΛΑ</t>
  </si>
  <si>
    <t>ΑΑ383745</t>
  </si>
  <si>
    <t>962,9</t>
  </si>
  <si>
    <t>1202-1253-1201-1203-1205-1206-1247-1248-1249-1250-1254-1255-1256-1267</t>
  </si>
  <si>
    <t>ΠΑΠΑΧΑΤΖΟΠΟΥΛΟΥ</t>
  </si>
  <si>
    <t>ΑΚ025561</t>
  </si>
  <si>
    <t>961,9</t>
  </si>
  <si>
    <t>1250-1247-1254-1203-1202-1221-1255-1205-1267-1248-1218-1201-1249-1253-1206</t>
  </si>
  <si>
    <t>ΝΩΤΑ</t>
  </si>
  <si>
    <t>ΑΑ266055</t>
  </si>
  <si>
    <t>961,7</t>
  </si>
  <si>
    <t>1219-1249-1248-1253-1206-1201-1255-1205-1202-1221-1247-1250-1252-1254</t>
  </si>
  <si>
    <t>ΔΗΜΗΤΡΙΟΥ</t>
  </si>
  <si>
    <t>ΑΗ268618</t>
  </si>
  <si>
    <t>960,4</t>
  </si>
  <si>
    <t>1201-1204-1205-1206-1249-1247-1250-1248-1255-1253-1254-1256-1257-1267</t>
  </si>
  <si>
    <t>ΑΒΡΑΜΠΟΥ</t>
  </si>
  <si>
    <t>Χ375147</t>
  </si>
  <si>
    <t>960,1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</si>
  <si>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</si>
  <si>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</si>
  <si>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</si>
  <si>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</si>
  <si>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</si>
  <si>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ΕΥΑΓΓΕΛΟΥ</t>
  </si>
  <si>
    <t>ΑΕ829285</t>
  </si>
  <si>
    <t>959,1</t>
  </si>
  <si>
    <t>1249-1219-1248-1267-1256-1253-1206-1252-1201-1247-1217-1250-1254-1255-1202-1251</t>
  </si>
  <si>
    <t>ΑΚ427556</t>
  </si>
  <si>
    <t>ΝΑΝΟΥΔΗΣ</t>
  </si>
  <si>
    <t>Χ948554</t>
  </si>
  <si>
    <t>1256-1253-1267-1248-1249-1206-1201-1205-1255-1247-1250-1254-1202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</si>
  <si>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</si>
  <si>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</si>
  <si>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</si>
  <si>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</si>
  <si>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</si>
  <si>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</si>
  <si>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</si>
  <si>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</si>
  <si>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</si>
  <si>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</si>
  <si>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691,9</t>
  </si>
  <si>
    <t>1202-1205-1255-1247-1254-1250-1206-1201-1253-1249-1248</t>
  </si>
  <si>
    <t>ΛΙΣΓΑΡΑ</t>
  </si>
  <si>
    <t>Ν779776</t>
  </si>
  <si>
    <t>950,4</t>
  </si>
  <si>
    <t>1201-1206-1250-1253-1254-1256-1255-1252-1202-1205-1247-1248-1249-1222</t>
  </si>
  <si>
    <t>ΧΕΙΛΑ</t>
  </si>
  <si>
    <t>ΑΜ984735</t>
  </si>
  <si>
    <t>949,8</t>
  </si>
  <si>
    <t>1254-1201-1247-1248-1267-1250-1206-1249-1253</t>
  </si>
  <si>
    <t>ΚΕΝΑΝΙΔΗΣ</t>
  </si>
  <si>
    <t>ΑΖ796709</t>
  </si>
  <si>
    <t>948,5</t>
  </si>
  <si>
    <t>1248-1202-1206-1247-1255-1249-1250-1253-1254-1201</t>
  </si>
  <si>
    <t>ΣΤΑΜΟΥΛΗ</t>
  </si>
  <si>
    <t>ΑΖ275316</t>
  </si>
  <si>
    <t>948,2</t>
  </si>
  <si>
    <t>1201-1254-1257-1267-1248-1249-1247-1233-1206</t>
  </si>
  <si>
    <t>ΑΕ838813</t>
  </si>
  <si>
    <t>945,1</t>
  </si>
  <si>
    <t>1248-1253-1201-1249-1206-1247-1202-1205-1255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</si>
  <si>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</si>
  <si>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</si>
  <si>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</si>
  <si>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</si>
  <si>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</si>
  <si>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</si>
  <si>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</si>
  <si>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</si>
  <si>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</si>
  <si>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</si>
  <si>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</si>
  <si>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</si>
  <si>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</si>
  <si>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ΧΡΥΣΟΒΑΛΑΝΤΗΣ</t>
  </si>
  <si>
    <t>ΑΒ113012</t>
  </si>
  <si>
    <t>941,7</t>
  </si>
  <si>
    <t>1249-1248-1267-1256-1201-1202-1205-1206-1247-1250-1253-1254-1255</t>
  </si>
  <si>
    <t>ΘΕΟΔΩΡΟΥ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</si>
  <si>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</si>
  <si>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</si>
  <si>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</si>
  <si>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</si>
  <si>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</si>
  <si>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</si>
  <si>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</si>
  <si>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</si>
  <si>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</si>
  <si>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</si>
  <si>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</si>
  <si>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</si>
  <si>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</si>
  <si>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</si>
  <si>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</si>
  <si>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</si>
  <si>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ΓΕΡΑΣΙΜΟΥ</t>
  </si>
  <si>
    <t>ΝΟΠΗ</t>
  </si>
  <si>
    <t>ΑΒ913024</t>
  </si>
  <si>
    <t>934,7</t>
  </si>
  <si>
    <t>1247-1250-1254-1248-1267-1206-1201-1253-1249-1205-1255-1202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</si>
  <si>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</si>
  <si>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</si>
  <si>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</si>
  <si>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</si>
  <si>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</si>
  <si>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</si>
  <si>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</si>
  <si>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</si>
  <si>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ΓΙΑΝΝΗ</t>
  </si>
  <si>
    <t>ΑΖ787214</t>
  </si>
  <si>
    <t>931,3</t>
  </si>
  <si>
    <t>1201-1202-1203-1204-1205-1206-1218-1221-1222-1223-1247-1248-1249-1250-1251-1252-1253-1254-1255-1256-1267</t>
  </si>
  <si>
    <t>Θεοδωρίδης</t>
  </si>
  <si>
    <t>Γεώργιος</t>
  </si>
  <si>
    <t>Τενγκίζ</t>
  </si>
  <si>
    <t>ΑΑ266411</t>
  </si>
  <si>
    <t>930,9</t>
  </si>
  <si>
    <t>1248-1206-1253-1249-1256-1201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</si>
  <si>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</si>
  <si>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</si>
  <si>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</si>
  <si>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</si>
  <si>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</si>
  <si>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</si>
  <si>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676,5</t>
  </si>
  <si>
    <t>930,5</t>
  </si>
  <si>
    <t>1250-1255-1267-1201-1248-1206-1253-1254-1202-1247-1249</t>
  </si>
  <si>
    <t>ΣΠΥΡΟΠΟΥΛΟΥ</t>
  </si>
  <si>
    <t>ΔΑΝΑΗ</t>
  </si>
  <si>
    <t>ΑΒ432181</t>
  </si>
  <si>
    <t>927,7</t>
  </si>
  <si>
    <t>1252-1201-1203</t>
  </si>
  <si>
    <t>ΝΤΙΟ</t>
  </si>
  <si>
    <t>ΑΒ858364</t>
  </si>
  <si>
    <t>622,6</t>
  </si>
  <si>
    <t>925,6</t>
  </si>
  <si>
    <t>1249-1253-1219-1248-1267-1201-1252-1256-1223-1221-1204-1205-1255-1202-1251-1222-1206-1220-1218-1247-1254-1217-1250</t>
  </si>
  <si>
    <t>ΑΙΚΑΤΕΡΙΝΑ</t>
  </si>
  <si>
    <t>ΑΖ291969</t>
  </si>
  <si>
    <t>727,1</t>
  </si>
  <si>
    <t>1249-1248-1253-1201-1255-1202-1256-1221-1205-1247-1222-1250-1206-1254-1267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</si>
  <si>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</si>
  <si>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</si>
  <si>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</si>
  <si>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</si>
  <si>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</si>
  <si>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</si>
  <si>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</si>
  <si>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</si>
  <si>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</si>
  <si>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</si>
  <si>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</si>
  <si>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</si>
  <si>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</si>
  <si>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</si>
  <si>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</si>
  <si>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</si>
  <si>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</si>
  <si>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</si>
  <si>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</si>
  <si>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</si>
  <si>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</si>
  <si>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</si>
  <si>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</si>
  <si>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</si>
  <si>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</si>
  <si>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ΜΑΝΤΑΛΙΑ</t>
  </si>
  <si>
    <t>ΑΒ103764</t>
  </si>
  <si>
    <t>921,1</t>
  </si>
  <si>
    <t>ΖΑΜΠΟΥ</t>
  </si>
  <si>
    <t>Χ286493</t>
  </si>
  <si>
    <t>819,5</t>
  </si>
  <si>
    <t>919,5</t>
  </si>
  <si>
    <t>1250-1247-1254-1206-1267-1201-1205-1255-1248-1202-1253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</si>
  <si>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</si>
  <si>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</si>
  <si>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</si>
  <si>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</si>
  <si>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</si>
  <si>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</si>
  <si>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</si>
  <si>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ΑΒΔΙΜΙΩΤΗ</t>
  </si>
  <si>
    <t>Σ454034</t>
  </si>
  <si>
    <t>1267-1201-1206-1219-1248-1254-1247-1253-1249-1256</t>
  </si>
  <si>
    <t>ΒΕΡΓΟΥ</t>
  </si>
  <si>
    <t>Χ425611</t>
  </si>
  <si>
    <t>915,4</t>
  </si>
  <si>
    <t>1201-1206-1247-1248-1249-1250-1253-1254-1256</t>
  </si>
  <si>
    <t>ΜΠΕΛΕΒΡΑΤΗΣ</t>
  </si>
  <si>
    <t>ΑΒ016170</t>
  </si>
  <si>
    <t>914,8</t>
  </si>
  <si>
    <t>1206-1217-1219-1201-1202-1205</t>
  </si>
  <si>
    <t>ΜΙΧΑΛΑΚΑ</t>
  </si>
  <si>
    <t>ΑΖ166951</t>
  </si>
  <si>
    <t>884,4</t>
  </si>
  <si>
    <t>914,4</t>
  </si>
  <si>
    <t>1248-1249-1253-1250-1201-1206-1202-1205-1247-1254-1255</t>
  </si>
  <si>
    <t>ΝΤΟΣΤΑ</t>
  </si>
  <si>
    <t>ΑΙ876347</t>
  </si>
  <si>
    <t>913,3</t>
  </si>
  <si>
    <t>1256-1249-1248-1247-1254-1201-1250-1202-1255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</si>
  <si>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</si>
  <si>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</si>
  <si>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</si>
  <si>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</si>
  <si>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</si>
  <si>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</si>
  <si>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629,2</t>
  </si>
  <si>
    <t>911,2</t>
  </si>
  <si>
    <t>1201-1202-1204-1205-1206-1247-1248-1249-1250-1253-1254-1255-1256-1267</t>
  </si>
  <si>
    <t>ΚΑΤΣΙΑΜΑΝΗ</t>
  </si>
  <si>
    <t>ΑΒ104026</t>
  </si>
  <si>
    <t>909,7</t>
  </si>
  <si>
    <t>1201-1219-1248-1253-1249-1250-1217-1267-1256-1247-1255-1205-1202-1251</t>
  </si>
  <si>
    <t>Χ477392</t>
  </si>
  <si>
    <t>906,5</t>
  </si>
  <si>
    <t>1201-1202-1205-1206-1247-1248-1249-1250-1253-1254-1255-1256-1218</t>
  </si>
  <si>
    <t>ΚΩΣΤΟΠΟΥΛΟΣ</t>
  </si>
  <si>
    <t>ΓΙΩΡΓΟΣ</t>
  </si>
  <si>
    <t>ΑΑ430298</t>
  </si>
  <si>
    <t>905,2</t>
  </si>
  <si>
    <t>1201-1247-1248-1253-1254-1256</t>
  </si>
  <si>
    <t>ΚΛΕΟΝΙΚΗ</t>
  </si>
  <si>
    <t>ΑΗ397203</t>
  </si>
  <si>
    <t>778,8</t>
  </si>
  <si>
    <t>904,8</t>
  </si>
  <si>
    <t>1206-1248-1219-1267-1253-1249-1254-1247-1217-1250-1205-1202-1255-1201</t>
  </si>
  <si>
    <t>ΖΙΩΓΑΣ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</si>
  <si>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</si>
  <si>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</si>
  <si>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</si>
  <si>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</si>
  <si>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</si>
  <si>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</si>
  <si>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</si>
  <si>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</si>
  <si>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</si>
  <si>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</si>
  <si>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</si>
  <si>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</si>
  <si>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</si>
  <si>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</si>
  <si>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</si>
  <si>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</si>
  <si>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ΓΡΑΜΜΑΤΙΚΑ</t>
  </si>
  <si>
    <t>Φ204495</t>
  </si>
  <si>
    <t>898,8</t>
  </si>
  <si>
    <t>1250-1254-1247-1201-1248-1267-1249-1253-1256-1206-1255-1202-1205</t>
  </si>
  <si>
    <t>ΧΑΙΤΑ</t>
  </si>
  <si>
    <t>ΣΥΜΕΩΝ</t>
  </si>
  <si>
    <t>Τ372022</t>
  </si>
  <si>
    <t>1249-1267-1201-1256-1253-1248-1206-1247-1250-1255-1202-1205</t>
  </si>
  <si>
    <t>ΔΑΡΔΑ</t>
  </si>
  <si>
    <t>ΕΥΓΓΕΛΙΑ</t>
  </si>
  <si>
    <t>ΑΚ984326</t>
  </si>
  <si>
    <t>894,2</t>
  </si>
  <si>
    <t>1201-1202-1205-1206-1249-1255-1256-1219-1248-1253</t>
  </si>
  <si>
    <t>ΑΛΕΞΑΝΔΡΟΠΟΥΛΟΥ</t>
  </si>
  <si>
    <t>ΑΒ402658</t>
  </si>
  <si>
    <t>892,8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</si>
  <si>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</si>
  <si>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</si>
  <si>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</si>
  <si>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</si>
  <si>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</si>
  <si>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</si>
  <si>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</si>
  <si>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</si>
  <si>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</si>
  <si>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</si>
  <si>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</si>
  <si>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</si>
  <si>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</si>
  <si>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</si>
  <si>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</si>
  <si>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</si>
  <si>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674,3</t>
  </si>
  <si>
    <t>887,3</t>
  </si>
  <si>
    <t>ΝΤΖΟΥΜΑΝΙΚΑ</t>
  </si>
  <si>
    <t>ΑΖ362129</t>
  </si>
  <si>
    <t>885,2</t>
  </si>
  <si>
    <t>ΚΟΝΤΟΒΑΣ</t>
  </si>
  <si>
    <t>ΑΝ338411</t>
  </si>
  <si>
    <t>883,8</t>
  </si>
  <si>
    <t>1201-1252-1254-1219-1247-1206-1253-1256-1248-1249-1217-1250-1202-1205-1255-1251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</si>
  <si>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</si>
  <si>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</si>
  <si>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</si>
  <si>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</si>
  <si>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</si>
  <si>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</si>
  <si>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</si>
  <si>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ΣΑΜΑΡΑ</t>
  </si>
  <si>
    <t>ΑΖ793706</t>
  </si>
  <si>
    <t>880,7</t>
  </si>
  <si>
    <t>1249-1253-1256-1248-1206-1201-1247-1254-1255-1205-1202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</si>
  <si>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</si>
  <si>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</si>
  <si>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</si>
  <si>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</si>
  <si>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</si>
  <si>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</si>
  <si>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</si>
  <si>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</si>
  <si>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</si>
  <si>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</si>
  <si>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</si>
  <si>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</si>
  <si>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</si>
  <si>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</si>
  <si>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ΖΕΥΓΑΡΑ</t>
  </si>
  <si>
    <t>ΣΤΕΡΓIANH</t>
  </si>
  <si>
    <t>ΑΜ389413</t>
  </si>
  <si>
    <t>1201-1254-1267-1247-1250-1206-1253-1248-1249-1255-1202</t>
  </si>
  <si>
    <t>ΠΑΠΑΦΩΤΟΠΟΥΛΟΣ-ΠΑΤΡΙΝΟΣ</t>
  </si>
  <si>
    <t>ΑΑ317849</t>
  </si>
  <si>
    <t>708,4</t>
  </si>
  <si>
    <t>878,4</t>
  </si>
  <si>
    <t>1201-1217-1218-1250-1204-1205-1221-1223-1251-1255</t>
  </si>
  <si>
    <t>ΑΖ230642</t>
  </si>
  <si>
    <t>878,1</t>
  </si>
  <si>
    <t>ΒΑΣΙΚΩΣΤΑ</t>
  </si>
  <si>
    <t>Τ990072</t>
  </si>
  <si>
    <t>876,3</t>
  </si>
  <si>
    <t>1254-1201-1247-1248-1250-1249-1253-1256-1206-1205-1255-1202</t>
  </si>
  <si>
    <t>ΓΑΛΙΑΤΣΟΥ</t>
  </si>
  <si>
    <t>ΑΡΤΕΜΙΣ</t>
  </si>
  <si>
    <t>ΑΒ393098</t>
  </si>
  <si>
    <t>635,8</t>
  </si>
  <si>
    <t>875,8</t>
  </si>
  <si>
    <t>1201-1248-1247-1206-1249-1250-1253-1254-1255-1202-1205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</si>
  <si>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</si>
  <si>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</si>
  <si>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</si>
  <si>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</si>
  <si>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</si>
  <si>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</si>
  <si>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</si>
  <si>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</si>
  <si>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</si>
  <si>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</si>
  <si>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</si>
  <si>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</si>
  <si>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ΚΟΝΤΟΓΕΩΡΓΟΥ</t>
  </si>
  <si>
    <t>ΑΖ769361</t>
  </si>
  <si>
    <t>873,8</t>
  </si>
  <si>
    <t>1201-1203-1249-1253-1256-1250-1255-1247-1248-1254-1202</t>
  </si>
  <si>
    <t>ΚΟΚΚΑΣ</t>
  </si>
  <si>
    <t>ΧΡΥΣΑΝΘΟΣ</t>
  </si>
  <si>
    <t>ΑΜ832446</t>
  </si>
  <si>
    <t>843,7</t>
  </si>
  <si>
    <t>873,7</t>
  </si>
  <si>
    <t>ΒΟΥΚΟΥΤΗ</t>
  </si>
  <si>
    <t>ΑΗ483066</t>
  </si>
  <si>
    <t>872,4</t>
  </si>
  <si>
    <t>1247-1254-1250-1201-1248-1267-1249-1253-1206-1205-1255</t>
  </si>
  <si>
    <t>ΤΣΙΡΗ</t>
  </si>
  <si>
    <t>ΑΒ867778</t>
  </si>
  <si>
    <t>618,2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</si>
  <si>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</si>
  <si>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</si>
  <si>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</si>
  <si>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</si>
  <si>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</si>
  <si>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</si>
  <si>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</si>
  <si>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870,1</t>
  </si>
  <si>
    <t>1206-1219-1248-1253-1249-1205-1255-1201-1254-1202-1217-1250</t>
  </si>
  <si>
    <t>ΚΑΤΣΑΒΡΙΑ</t>
  </si>
  <si>
    <t>Χ312666</t>
  </si>
  <si>
    <t>869,2</t>
  </si>
  <si>
    <t>1249-1201-1202-1205-1206-1247-1248-1250-1253-1254-1255-1267</t>
  </si>
  <si>
    <t>ΠΟΣΤΑΝΙΔΟΥ</t>
  </si>
  <si>
    <t>ΕΛΙΣΣΑΒΕΤ</t>
  </si>
  <si>
    <t>ΑΚ979472</t>
  </si>
  <si>
    <t>869,1</t>
  </si>
  <si>
    <t>1249-1253-1219-1248-1267-1206-1247-1255-1205-1202-1201-1203-1254-1250-1217</t>
  </si>
  <si>
    <t>ΜΠΙΣΜΠΙΚΗΣ</t>
  </si>
  <si>
    <t>Φ437474</t>
  </si>
  <si>
    <t>868,6</t>
  </si>
  <si>
    <t>1201-1249-1250-1248-1247-1218-1217-1253-1255-1206-1202-1205</t>
  </si>
  <si>
    <t>ΜΑΡΙΑ ΠΑΝΑΓΙΩΤΑ</t>
  </si>
  <si>
    <t>ΑΜ428335</t>
  </si>
  <si>
    <t>806,3</t>
  </si>
  <si>
    <t>866,3</t>
  </si>
  <si>
    <t>1248-1257-1206-1247-1250-1253-1254-1249-1201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</si>
  <si>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</si>
  <si>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</si>
  <si>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</si>
  <si>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</si>
  <si>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</si>
  <si>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</si>
  <si>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</si>
  <si>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</si>
  <si>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</si>
  <si>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</si>
  <si>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</si>
  <si>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</si>
  <si>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</si>
  <si>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ΚΑΚΙΑ</t>
  </si>
  <si>
    <t>ΑΚ877854</t>
  </si>
  <si>
    <t>859,7</t>
  </si>
  <si>
    <t>1201-1219-1267</t>
  </si>
  <si>
    <t>ΣΚΥΛΟΓΙΑΝΝΗΣ</t>
  </si>
  <si>
    <t>ΑΜ376368</t>
  </si>
  <si>
    <t>859,6</t>
  </si>
  <si>
    <t>1248-1201-1202-1205-1255-1206-1247-1249-1250-1253-1254-1256</t>
  </si>
  <si>
    <t>ΞΑΝΘΟΠΟΥΛΟΣ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</si>
  <si>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</si>
  <si>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</si>
  <si>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</si>
  <si>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</si>
  <si>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</si>
  <si>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</si>
  <si>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</si>
  <si>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ΜΠΑΛΑΦΑ</t>
  </si>
  <si>
    <t>ΒΑΣΙΛΙΚΗ-ΜΑΡΙΑ</t>
  </si>
  <si>
    <t>ΑΖ767866</t>
  </si>
  <si>
    <t>ΚΑΛΟΓΕΡΟΠΑΝΟΥ</t>
  </si>
  <si>
    <t>Χ275279</t>
  </si>
  <si>
    <t>855,1</t>
  </si>
  <si>
    <t>1250-1201-1267-1248-1253-1256-1254-1247</t>
  </si>
  <si>
    <t>ΛΑΓΙΟΥ</t>
  </si>
  <si>
    <t>ΑΗ088900</t>
  </si>
  <si>
    <t>854,6</t>
  </si>
  <si>
    <t>1254-1247-1201-1267-1248-1219-1255-1205-1202-1256-1253-1249-1250-1217-1206</t>
  </si>
  <si>
    <t>ΔΟΥΡΟΥΔΗ</t>
  </si>
  <si>
    <t>ΜΑΡΙΑ-ΧΡΙΣΤΙΝΑ</t>
  </si>
  <si>
    <t>ΑΖ927046</t>
  </si>
  <si>
    <t>853,2</t>
  </si>
  <si>
    <t>1203-1219-1217-1218-1201-1206-1202-1205-1204-1221</t>
  </si>
  <si>
    <t>ΤΣΑΚΑΛΟΣ</t>
  </si>
  <si>
    <t>ΑΗ978708</t>
  </si>
  <si>
    <t>822,8</t>
  </si>
  <si>
    <t>852,8</t>
  </si>
  <si>
    <t>1254-1201-1247</t>
  </si>
  <si>
    <t>ΨΩΜΑΣ</t>
  </si>
  <si>
    <t>Χ777590</t>
  </si>
  <si>
    <t>848,3</t>
  </si>
  <si>
    <t>1247-1254-1250-1248-1202-1205-1255-1201-1267-1253-1206-1249</t>
  </si>
  <si>
    <t>ΔΗΜΗΤΡΑΚΟΠΟΥΛΟΣ</t>
  </si>
  <si>
    <t>ΑΚ078607</t>
  </si>
  <si>
    <t>845,4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</si>
  <si>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</si>
  <si>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</si>
  <si>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</si>
  <si>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</si>
  <si>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</si>
  <si>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ΓΑΛΑΡΑ</t>
  </si>
  <si>
    <t>ΑΒ129316</t>
  </si>
  <si>
    <t>779,9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</si>
  <si>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</si>
  <si>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</si>
  <si>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</si>
  <si>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</si>
  <si>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</si>
  <si>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</si>
  <si>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ΓΕΩΡΓΑΝΤΑ</t>
  </si>
  <si>
    <t>ΑΝ137070</t>
  </si>
  <si>
    <t>844,5</t>
  </si>
  <si>
    <t>1201-1202-1204-1205-1206-1217-1223-1247-1256-1267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</si>
  <si>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</si>
  <si>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</si>
  <si>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</si>
  <si>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</si>
  <si>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</si>
  <si>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</si>
  <si>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</si>
  <si>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ΝΤΕΓΙΑΝΝΗ</t>
  </si>
  <si>
    <t>ΑΒ392614</t>
  </si>
  <si>
    <t>844,2</t>
  </si>
  <si>
    <t>1267-1248-1201</t>
  </si>
  <si>
    <t>ΜΗΝΑΣ</t>
  </si>
  <si>
    <t>ΑΙ297421</t>
  </si>
  <si>
    <t>624,8</t>
  </si>
  <si>
    <t>843,8</t>
  </si>
  <si>
    <t>1201-1254-1249-1247-1253-1248-1250-1255-1202</t>
  </si>
  <si>
    <t xml:space="preserve">ΜΟΥΣΤΑΚΑΣ </t>
  </si>
  <si>
    <t xml:space="preserve">ΣΤΥΛΙΑΝΟΣ </t>
  </si>
  <si>
    <t xml:space="preserve">ΑΘΑΝΑΣΙΟΣ </t>
  </si>
  <si>
    <t>ΑΜ378779</t>
  </si>
  <si>
    <t>712,8</t>
  </si>
  <si>
    <t>839,8</t>
  </si>
  <si>
    <t>1219-1248-1256-1206-1253-1249-1201-1255-1205-1202-1217-1250-1247-1254-1251</t>
  </si>
  <si>
    <t>ΚΑΡΑΝΑΤΣΟΥ</t>
  </si>
  <si>
    <t>ΑΜ855471</t>
  </si>
  <si>
    <t>808,5</t>
  </si>
  <si>
    <t>838,5</t>
  </si>
  <si>
    <t>1249-1248-1253-1201-1206-1247-1250-1254-1255-1202-1256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</si>
  <si>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</si>
  <si>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</si>
  <si>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</si>
  <si>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</si>
  <si>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</si>
  <si>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</si>
  <si>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</si>
  <si>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</si>
  <si>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</si>
  <si>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</si>
  <si>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ΑΝΑΣΤΑΣΟΠΟΥΛΟΣ</t>
  </si>
  <si>
    <t>ΑΗ273846</t>
  </si>
  <si>
    <t>834,3</t>
  </si>
  <si>
    <t>1203-1202-1204-1205-1247-1252-1251-1267-1254-1206-1201-1249</t>
  </si>
  <si>
    <t>ΜΠΑΡΜΠΑΡΟΥΣΗΣ</t>
  </si>
  <si>
    <t>834,2</t>
  </si>
  <si>
    <t>1201-1251</t>
  </si>
  <si>
    <t>ΔΑΒΙΤΗΣ</t>
  </si>
  <si>
    <t>ΑΝ389548</t>
  </si>
  <si>
    <t>1267-1248-1206-1253-1249-1254-1247-1201-1202-1205-1255-1250</t>
  </si>
  <si>
    <t>ΠΑΓΚΑΛΙΔΟΥ</t>
  </si>
  <si>
    <t>ΑΗ281892</t>
  </si>
  <si>
    <t>832,8</t>
  </si>
  <si>
    <t>1267-1248-1247-1254-1253-1206-1250-1249-1201-1202-1255</t>
  </si>
  <si>
    <t>ΚΙΣΤΟΓΛΟΥ</t>
  </si>
  <si>
    <t>ΑΗ310222</t>
  </si>
  <si>
    <t>832,4</t>
  </si>
  <si>
    <t>1256-1253-1249-1248-1206-1201-1247-1202-1205-1255</t>
  </si>
  <si>
    <t>ΛΑΜΠΡΑΚΗΣ</t>
  </si>
  <si>
    <t>Χ863728</t>
  </si>
  <si>
    <t>828,1</t>
  </si>
  <si>
    <t>1205-1255-1201-1249-1253-1202-1247-1250-1206-1254-1248-1256</t>
  </si>
  <si>
    <t>ΤΣΙΚΕΛΗ</t>
  </si>
  <si>
    <t>ΜΑΡΓΑΡΙΤΑ-ΕΛΕΝΗ</t>
  </si>
  <si>
    <t>ΑΖ273808</t>
  </si>
  <si>
    <t>826,9</t>
  </si>
  <si>
    <t>1201-1203-1249-1252</t>
  </si>
  <si>
    <t>ΤΣΩΛΑ</t>
  </si>
  <si>
    <t>ΑΙ295197</t>
  </si>
  <si>
    <t>796,4</t>
  </si>
  <si>
    <t>826,4</t>
  </si>
  <si>
    <t>1203-1252-1201-1219-1248-1267-1216-1221-1222-1255-1205-1204-1249-1202</t>
  </si>
  <si>
    <t>ΝΤΖΟΥΒΑΡΑΣ</t>
  </si>
  <si>
    <t>ΑΚ670252</t>
  </si>
  <si>
    <t>825,7</t>
  </si>
  <si>
    <t>1254-1217-1250-1247-1249-1219-1248-1205-1255-1202-1253-1206-1256-1251-1201</t>
  </si>
  <si>
    <t>ΚΩΣΤΑΣ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</si>
  <si>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</si>
  <si>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</si>
  <si>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</si>
  <si>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</si>
  <si>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</si>
  <si>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</si>
  <si>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</si>
  <si>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ΒΑΙΝΑΣ</t>
  </si>
  <si>
    <t>Χ456414</t>
  </si>
  <si>
    <t>822,1</t>
  </si>
  <si>
    <t>1201-1202-1206-1247-1248-1249-1250-1253-1254-1255</t>
  </si>
  <si>
    <t>ΚΕΜΕΚΕΝΙΔΟΥ</t>
  </si>
  <si>
    <t>Χ771545</t>
  </si>
  <si>
    <t>821,3</t>
  </si>
  <si>
    <t>1219-1248-1267-1201-1206-1249-1217-1250-1253-1254-1255-1202-1205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</si>
  <si>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</si>
  <si>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</si>
  <si>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</si>
  <si>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</si>
  <si>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</si>
  <si>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</si>
  <si>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</si>
  <si>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</si>
  <si>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ΒΑΙΟΥ</t>
  </si>
  <si>
    <t>ΑΒ844417</t>
  </si>
  <si>
    <t>819,8</t>
  </si>
  <si>
    <t>1201-1248-1254-1249-1247-1256-1206-1250-1255</t>
  </si>
  <si>
    <t>ΧΡΑΠΑΛΟΥ</t>
  </si>
  <si>
    <t>ΑΖ774904</t>
  </si>
  <si>
    <t>ΝΙΚΟΛΟΠΟΥΛΟΣ</t>
  </si>
  <si>
    <t>ΑΕ708311</t>
  </si>
  <si>
    <t>819,7</t>
  </si>
  <si>
    <t>1250-1254-1201-1253-1247-1249-1206-1248-1267-1255-1202</t>
  </si>
  <si>
    <t>ΛΕΩΝΙΔΑΣ ΦΩΤΙΟΣ</t>
  </si>
  <si>
    <t>ΑΕ759591</t>
  </si>
  <si>
    <t>819,4</t>
  </si>
  <si>
    <t>1206-1249-1253-1248-1201-1250-1247-1205-1202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</si>
  <si>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</si>
  <si>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</si>
  <si>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</si>
  <si>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</si>
  <si>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</si>
  <si>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</si>
  <si>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</si>
  <si>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ΒΕΝΕΤΣΑΝΟΥ</t>
  </si>
  <si>
    <t>ΑΜ333695</t>
  </si>
  <si>
    <t>817,5</t>
  </si>
  <si>
    <t>1250-1217-1267-1248-1202-1205-1219-1206-1247-1249-1252-1253-1254-1255-1201</t>
  </si>
  <si>
    <t>ΤΖΙΟΥΒΑΝΑΚΟΣ</t>
  </si>
  <si>
    <t>ΑΗ344006</t>
  </si>
  <si>
    <t>814,5</t>
  </si>
  <si>
    <t>1222-1218-1256-1248-1267-1206-1253-1249-1201-1254-1250-1247-1202-1205-1255</t>
  </si>
  <si>
    <t>ΧΑΡΙΚΛΕΙΑ</t>
  </si>
  <si>
    <t>ΑΖ776602</t>
  </si>
  <si>
    <t>814,3</t>
  </si>
  <si>
    <t>1267-1248-1201-1254-1202-1247-1249-1253-1206-1250</t>
  </si>
  <si>
    <t>Χ910813</t>
  </si>
  <si>
    <t>814,2</t>
  </si>
  <si>
    <t>1267-1248-1254-1206-1253-1249-1250-1255-1247-1201-1202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</si>
  <si>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</si>
  <si>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</si>
  <si>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</si>
  <si>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</si>
  <si>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</si>
  <si>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Τσαλμά</t>
  </si>
  <si>
    <t>Αργυρούλα</t>
  </si>
  <si>
    <t>Ευάγγελος</t>
  </si>
  <si>
    <t>ΑΗ484688</t>
  </si>
  <si>
    <t>812,1</t>
  </si>
  <si>
    <t>ΖΑΡΟΥΧΑΣ</t>
  </si>
  <si>
    <t>Φ469179</t>
  </si>
  <si>
    <t>810,9</t>
  </si>
  <si>
    <t>1249-1253-1248-1267-1206-1201-1254-1247-1202-1255-1250</t>
  </si>
  <si>
    <t>Αφεντούλη</t>
  </si>
  <si>
    <t>Ελένη</t>
  </si>
  <si>
    <t>ΑΕ 871507</t>
  </si>
  <si>
    <t>1248-1267-1253-1206-1249-1201</t>
  </si>
  <si>
    <t>ΛΥΣΣΑΝΔΡΟΣ</t>
  </si>
  <si>
    <t>ΑΒ401330</t>
  </si>
  <si>
    <t>808,6</t>
  </si>
  <si>
    <t>ΓΕΛΑΔΑ</t>
  </si>
  <si>
    <t>ΑΒ499222</t>
  </si>
  <si>
    <t>1201-1202-1205-1206-1217-1247-1248-1249-1250-1251-1253-1254-1255-1256</t>
  </si>
  <si>
    <t>ΓΟΥΖΙΟΣ</t>
  </si>
  <si>
    <t>ΑΒ431590</t>
  </si>
  <si>
    <t>803,3</t>
  </si>
  <si>
    <t>1201-1248-1267-1206-1254-1247-1253-1249-1256-1250-1202-1205-1255</t>
  </si>
  <si>
    <t>ΑΕ410464</t>
  </si>
  <si>
    <t>803,1</t>
  </si>
  <si>
    <t>1203-1267-1201-1202-1204-1205-1206-1256-1247</t>
  </si>
  <si>
    <t>ΠΑΠΑΛΑΖΑΡΟΥ</t>
  </si>
  <si>
    <t>ΑΜ787607</t>
  </si>
  <si>
    <t>802,6</t>
  </si>
  <si>
    <t>1201-1249-1248-1219-1217-1250-1206-1247-1253-1254-1252-1218</t>
  </si>
  <si>
    <t>ΣΙΔΕΡΙΤΗΣ</t>
  </si>
  <si>
    <t>Τ310757</t>
  </si>
  <si>
    <t>802,5</t>
  </si>
  <si>
    <t>1254-1247-1206-1249-1253-1202-1255-1248-1201-1267-1217-1218-1219-1222-1223-1203</t>
  </si>
  <si>
    <t>ΜΑΝΙΑ</t>
  </si>
  <si>
    <t>ΑΖ767847</t>
  </si>
  <si>
    <t>801,1</t>
  </si>
  <si>
    <t>1202-1249-1247-1248-1250-1206-1255-1201-1253-1254-1219-1203-1217-1221-1218-1204-1205-1220-1223-1222-1256-1251</t>
  </si>
  <si>
    <t>Χ329866</t>
  </si>
  <si>
    <t>1201-1202-1206-1247-1248-1249-1250-1253-1254-1255-1256</t>
  </si>
  <si>
    <t>ΜΑΛΗ</t>
  </si>
  <si>
    <t>ΑΖ712395</t>
  </si>
  <si>
    <t>798,2</t>
  </si>
  <si>
    <t>1201-1202-1205-1206-1217-1219-1247-1250-1251-1253-1254-1255-1256</t>
  </si>
  <si>
    <t>ΛΑΣΠΑΣ</t>
  </si>
  <si>
    <t>ΑΗ284387</t>
  </si>
  <si>
    <t>1204-1205-1202-1203-1201-1221</t>
  </si>
  <si>
    <t>ΚΑΡΑΒΑΣ</t>
  </si>
  <si>
    <t>ΑΕ309631</t>
  </si>
  <si>
    <t>797,8</t>
  </si>
  <si>
    <t>1201-1203-1219-1223-1248-1252-1267</t>
  </si>
  <si>
    <t>ΛΟΥΚΟΥ</t>
  </si>
  <si>
    <t>ΑΗ726280</t>
  </si>
  <si>
    <t>1250-1248-1267-1255-1205-1202-1254-1257-1201-1247-1206-1249-1253-1217-1219-1221-1204-1252-1218-1203</t>
  </si>
  <si>
    <t>ΤΖΕΛΟΣ</t>
  </si>
  <si>
    <t>ΑΚ427851</t>
  </si>
  <si>
    <t>793,9</t>
  </si>
  <si>
    <t>1249-1253-1248-1206-1201-1202-1254-1255-1256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</si>
  <si>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</si>
  <si>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</si>
  <si>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</si>
  <si>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</si>
  <si>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</si>
  <si>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</si>
  <si>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</si>
  <si>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ΑΡΙΣΤΕΙΔΗΣ</t>
  </si>
  <si>
    <t>ΑΙ765861</t>
  </si>
  <si>
    <t>790,3</t>
  </si>
  <si>
    <t>1201-1206-1247-1249-1250-1253-1254-1255-1256</t>
  </si>
  <si>
    <t>ΚΟΡΝΗΛΙΑ</t>
  </si>
  <si>
    <t>ΑΗ810007</t>
  </si>
  <si>
    <t>790,1</t>
  </si>
  <si>
    <t>1256-1253-1248-1254-1249-1206-1201-1247-1250-1202-1255-1267</t>
  </si>
  <si>
    <t>Χ412836</t>
  </si>
  <si>
    <t>789,2</t>
  </si>
  <si>
    <t>1201-1202-1205-1217-1206-1267-1256-1247</t>
  </si>
  <si>
    <t>ΠΑΤΣΙΩΝΑ</t>
  </si>
  <si>
    <t>ΑΚ904621</t>
  </si>
  <si>
    <t>1267-1248-1253-1256-1249-1206-1201-1250-1202-1255-1254-1247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</si>
  <si>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</si>
  <si>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</si>
  <si>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</si>
  <si>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</si>
  <si>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ΚΑΚΑΒΑ</t>
  </si>
  <si>
    <t>ΑΑ306860</t>
  </si>
  <si>
    <t>785,7</t>
  </si>
  <si>
    <t>1254-1253-1247-1250-1249-1248-1206-1201</t>
  </si>
  <si>
    <t>ΝΤΑΛΙΑΝΗΣ</t>
  </si>
  <si>
    <t>Φ303859</t>
  </si>
  <si>
    <t>784,5</t>
  </si>
  <si>
    <t>1250-1247-1202-1255-1205-1254-1201-1248-1267-1253-1206-1249</t>
  </si>
  <si>
    <t>ΣΟΛΟΠΟΥΛΟΥ</t>
  </si>
  <si>
    <t>ΠΑΝΑΓΙΩΤΗΣ ΠΑΡΑΣΚΕΥΑΣ</t>
  </si>
  <si>
    <t>ΑΕ724138</t>
  </si>
  <si>
    <t>782,8</t>
  </si>
  <si>
    <t>1254-1247-1201-1218-1250-1253-1206-1255</t>
  </si>
  <si>
    <t>ΚΑΤΣΑΜΑΓΚΑ</t>
  </si>
  <si>
    <t>Σ410590</t>
  </si>
  <si>
    <t>782,2</t>
  </si>
  <si>
    <t>1256-1253-1267-1248-1205-1255-1206-1201-1254</t>
  </si>
  <si>
    <t>ΠΑΝΤΑΖΟΠΟΥΛΟΣ</t>
  </si>
  <si>
    <t>ΑΚ424062</t>
  </si>
  <si>
    <t>781,7</t>
  </si>
  <si>
    <t>1219-1248-1249-1251-1253-1267-1201-1202-1205-1206-1217-1247-1250</t>
  </si>
  <si>
    <t>ΓΚΑΡΑΒΕΛΑ</t>
  </si>
  <si>
    <t>ΚΕΡΑΣΙΑ</t>
  </si>
  <si>
    <t>ΑΖ781466</t>
  </si>
  <si>
    <t>639,1</t>
  </si>
  <si>
    <t>781,1</t>
  </si>
  <si>
    <t>ΜΟΣΚΟΥΛΑ</t>
  </si>
  <si>
    <t>ΜΑΡΙΑ ΕΥΡΥΔΙΚΗ</t>
  </si>
  <si>
    <t>ΑΗ154265</t>
  </si>
  <si>
    <t>780,4</t>
  </si>
  <si>
    <t>1201-1206-1247-1248-1249-1250-1253-1254-1267</t>
  </si>
  <si>
    <t>ΦΑΣΟΥΛΑ</t>
  </si>
  <si>
    <t>Χ889401</t>
  </si>
  <si>
    <t>780,2</t>
  </si>
  <si>
    <t>1249-1248-1253-1206-1256-1254-1201-1247-1250-1255-1202-1219-1251-1217</t>
  </si>
  <si>
    <t>ΚΑΤΣΙΟΥΛΑΣ</t>
  </si>
  <si>
    <t>ΑΚ976326</t>
  </si>
  <si>
    <t>1201-1248-1254-1206-1249-1253-1247-1250-1255-1205-1202</t>
  </si>
  <si>
    <t>ΠΟΥΛΑΡΑΚΗΣ</t>
  </si>
  <si>
    <t>Χ930414</t>
  </si>
  <si>
    <t>779,1</t>
  </si>
  <si>
    <t>1249-1203-1201-1219-1223-1248-1220-1217-1218-1206-1205-1204-1253-1251-1252-1256-1254</t>
  </si>
  <si>
    <t>ΤΖΟΚΑ</t>
  </si>
  <si>
    <t>Φ259065</t>
  </si>
  <si>
    <t>1201-1202-1206-1247-1248-1249-1250-1253-1254-1255-1267</t>
  </si>
  <si>
    <t>ΚΡΟΜΜΥΔΑ</t>
  </si>
  <si>
    <t>ΑΖ270753</t>
  </si>
  <si>
    <t>1201-1202-1204-1205-1206-1247-1248-1249-1250-1253-1254-1255-1256</t>
  </si>
  <si>
    <t>ΤΣΙΑΜΗΣ</t>
  </si>
  <si>
    <t>Χ835330</t>
  </si>
  <si>
    <t>ΑΕ929424</t>
  </si>
  <si>
    <t>1251-1248-1219-1247-1250-1217-1206-1201-1202-1204-1205-1218-1220-1221-1222-1223-1249-1252-1253-1254-1255-1256</t>
  </si>
  <si>
    <t>ΑΛΕΞΑΝΔΡΗ</t>
  </si>
  <si>
    <t>Σ984713</t>
  </si>
  <si>
    <t>776,9</t>
  </si>
  <si>
    <t>1254-1252-1201-1247-1249-1206-1203-1205-1219-1220-1221-1222-1223-1217-1218</t>
  </si>
  <si>
    <t>ΜΑΝΙΟΥΡΑΣ</t>
  </si>
  <si>
    <t>ΔΗΜΗΤΡΙΟΣ ΠΑΝΑΓΙΩΤΗΣ</t>
  </si>
  <si>
    <t>ΑΗ853480</t>
  </si>
  <si>
    <t>1220-1219-1206-1253-1255-1202-1248-1201-1254-1247-1249</t>
  </si>
  <si>
    <t>ΚΑΠΠΑΣ</t>
  </si>
  <si>
    <t>ΑΙ214174</t>
  </si>
  <si>
    <t>1217-1247-1202-1205-1250-1201-1254-1253-1219-1267-1248-1255-1249-1206</t>
  </si>
  <si>
    <t>ΑΖ214031</t>
  </si>
  <si>
    <t>773,9</t>
  </si>
  <si>
    <t>ΤΑΧΜΑΤΖΙΔΟΥ</t>
  </si>
  <si>
    <t>ΑΜ286929</t>
  </si>
  <si>
    <t>772,5</t>
  </si>
  <si>
    <t>1248-1255-1204-1205-1221-1202-1253-1249-1206-1203-1201-1247-1254-1250-1218</t>
  </si>
  <si>
    <t>ΠΑΠΑΤΖΕΛΟΥ</t>
  </si>
  <si>
    <t>ΣΥΛΒΙΑ</t>
  </si>
  <si>
    <t>ΑΗ265365</t>
  </si>
  <si>
    <t>771,8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</si>
  <si>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</si>
  <si>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</si>
  <si>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</si>
  <si>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</si>
  <si>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ΜΑΝΤΖΙΡΗΣ</t>
  </si>
  <si>
    <t>ΧΑΡΑΛΑΜΠΗΣ</t>
  </si>
  <si>
    <t>Χ422332</t>
  </si>
  <si>
    <t>771,4</t>
  </si>
  <si>
    <t>1201-1202-1254-1204-1205-1255-1248-1249-1250</t>
  </si>
  <si>
    <t>ΠΡΟΒΙΔΑ</t>
  </si>
  <si>
    <t>ΑΖ220047</t>
  </si>
  <si>
    <t>690,8</t>
  </si>
  <si>
    <t>770,8</t>
  </si>
  <si>
    <t>1250-1201-1247-1254-1248-1253-1256-1249-1206-1255-1205-1252-1203-1202</t>
  </si>
  <si>
    <t>ΓΚΟΥΡΝΕΛΟΥ</t>
  </si>
  <si>
    <t>ΣΟΦΟΚΛΗΣ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</si>
  <si>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</si>
  <si>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</si>
  <si>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</si>
  <si>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</si>
  <si>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</si>
  <si>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</si>
  <si>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</si>
  <si>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</si>
  <si>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ΜΗΛΙΟΣ</t>
  </si>
  <si>
    <t>ΑΒ357022</t>
  </si>
  <si>
    <t>769,4</t>
  </si>
  <si>
    <t>1202-1201-1206-1247-1248-1249-1250-1253-1254-1255-1256</t>
  </si>
  <si>
    <t>ΚΑΛΑΝΤΖΗ</t>
  </si>
  <si>
    <t>ΑΗ212866</t>
  </si>
  <si>
    <t>769,2</t>
  </si>
  <si>
    <t>1201-1202-1205-1247-1248-1249-1250-1267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</si>
  <si>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</si>
  <si>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</si>
  <si>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</si>
  <si>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</si>
  <si>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</si>
  <si>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</si>
  <si>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</si>
  <si>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</si>
  <si>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ΚΟΤΡΩΤΣΙΟΥ</t>
  </si>
  <si>
    <t>ΑΠΟΣΤΟΛΙΑ</t>
  </si>
  <si>
    <t>ΑΙ318654</t>
  </si>
  <si>
    <t>1201-1254-1253-1267-1248-1250-1247-1249-1206-1205-1255-1202</t>
  </si>
  <si>
    <t>ΜΑΡΑ</t>
  </si>
  <si>
    <t>ΑΕ852349</t>
  </si>
  <si>
    <t>1253-1256-1249-1248-1206-1201-1247</t>
  </si>
  <si>
    <t>ΝΟΒΑ</t>
  </si>
  <si>
    <t>ΑΖ801478</t>
  </si>
  <si>
    <t>1249-1250-1254-1247-1253-1206-1248-1201-1252-1219-1221-1255-1205-1202</t>
  </si>
  <si>
    <t>ΔΙΑΜΑΝΤΗΣ</t>
  </si>
  <si>
    <t>ΑΒ832920</t>
  </si>
  <si>
    <t>766,5</t>
  </si>
  <si>
    <t>1201-1248-1267-1254-1249-1253-1206-1247-1250-1204-1255-1205</t>
  </si>
  <si>
    <t>ΑΑ306233</t>
  </si>
  <si>
    <t>766,3</t>
  </si>
  <si>
    <t>1217-1250-1247-1254-1201-1249-1253-1219-1248-1206-1205-1255-1202-1251-1256</t>
  </si>
  <si>
    <t>ΛΕΩΝΙΔΑΣ ΝΙΚΟΛΑΟΣ</t>
  </si>
  <si>
    <t>ΑΕ315345</t>
  </si>
  <si>
    <t>766,2</t>
  </si>
  <si>
    <t>1201-1249-1248-1253-1254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</si>
  <si>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</si>
  <si>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</si>
  <si>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</si>
  <si>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</si>
  <si>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</si>
  <si>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</si>
  <si>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</si>
  <si>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</si>
  <si>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ΑΜ851923</t>
  </si>
  <si>
    <t>764,8</t>
  </si>
  <si>
    <t>1249-1253-1248-1267-1206-1201-1247-1254-1250-1255-1205-1202-1256-1220-1222-1203-1252-1217-1219-1218-1204-1221-1223-1251</t>
  </si>
  <si>
    <t>ΒΑΣΙΛΙΚΟΣ</t>
  </si>
  <si>
    <t>ΑΖ850297</t>
  </si>
  <si>
    <t>1248-1253-1206-1256-1249-1201-1254-1247-1250-1202-1205-1255</t>
  </si>
  <si>
    <t>ΨΩΜΑ</t>
  </si>
  <si>
    <t>ΑΗ986053</t>
  </si>
  <si>
    <t>763,7</t>
  </si>
  <si>
    <t>1247-1254-1250-1267-1248-1249-1206-1202-1255-1253-1201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</si>
  <si>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</si>
  <si>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</si>
  <si>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</si>
  <si>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</si>
  <si>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</si>
  <si>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ΠΑΠΑΤΑΤΣΙΟΥ</t>
  </si>
  <si>
    <t>ΣΤΕΡΓΙΑΝΗ</t>
  </si>
  <si>
    <t>ΑΖ787734</t>
  </si>
  <si>
    <t>1247-1253-1201-1206-1248-1250-1254-1255</t>
  </si>
  <si>
    <t>ΦΛΩΡΙΟΣ</t>
  </si>
  <si>
    <t>ΑΑ967108</t>
  </si>
  <si>
    <t>761,7</t>
  </si>
  <si>
    <t>1201-1249-1267-1248-1202-1205-1206-1253-1250-1254-1255-1247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</si>
  <si>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</si>
  <si>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</si>
  <si>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</si>
  <si>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</si>
  <si>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</si>
  <si>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</si>
  <si>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</si>
  <si>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</si>
  <si>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</si>
  <si>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</si>
  <si>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ΛΥΣΙΩΒΑ</t>
  </si>
  <si>
    <t>ΑΖ271497</t>
  </si>
  <si>
    <t>760,4</t>
  </si>
  <si>
    <t>1201-1267-1248-1206-1247-1253-1256-1254-1249-1250-1205-1255-1202</t>
  </si>
  <si>
    <t>ΨΑΘΑ</t>
  </si>
  <si>
    <t>Χ911684</t>
  </si>
  <si>
    <t>1201-1267-1248-1254-1206-1249-1253-1256-1250-1247-1202-1255</t>
  </si>
  <si>
    <t>ΚΑΡΠΟΥΖΗΣ</t>
  </si>
  <si>
    <t>ΓΑΒΡΙΗΛ</t>
  </si>
  <si>
    <t>Χ756479</t>
  </si>
  <si>
    <t>759,3</t>
  </si>
  <si>
    <t>1248-1206-1202-1201-1247-1253-1255-1249-1250-1254-1256</t>
  </si>
  <si>
    <t>ΜΑΥΡΑΚΑΝΑ</t>
  </si>
  <si>
    <t>Φ335242</t>
  </si>
  <si>
    <t>755,1</t>
  </si>
  <si>
    <t>ΚΑΛΥΒΑΣ</t>
  </si>
  <si>
    <t>Τ453029</t>
  </si>
  <si>
    <t>754,1</t>
  </si>
  <si>
    <t>1201-1202-1205-1206-1255-1247-1248-1249-1250-1253-1254</t>
  </si>
  <si>
    <t>ΚΟΥΡΟΥΜΠΑΤΖΑΚΗΣ</t>
  </si>
  <si>
    <t>ΑΑ962010</t>
  </si>
  <si>
    <t>753,8</t>
  </si>
  <si>
    <t>1248-1267-1249-1201-1202-1205-1255-1247-1250-1206-1253-1254</t>
  </si>
  <si>
    <t>ΑΒ806399</t>
  </si>
  <si>
    <t>1201-1206-1249-1248-1250-1253-1254-1256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</si>
  <si>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</si>
  <si>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</si>
  <si>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</si>
  <si>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</si>
  <si>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</si>
  <si>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</si>
  <si>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</si>
  <si>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</si>
  <si>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</si>
  <si>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</si>
  <si>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ΣΤΑΜΟΣ</t>
  </si>
  <si>
    <t>ΑΝ328410</t>
  </si>
  <si>
    <t>748,8</t>
  </si>
  <si>
    <t>1201-1248-1267-1249-1253-1206-1254-1247-1256-1255-1205-1202-1250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</si>
  <si>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</si>
  <si>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</si>
  <si>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</si>
  <si>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</si>
  <si>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</si>
  <si>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</si>
  <si>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</si>
  <si>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</si>
  <si>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</si>
  <si>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</si>
  <si>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</si>
  <si>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</si>
  <si>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</si>
  <si>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</si>
  <si>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</si>
  <si>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</si>
  <si>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</si>
  <si>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ΣΙΓΗΡΟΠΟΥΛΟΣ</t>
  </si>
  <si>
    <t>Τ790249</t>
  </si>
  <si>
    <t>743,9</t>
  </si>
  <si>
    <t>1248-1267-1206-1253-1256-1249-1254-1247-1250-1255-1202-1205-1201-1251</t>
  </si>
  <si>
    <t>ΚΑΡΑΚΑΛΟΥ</t>
  </si>
  <si>
    <t>ΑΖ548181</t>
  </si>
  <si>
    <t>741,7</t>
  </si>
  <si>
    <t>ΚΙΤΣΟΣ</t>
  </si>
  <si>
    <t>ΡΑΦΑΗΛ - ΝΙΚΟΛΑΟΣ</t>
  </si>
  <si>
    <t>ΑΗ900048</t>
  </si>
  <si>
    <t>740,8</t>
  </si>
  <si>
    <t>1249-1247-1203-1248-1250-1251-1252-1206-1201-1204-1202</t>
  </si>
  <si>
    <t>ΣΓΑΓΙΑ</t>
  </si>
  <si>
    <t>ΑΑ978668</t>
  </si>
  <si>
    <t>738,6</t>
  </si>
  <si>
    <t>1254-1202-1204-1205-1206-1217-1218-1219-1220-1221-1222-1223-1248-1247-1249-1250-1252-1253-1201-1255-1251-1256</t>
  </si>
  <si>
    <t>ΚΟΤΣΙΡΗ</t>
  </si>
  <si>
    <t>ΑΒ070304</t>
  </si>
  <si>
    <t>736,7</t>
  </si>
  <si>
    <t>1201-1202-1205-1206-1217-1247-1248-1250-1254-1255</t>
  </si>
  <si>
    <t>ΚΑΡΑΜΑΝΗ</t>
  </si>
  <si>
    <t>Χ276142</t>
  </si>
  <si>
    <t>736,1</t>
  </si>
  <si>
    <t>1219-1248-1217-1201-1250-1206-1247-1202-1205-1249-1253-1254-1255-1256</t>
  </si>
  <si>
    <t>Βεσύρης</t>
  </si>
  <si>
    <t>Χ230439</t>
  </si>
  <si>
    <t>735,3</t>
  </si>
  <si>
    <t>1219-1248-1267-1253-1249-1206-1201-1254-1247-1217-1250-1205-1255-1202</t>
  </si>
  <si>
    <t>ΓΙΑΝΝΑΚΟΠΟΥΛΟΥ</t>
  </si>
  <si>
    <t>ΙΟΥΛΙΑ</t>
  </si>
  <si>
    <t>ΑΝ266152</t>
  </si>
  <si>
    <t>735,1</t>
  </si>
  <si>
    <t>1250-1247-1201-1202-1205-1255-1248-1267-1206-1249-1253-1254-1256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</si>
  <si>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</si>
  <si>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</si>
  <si>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</si>
  <si>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</si>
  <si>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</si>
  <si>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</si>
  <si>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</si>
  <si>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</si>
  <si>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</si>
  <si>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</si>
  <si>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</si>
  <si>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628,1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</si>
  <si>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</si>
  <si>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</si>
  <si>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</si>
  <si>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</si>
  <si>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</si>
  <si>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</si>
  <si>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</si>
  <si>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ΒΙΡΓΙΝΙΑ</t>
  </si>
  <si>
    <t>ΑΒ708201</t>
  </si>
  <si>
    <t>1267-1248-1253-1201-1206-1256-1249-1254-1247-1202-1255-1205-1250</t>
  </si>
  <si>
    <t>ΚΑΤΣΑΡΕΛΙΑ</t>
  </si>
  <si>
    <t>ΑΖ208965</t>
  </si>
  <si>
    <t>732,1</t>
  </si>
  <si>
    <t>1247-1254-1250-1248-1267-1201-1252-1218-1223-1217-1219</t>
  </si>
  <si>
    <t>ΦΩΤΟΚΕΧΑΓΙΑ</t>
  </si>
  <si>
    <t>ΘΕΜΙΣΤΟΚΛΗΣ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</si>
  <si>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</si>
  <si>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</si>
  <si>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</si>
  <si>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</si>
  <si>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</si>
  <si>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</si>
  <si>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</si>
  <si>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ΜΗΤΣΟΠΟΥΛΟΣ</t>
  </si>
  <si>
    <t>Χ978794</t>
  </si>
  <si>
    <t>731,1</t>
  </si>
  <si>
    <t>ΓΚΑΤΖΙΩΝΑ</t>
  </si>
  <si>
    <t>ΑΚ412930</t>
  </si>
  <si>
    <t>730,3</t>
  </si>
  <si>
    <t>1201-1248-1254-1206-1202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</si>
  <si>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</si>
  <si>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</si>
  <si>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</si>
  <si>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</si>
  <si>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</si>
  <si>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</si>
  <si>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</si>
  <si>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</si>
  <si>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</si>
  <si>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</si>
  <si>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</si>
  <si>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</si>
  <si>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</si>
  <si>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</si>
  <si>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>ΤΕΡΖΗ</t>
  </si>
  <si>
    <t>ΘΕΟΝΥΜΦΗ</t>
  </si>
  <si>
    <t>ΑΒ265514</t>
  </si>
  <si>
    <t>727,4</t>
  </si>
  <si>
    <t>1205-1255-1202-1250-1248-1267-1254-1206-1253-1247-1249-1256-1201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</si>
  <si>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</si>
  <si>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</si>
  <si>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</si>
  <si>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</si>
  <si>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</si>
  <si>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</si>
  <si>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</si>
  <si>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</si>
  <si>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ΑΓΓΕΛΗΣ</t>
  </si>
  <si>
    <t>ΕΥΘΥΜΙΟΣ-ΜΑΡΙΟΣ</t>
  </si>
  <si>
    <t>ΑΖ776504</t>
  </si>
  <si>
    <t>724,3</t>
  </si>
  <si>
    <t>1254-1201-1253-1247-1248-1250</t>
  </si>
  <si>
    <t>ΔΟΥΚΑ</t>
  </si>
  <si>
    <t>ΑΕ938742</t>
  </si>
  <si>
    <t>723,6</t>
  </si>
  <si>
    <t>1248-1267-1256-1249-1206-1201-1253-1254-1247-1202-1255-1250</t>
  </si>
  <si>
    <t>ΠΑΠΑΣΗΜΑΚΟΠΟΥΛΟΥ</t>
  </si>
  <si>
    <t>Τ261754</t>
  </si>
  <si>
    <t>723,2</t>
  </si>
  <si>
    <t>1250-1201-1205-1221-1202-1247-1248-1206-1249-1253</t>
  </si>
  <si>
    <t>ΜΠΟΥΡΟΥΖΙΚΑΣ</t>
  </si>
  <si>
    <t>ΑΝ316212</t>
  </si>
  <si>
    <t>1203-1201-1249-1254-1219-1267-1248-1253</t>
  </si>
  <si>
    <t>ΧΑΝΤΖΟΥΛΗ</t>
  </si>
  <si>
    <t>ΜΑΡΙΑ ΕΛΕΝΗ</t>
  </si>
  <si>
    <t>Φ339775</t>
  </si>
  <si>
    <t>1254-1248-1249-1250-1267-1201-1202-1205-1206-1247-1253-1255</t>
  </si>
  <si>
    <t>ΜΕΛΑΔΙΝΗΣ</t>
  </si>
  <si>
    <t>Χ871722</t>
  </si>
  <si>
    <t>1206-1253-1254-1249-1248-1247-1250-1255-1202-1219-1201-1222-1217-1221-1223-1220-1203-1204-1218-1256-1251</t>
  </si>
  <si>
    <t>ΠΕΤΣΟΥ</t>
  </si>
  <si>
    <t>ΒΙΚΤΩΡΙΑ</t>
  </si>
  <si>
    <t>Χ947647</t>
  </si>
  <si>
    <t>721,7</t>
  </si>
  <si>
    <t>1256-1253-1248-1267-1249-1201-1202-1206-1219</t>
  </si>
  <si>
    <t>ΖΑΡΚΑΛΗ</t>
  </si>
  <si>
    <t>ΑΙ511546</t>
  </si>
  <si>
    <t>720,8</t>
  </si>
  <si>
    <t>ΜΑΓΑΛΙΟΣ</t>
  </si>
  <si>
    <t>ΑΒ421828</t>
  </si>
  <si>
    <t>1201-1248-1267-1219-1254-1247-1252-1249</t>
  </si>
  <si>
    <t>ΔΕΛΛΗΣ</t>
  </si>
  <si>
    <t>ΑΖ237160</t>
  </si>
  <si>
    <t>718,6</t>
  </si>
  <si>
    <t>1218-1206-1203-1254-1253-1223-1221-1204-1205-1256-1249-1250-1247-1202-1255-1201-1248-1267-1222-1220</t>
  </si>
  <si>
    <t>ΜΠΑΚΟΓΙΑΝΝΗ</t>
  </si>
  <si>
    <t>ΑΕ798311</t>
  </si>
  <si>
    <t>717,5</t>
  </si>
  <si>
    <t>1201-1254-1202-1247-1248-1249-1250-1253-1255-1256</t>
  </si>
  <si>
    <t>ΚΑΨΗΣ</t>
  </si>
  <si>
    <t>Χ293455</t>
  </si>
  <si>
    <t>716,4</t>
  </si>
  <si>
    <t>1217-1223-1201-1218-1219-1220-1221-1222-1206-1204-1253-1254</t>
  </si>
  <si>
    <t>ΠΡΕΖΑΣ</t>
  </si>
  <si>
    <t>ΑΕ249589</t>
  </si>
  <si>
    <t>1255-1205-1202-1248-1247-1201-1267-1253-1250-1254-1206-1256-1249</t>
  </si>
  <si>
    <t>ΛΟΥΚΟΥΜΗ</t>
  </si>
  <si>
    <t>Σ485003</t>
  </si>
  <si>
    <t>714,2</t>
  </si>
  <si>
    <t>1250-1206-1201-1247-1248-1202-1249-1253-1254-1267-1255</t>
  </si>
  <si>
    <t>ΒΑΒΛΙΑΡΑΣ</t>
  </si>
  <si>
    <t>ΧΑΡΙΣΙΟΣ</t>
  </si>
  <si>
    <t>ΑΒ109568</t>
  </si>
  <si>
    <t>1249-1267-1219-1248-1222-1206-1218-1201-1252-1253-1202-1254-1255-1256-1204-1205-1203-1247-1250-1217-1221-1220-1223-1251</t>
  </si>
  <si>
    <t>ΓΕΩΡΓΑΛΗ</t>
  </si>
  <si>
    <t>ΑΖ292845</t>
  </si>
  <si>
    <t>713,1</t>
  </si>
  <si>
    <t>1249-1256-1253-1267-1248-1206-1201-1255-1202-1247-1250-1254</t>
  </si>
  <si>
    <t>ΤΡΙΑΝΤΑΦΥΛΛΟΥ</t>
  </si>
  <si>
    <t>ΤΡΙΑΝΤΑΦΥΛΛΟΣ</t>
  </si>
  <si>
    <t>ΑΒ057815</t>
  </si>
  <si>
    <t>709,8</t>
  </si>
  <si>
    <t>1217-1218-1219-1220-1221-1222-1223-1253-1254-1206-1203-1204-1205-1247-1248-1249-1250-1251-1252-1255-1256-1201-1202-1267</t>
  </si>
  <si>
    <t>ΜΕΛΙΣΣΗΣ</t>
  </si>
  <si>
    <t>Ρ979770</t>
  </si>
  <si>
    <t>708,7</t>
  </si>
  <si>
    <t>ΓΑΙΤΑΝΙΔΗ</t>
  </si>
  <si>
    <t>ΖΑΧΑΡΟΥΛΑ-ΑΡΓΥΡΟΥΛΑ</t>
  </si>
  <si>
    <t>ΑΒ429933</t>
  </si>
  <si>
    <t>706,7</t>
  </si>
  <si>
    <t>1201-1206-1254-1256-1247-1249-1248-1253-1267</t>
  </si>
  <si>
    <t>ΑΗ769330</t>
  </si>
  <si>
    <t>654,5</t>
  </si>
  <si>
    <t>705,5</t>
  </si>
  <si>
    <t>1201-1203-1205-1206-1247-1248-1249-1250-1253-1254-1255-1256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</si>
  <si>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</si>
  <si>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</si>
  <si>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</si>
  <si>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</si>
  <si>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</si>
  <si>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</si>
  <si>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ΝΤΕΝΤΟΠΟΥΛΟΥ</t>
  </si>
  <si>
    <t>ΡΟΥΣΑ</t>
  </si>
  <si>
    <t xml:space="preserve">ΚΩΝΣΤΑΝΤΙΝΟΣ </t>
  </si>
  <si>
    <t>ΑΒ619288</t>
  </si>
  <si>
    <t>701,2</t>
  </si>
  <si>
    <t>1219-1201-1217-1218</t>
  </si>
  <si>
    <t>ΜΑΚΡΗ</t>
  </si>
  <si>
    <t>Χ835145</t>
  </si>
  <si>
    <t>1202-1204-1205-1206-1217-1201-1218-1219-1220-1221-1222-1223-1247-1248-1249-1250-1251-1252-1253-1254-1255-1256</t>
  </si>
  <si>
    <t>ΣΑΚΚΑΣ</t>
  </si>
  <si>
    <t>ΟΡΕΣΤΗΣ</t>
  </si>
  <si>
    <t>ΑΕ283975</t>
  </si>
  <si>
    <t>669,9</t>
  </si>
  <si>
    <t>699,9</t>
  </si>
  <si>
    <t>1248-1206-1202-1201-1247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</si>
  <si>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</si>
  <si>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</si>
  <si>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</si>
  <si>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</si>
  <si>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</si>
  <si>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</si>
  <si>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</si>
  <si>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ΠΟΥΡΓΟΥΤΖΙΔΟΥ</t>
  </si>
  <si>
    <t>ΑΒ711874</t>
  </si>
  <si>
    <t>1219-1267-1248-1206-1222-1249-1253-1256-1201</t>
  </si>
  <si>
    <t>ΛΑΓΚΑΔΙΝΟΣ</t>
  </si>
  <si>
    <t>ΑΜ748516</t>
  </si>
  <si>
    <t>625,9</t>
  </si>
  <si>
    <t>697,9</t>
  </si>
  <si>
    <t>1201-1202-1206-1247-1248-1249-1250-1253</t>
  </si>
  <si>
    <t>ΤΣΑΚΙΡΙΔΗΣ</t>
  </si>
  <si>
    <t>ΓΙΑΝΝΗΣ</t>
  </si>
  <si>
    <t>Χ727862</t>
  </si>
  <si>
    <t>696,6</t>
  </si>
  <si>
    <t>1202-1205-1206-1204-1201</t>
  </si>
  <si>
    <t>ΑΡΜΕΝΗ</t>
  </si>
  <si>
    <t>ΑΗ085663</t>
  </si>
  <si>
    <t>1247-1250-1201-1267-1254</t>
  </si>
  <si>
    <t>ΚΑΡΙΚΟΣ</t>
  </si>
  <si>
    <t>ΑΙ635669</t>
  </si>
  <si>
    <t>695,5</t>
  </si>
  <si>
    <t>1247-1250-1254-1201-1267-1248-1256-1253-1249</t>
  </si>
  <si>
    <t>ΓΚΟΓΚΑΣ</t>
  </si>
  <si>
    <t>ΚΙΜΩΝ</t>
  </si>
  <si>
    <t>ΑΚ547697</t>
  </si>
  <si>
    <t>694,2</t>
  </si>
  <si>
    <t>1201-1206-1247-1248-1249-1250-1253-1254-1256-1255-1202</t>
  </si>
  <si>
    <t>ΚΟΝΤΟΥΡΗΣ</t>
  </si>
  <si>
    <t>ΠΑΝΑΓΙΩΤΗΣ-ΒΑΣΙΛΕΙΟΣ</t>
  </si>
  <si>
    <t>Χ928522</t>
  </si>
  <si>
    <t>692,4</t>
  </si>
  <si>
    <t>1201-1202-1205-1247-1270-1267-1249-1250-1253-1255-1256</t>
  </si>
  <si>
    <t>ΚΕΡΑΜΙΔΑΣ</t>
  </si>
  <si>
    <t>ΒΑΣΙΛΕΙΟΣ ΠΕΤΡΟΣ</t>
  </si>
  <si>
    <t>ΑΗ276577</t>
  </si>
  <si>
    <t>691,1</t>
  </si>
  <si>
    <t>1223-1201-1252-1219-1249-1267-1248-1254-1206-1247-1256</t>
  </si>
  <si>
    <t>ΑΚΥΛΑΣ</t>
  </si>
  <si>
    <t>Π831164</t>
  </si>
  <si>
    <t>ΛΑΜΠΑΣ</t>
  </si>
  <si>
    <t>ΑΒ426241</t>
  </si>
  <si>
    <t>ΑΑ315530</t>
  </si>
  <si>
    <t>687,8</t>
  </si>
  <si>
    <t>ΜΠΡΟΥΛΙΑ</t>
  </si>
  <si>
    <t>Τ267389</t>
  </si>
  <si>
    <t>686,7</t>
  </si>
  <si>
    <t>1250-1247-1248-1249-1201-1253-1254-1255-1202-1256</t>
  </si>
  <si>
    <t>ΒΕΤΟΥΛΑΚΗΣ</t>
  </si>
  <si>
    <t>ΑΑ369391</t>
  </si>
  <si>
    <t>685,6</t>
  </si>
  <si>
    <t>1202-1205-1255-1267-1206-1248-1247-1249-1250-1253-1254-1256-1201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</si>
  <si>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</si>
  <si>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</si>
  <si>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</si>
  <si>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</si>
  <si>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</si>
  <si>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</si>
  <si>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</si>
  <si>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ΔΑΡΓΙΝΙΔΗΣ</t>
  </si>
  <si>
    <t>ΑΝ358123</t>
  </si>
  <si>
    <t>1256-1253-1267-1249-1248-1206-1201-1254-1247-1205-1255-1250-1202</t>
  </si>
  <si>
    <t>ΝΤΖΙΑΒΙΔΑΣ</t>
  </si>
  <si>
    <t>ΑΒ490414</t>
  </si>
  <si>
    <t>645,7</t>
  </si>
  <si>
    <t>675,7</t>
  </si>
  <si>
    <t>ΓΚΑΡΑΓΚΑΝΗΣ</t>
  </si>
  <si>
    <t>ΑΖ771276</t>
  </si>
  <si>
    <t>673,7</t>
  </si>
  <si>
    <t>1203-1219-1201-1217</t>
  </si>
  <si>
    <t xml:space="preserve">ΣΙΑΜΑΝΔΟΥΡΑ </t>
  </si>
  <si>
    <t>ΧΑΡΑΛΑΜΠΙΑ</t>
  </si>
  <si>
    <t xml:space="preserve">ΒΑΣΙΛΗΣ </t>
  </si>
  <si>
    <t>ΑΕ994545</t>
  </si>
  <si>
    <t>636,9</t>
  </si>
  <si>
    <t>666,9</t>
  </si>
  <si>
    <t>1201-1202-1205-1247-1248-1249-1250-1253-1254-1255</t>
  </si>
  <si>
    <t>ΙΠΠΕΚΗΣ</t>
  </si>
  <si>
    <t>Χ991508</t>
  </si>
  <si>
    <t>1217-1203-1204-1205-1206-1218-1219-1220-1221-1222-1223-1253-1254-1202-1201-1247-1248-1249-1250-1251-1252-1255-1256-1267</t>
  </si>
  <si>
    <t>ΜΠΙΤΖΙΝΗΣ</t>
  </si>
  <si>
    <t>ΑΒ788086</t>
  </si>
  <si>
    <t>1250-1202-1204-1205-1248-1249-1201-1206-1247-1253-1254</t>
  </si>
  <si>
    <t>ΤΣΙΛΟΠΟΥΛΟΣ</t>
  </si>
  <si>
    <t>ΑΙ362068</t>
  </si>
  <si>
    <t>1248-1267-1206-1256-1201-1202-1205-1255-1250-1249-1247</t>
  </si>
  <si>
    <t>ΤΣΕΚΟΥΡΑΣ</t>
  </si>
  <si>
    <t>ΑΚ334852</t>
  </si>
  <si>
    <t>631,4</t>
  </si>
  <si>
    <t>661,4</t>
  </si>
  <si>
    <t>1201-1249-1267-1206-1247-1250-1253-1254-1248</t>
  </si>
  <si>
    <t>ΔΗΜΟΠΟΥΛΟΣ</t>
  </si>
  <si>
    <t>ΑΚ339127</t>
  </si>
  <si>
    <t>660,3</t>
  </si>
  <si>
    <t>ΜΠΕΚΑΤΩΡΟΣ</t>
  </si>
  <si>
    <t>ΑΕ730503</t>
  </si>
  <si>
    <t>1250-1247-1254-1201-1248-1253-1206-1249-1256-1202-1255</t>
  </si>
  <si>
    <t>ΑΥΓΕΡΗΣ</t>
  </si>
  <si>
    <t>ΘΑΝΑΣΗΣ</t>
  </si>
  <si>
    <t>ΑΖ271385</t>
  </si>
  <si>
    <t>1201-1252-1203-1219-1248-1267-1254-1220-1222</t>
  </si>
  <si>
    <t>ΓΕΩΡΓΙΑΔΟΥ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</si>
  <si>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</si>
  <si>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</si>
  <si>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</si>
  <si>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</si>
  <si>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</si>
  <si>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</si>
  <si>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ΔΑΜΙΑΝΟΣ</t>
  </si>
  <si>
    <t>ΑΖ221715</t>
  </si>
  <si>
    <t>1250-1247-1253-1249-1201-1254-1206-1205-1255-1202-1248</t>
  </si>
  <si>
    <t>ΣΓΟΥΡΟΜΑΛΛΗ</t>
  </si>
  <si>
    <t>ΜΑΡΙΑ-ΙΩΑΝΝΑ</t>
  </si>
  <si>
    <t>Φ346493</t>
  </si>
  <si>
    <t>617,1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</si>
  <si>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</si>
  <si>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</si>
  <si>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</si>
  <si>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</si>
  <si>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</si>
  <si>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Σιαπλαούρας</t>
  </si>
  <si>
    <t>Κωνσταντίνος</t>
  </si>
  <si>
    <t xml:space="preserve">Χρήστος 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</si>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</sst>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1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5698</v>
      </c>
      <c r="C8" t="s">
        <v>13</v>
      </c>
      <c r="D8" t="s">
        <v>14</v>
      </c>
      <c r="E8" t="s">
        <v>15</v>
      </c>
      <c r="F8" t="s">
        <v>16</v>
      </c>
      <c r="G8" t="str">
        <f>"201406017764"</f>
        <v>201406017764</v>
      </c>
      <c r="H8">
        <v>847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1975</v>
      </c>
    </row>
    <row r="9" spans="1:30" x14ac:dyDescent="0.25">
      <c r="H9" t="s">
        <v>17</v>
      </c>
    </row>
    <row r="10" spans="1:30" x14ac:dyDescent="0.25">
      <c r="A10">
        <v>2</v>
      </c>
      <c r="B10">
        <v>1845</v>
      </c>
      <c r="C10" t="s">
        <v>18</v>
      </c>
      <c r="D10" t="s">
        <v>19</v>
      </c>
      <c r="E10" t="s">
        <v>20</v>
      </c>
      <c r="F10">
        <v>83070</v>
      </c>
      <c r="G10" t="str">
        <f>"201412005171"</f>
        <v>201412005171</v>
      </c>
      <c r="H10">
        <v>957</v>
      </c>
      <c r="I10">
        <v>150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>
        <v>1965</v>
      </c>
    </row>
    <row r="11" spans="1:30" x14ac:dyDescent="0.25">
      <c r="H11" t="s">
        <v>21</v>
      </c>
    </row>
    <row r="12" spans="1:30" x14ac:dyDescent="0.25">
      <c r="A12">
        <v>3</v>
      </c>
      <c r="B12">
        <v>47</v>
      </c>
      <c r="C12" t="s">
        <v>22</v>
      </c>
      <c r="D12" t="s">
        <v>23</v>
      </c>
      <c r="E12" t="s">
        <v>24</v>
      </c>
      <c r="F12" t="s">
        <v>25</v>
      </c>
      <c r="G12" t="str">
        <f>"200802001649"</f>
        <v>200802001649</v>
      </c>
      <c r="H12">
        <v>891</v>
      </c>
      <c r="I12">
        <v>150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1929</v>
      </c>
    </row>
    <row r="13" spans="1:30" x14ac:dyDescent="0.25">
      <c r="H13" t="s">
        <v>26</v>
      </c>
    </row>
    <row r="14" spans="1:30" x14ac:dyDescent="0.25">
      <c r="A14">
        <v>4</v>
      </c>
      <c r="B14">
        <v>5589</v>
      </c>
      <c r="C14" t="s">
        <v>27</v>
      </c>
      <c r="D14" t="s">
        <v>28</v>
      </c>
      <c r="E14" t="s">
        <v>29</v>
      </c>
      <c r="F14" t="s">
        <v>30</v>
      </c>
      <c r="G14" t="str">
        <f>"201406008859"</f>
        <v>201406008859</v>
      </c>
      <c r="H14">
        <v>836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30</v>
      </c>
      <c r="Q14">
        <v>0</v>
      </c>
      <c r="R14">
        <v>50</v>
      </c>
      <c r="S14">
        <v>0</v>
      </c>
      <c r="T14">
        <v>0</v>
      </c>
      <c r="U14">
        <v>0</v>
      </c>
      <c r="V14">
        <v>46</v>
      </c>
      <c r="W14">
        <v>322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1916</v>
      </c>
    </row>
    <row r="15" spans="1:30" x14ac:dyDescent="0.25">
      <c r="H15" t="s">
        <v>31</v>
      </c>
    </row>
    <row r="16" spans="1:30" x14ac:dyDescent="0.25">
      <c r="A16">
        <v>5</v>
      </c>
      <c r="B16">
        <v>2738</v>
      </c>
      <c r="C16" t="s">
        <v>32</v>
      </c>
      <c r="D16" t="s">
        <v>33</v>
      </c>
      <c r="E16" t="s">
        <v>34</v>
      </c>
      <c r="F16" t="s">
        <v>35</v>
      </c>
      <c r="G16" t="str">
        <f>"00250935"</f>
        <v>00250935</v>
      </c>
      <c r="H16">
        <v>803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1901</v>
      </c>
    </row>
    <row r="17" spans="1:30" x14ac:dyDescent="0.25">
      <c r="H17" t="s">
        <v>36</v>
      </c>
    </row>
    <row r="18" spans="1:30" x14ac:dyDescent="0.25">
      <c r="A18">
        <v>6</v>
      </c>
      <c r="B18">
        <v>869</v>
      </c>
      <c r="C18" t="s">
        <v>37</v>
      </c>
      <c r="D18" t="s">
        <v>38</v>
      </c>
      <c r="E18" t="s">
        <v>24</v>
      </c>
      <c r="F18" t="s">
        <v>39</v>
      </c>
      <c r="G18" t="str">
        <f>"201405001345"</f>
        <v>201405001345</v>
      </c>
      <c r="H18" t="s">
        <v>40</v>
      </c>
      <c r="I18">
        <v>0</v>
      </c>
      <c r="J18">
        <v>0</v>
      </c>
      <c r="K18">
        <v>0</v>
      </c>
      <c r="L18">
        <v>260</v>
      </c>
      <c r="M18">
        <v>0</v>
      </c>
      <c r="N18">
        <v>70</v>
      </c>
      <c r="O18">
        <v>70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41</v>
      </c>
    </row>
    <row r="19" spans="1:30" x14ac:dyDescent="0.25">
      <c r="H19" t="s">
        <v>42</v>
      </c>
    </row>
    <row r="20" spans="1:30" x14ac:dyDescent="0.25">
      <c r="A20">
        <v>7</v>
      </c>
      <c r="B20">
        <v>2126</v>
      </c>
      <c r="C20" t="s">
        <v>43</v>
      </c>
      <c r="D20" t="s">
        <v>44</v>
      </c>
      <c r="E20" t="s">
        <v>45</v>
      </c>
      <c r="F20" t="s">
        <v>46</v>
      </c>
      <c r="G20" t="str">
        <f>"201001000193"</f>
        <v>201001000193</v>
      </c>
      <c r="H20" t="s">
        <v>47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52</v>
      </c>
      <c r="W20">
        <v>364</v>
      </c>
      <c r="X20">
        <v>0</v>
      </c>
      <c r="Z20">
        <v>0</v>
      </c>
      <c r="AA20">
        <v>0</v>
      </c>
      <c r="AB20">
        <v>23</v>
      </c>
      <c r="AC20">
        <v>391</v>
      </c>
      <c r="AD20" t="s">
        <v>48</v>
      </c>
    </row>
    <row r="21" spans="1:30" x14ac:dyDescent="0.25">
      <c r="H21" t="s">
        <v>49</v>
      </c>
    </row>
    <row r="22" spans="1:30" x14ac:dyDescent="0.25">
      <c r="A22">
        <v>8</v>
      </c>
      <c r="B22">
        <v>1134</v>
      </c>
      <c r="C22" t="s">
        <v>50</v>
      </c>
      <c r="D22" t="s">
        <v>51</v>
      </c>
      <c r="E22" t="s">
        <v>34</v>
      </c>
      <c r="F22" t="s">
        <v>52</v>
      </c>
      <c r="G22" t="str">
        <f>"200801002257"</f>
        <v>200801002257</v>
      </c>
      <c r="H22">
        <v>836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1844</v>
      </c>
    </row>
    <row r="23" spans="1:30" x14ac:dyDescent="0.25">
      <c r="H23" t="s">
        <v>53</v>
      </c>
    </row>
    <row r="24" spans="1:30" x14ac:dyDescent="0.25">
      <c r="A24">
        <v>9</v>
      </c>
      <c r="B24">
        <v>4560</v>
      </c>
      <c r="C24" t="s">
        <v>54</v>
      </c>
      <c r="D24" t="s">
        <v>55</v>
      </c>
      <c r="E24" t="s">
        <v>56</v>
      </c>
      <c r="F24" t="s">
        <v>57</v>
      </c>
      <c r="G24" t="str">
        <f>"200802012171"</f>
        <v>200802012171</v>
      </c>
      <c r="H24" t="s">
        <v>58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2</v>
      </c>
      <c r="AA24">
        <v>0</v>
      </c>
      <c r="AB24">
        <v>24</v>
      </c>
      <c r="AC24">
        <v>408</v>
      </c>
      <c r="AD24" t="s">
        <v>59</v>
      </c>
    </row>
    <row r="25" spans="1:30" x14ac:dyDescent="0.25">
      <c r="H25" t="s">
        <v>60</v>
      </c>
    </row>
    <row r="26" spans="1:30" x14ac:dyDescent="0.25">
      <c r="A26">
        <v>10</v>
      </c>
      <c r="B26">
        <v>2607</v>
      </c>
      <c r="C26" t="s">
        <v>61</v>
      </c>
      <c r="D26" t="s">
        <v>62</v>
      </c>
      <c r="E26" t="s">
        <v>63</v>
      </c>
      <c r="F26" t="s">
        <v>64</v>
      </c>
      <c r="G26" t="str">
        <f>"00232039"</f>
        <v>00232039</v>
      </c>
      <c r="H26" t="s">
        <v>65</v>
      </c>
      <c r="I26">
        <v>150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66</v>
      </c>
    </row>
    <row r="27" spans="1:30" x14ac:dyDescent="0.25">
      <c r="H27" t="s">
        <v>67</v>
      </c>
    </row>
    <row r="28" spans="1:30" x14ac:dyDescent="0.25">
      <c r="A28">
        <v>11</v>
      </c>
      <c r="B28">
        <v>4923</v>
      </c>
      <c r="C28" t="s">
        <v>68</v>
      </c>
      <c r="D28" t="s">
        <v>69</v>
      </c>
      <c r="E28" t="s">
        <v>70</v>
      </c>
      <c r="F28" t="s">
        <v>71</v>
      </c>
      <c r="G28" t="str">
        <f>"00197417"</f>
        <v>00197417</v>
      </c>
      <c r="H28" t="s">
        <v>72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73</v>
      </c>
    </row>
    <row r="29" spans="1:30" x14ac:dyDescent="0.25">
      <c r="H29" t="s">
        <v>74</v>
      </c>
    </row>
    <row r="30" spans="1:30" x14ac:dyDescent="0.25">
      <c r="A30">
        <v>12</v>
      </c>
      <c r="B30">
        <v>1703</v>
      </c>
      <c r="C30" t="s">
        <v>75</v>
      </c>
      <c r="D30" t="s">
        <v>76</v>
      </c>
      <c r="E30" t="s">
        <v>55</v>
      </c>
      <c r="F30" t="s">
        <v>77</v>
      </c>
      <c r="G30" t="str">
        <f>"201409002540"</f>
        <v>201409002540</v>
      </c>
      <c r="H30" t="s">
        <v>78</v>
      </c>
      <c r="I30">
        <v>150</v>
      </c>
      <c r="J30">
        <v>0</v>
      </c>
      <c r="K30">
        <v>0</v>
      </c>
      <c r="L30">
        <v>200</v>
      </c>
      <c r="M30">
        <v>0</v>
      </c>
      <c r="N30">
        <v>30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79</v>
      </c>
    </row>
    <row r="31" spans="1:30" x14ac:dyDescent="0.25">
      <c r="H31" t="s">
        <v>80</v>
      </c>
    </row>
    <row r="32" spans="1:30" x14ac:dyDescent="0.25">
      <c r="A32">
        <v>13</v>
      </c>
      <c r="B32">
        <v>5609</v>
      </c>
      <c r="C32" t="s">
        <v>81</v>
      </c>
      <c r="D32" t="s">
        <v>82</v>
      </c>
      <c r="E32" t="s">
        <v>34</v>
      </c>
      <c r="F32" t="s">
        <v>83</v>
      </c>
      <c r="G32" t="str">
        <f>"00129609"</f>
        <v>00129609</v>
      </c>
      <c r="H32">
        <v>880</v>
      </c>
      <c r="I32">
        <v>150</v>
      </c>
      <c r="J32">
        <v>0</v>
      </c>
      <c r="K32">
        <v>0</v>
      </c>
      <c r="L32">
        <v>0</v>
      </c>
      <c r="M32">
        <v>100</v>
      </c>
      <c r="N32">
        <v>30</v>
      </c>
      <c r="O32">
        <v>0</v>
      </c>
      <c r="P32">
        <v>0</v>
      </c>
      <c r="Q32">
        <v>50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1798</v>
      </c>
    </row>
    <row r="33" spans="1:30" x14ac:dyDescent="0.25">
      <c r="H33" t="s">
        <v>84</v>
      </c>
    </row>
    <row r="34" spans="1:30" x14ac:dyDescent="0.25">
      <c r="A34">
        <v>14</v>
      </c>
      <c r="B34">
        <v>131</v>
      </c>
      <c r="C34" t="s">
        <v>85</v>
      </c>
      <c r="D34" t="s">
        <v>86</v>
      </c>
      <c r="E34" t="s">
        <v>24</v>
      </c>
      <c r="F34" t="s">
        <v>87</v>
      </c>
      <c r="G34" t="str">
        <f>"00009277"</f>
        <v>00009277</v>
      </c>
      <c r="H34" t="s">
        <v>88</v>
      </c>
      <c r="I34">
        <v>150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68</v>
      </c>
      <c r="W34">
        <v>476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89</v>
      </c>
    </row>
    <row r="35" spans="1:30" x14ac:dyDescent="0.25">
      <c r="H35" t="s">
        <v>90</v>
      </c>
    </row>
    <row r="36" spans="1:30" x14ac:dyDescent="0.25">
      <c r="A36">
        <v>15</v>
      </c>
      <c r="B36">
        <v>1509</v>
      </c>
      <c r="C36" t="s">
        <v>91</v>
      </c>
      <c r="D36" t="s">
        <v>92</v>
      </c>
      <c r="E36" t="s">
        <v>93</v>
      </c>
      <c r="F36" t="s">
        <v>94</v>
      </c>
      <c r="G36" t="str">
        <f>"201511032705"</f>
        <v>201511032705</v>
      </c>
      <c r="H36" t="s">
        <v>95</v>
      </c>
      <c r="I36">
        <v>150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64</v>
      </c>
      <c r="W36">
        <v>448</v>
      </c>
      <c r="X36">
        <v>0</v>
      </c>
      <c r="Z36">
        <v>0</v>
      </c>
      <c r="AA36">
        <v>0</v>
      </c>
      <c r="AB36">
        <v>16</v>
      </c>
      <c r="AC36">
        <v>272</v>
      </c>
      <c r="AD36" t="s">
        <v>96</v>
      </c>
    </row>
    <row r="37" spans="1:30" x14ac:dyDescent="0.25">
      <c r="H37" t="s">
        <v>97</v>
      </c>
    </row>
    <row r="38" spans="1:30" x14ac:dyDescent="0.25">
      <c r="A38">
        <v>16</v>
      </c>
      <c r="B38">
        <v>1223</v>
      </c>
      <c r="C38" t="s">
        <v>98</v>
      </c>
      <c r="D38" t="s">
        <v>99</v>
      </c>
      <c r="E38" t="s">
        <v>100</v>
      </c>
      <c r="F38" t="s">
        <v>101</v>
      </c>
      <c r="G38" t="str">
        <f>"201412001880"</f>
        <v>201412001880</v>
      </c>
      <c r="H38" t="s">
        <v>102</v>
      </c>
      <c r="I38">
        <v>150</v>
      </c>
      <c r="J38">
        <v>0</v>
      </c>
      <c r="K38">
        <v>0</v>
      </c>
      <c r="L38">
        <v>200</v>
      </c>
      <c r="M38">
        <v>0</v>
      </c>
      <c r="N38">
        <v>30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103</v>
      </c>
    </row>
    <row r="39" spans="1:30" x14ac:dyDescent="0.25">
      <c r="H39" t="s">
        <v>104</v>
      </c>
    </row>
    <row r="40" spans="1:30" x14ac:dyDescent="0.25">
      <c r="A40">
        <v>17</v>
      </c>
      <c r="B40">
        <v>583</v>
      </c>
      <c r="C40" t="s">
        <v>105</v>
      </c>
      <c r="D40" t="s">
        <v>106</v>
      </c>
      <c r="E40" t="s">
        <v>107</v>
      </c>
      <c r="F40" t="s">
        <v>108</v>
      </c>
      <c r="G40" t="str">
        <f>"201406014655"</f>
        <v>201406014655</v>
      </c>
      <c r="H40">
        <v>737</v>
      </c>
      <c r="I40">
        <v>0</v>
      </c>
      <c r="J40">
        <v>0</v>
      </c>
      <c r="K40">
        <v>0</v>
      </c>
      <c r="L40">
        <v>200</v>
      </c>
      <c r="M40">
        <v>0</v>
      </c>
      <c r="N40">
        <v>50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66</v>
      </c>
      <c r="W40">
        <v>462</v>
      </c>
      <c r="X40">
        <v>0</v>
      </c>
      <c r="Z40">
        <v>0</v>
      </c>
      <c r="AA40">
        <v>0</v>
      </c>
      <c r="AB40">
        <v>18</v>
      </c>
      <c r="AC40">
        <v>306</v>
      </c>
      <c r="AD40">
        <v>1785</v>
      </c>
    </row>
    <row r="41" spans="1:30" x14ac:dyDescent="0.25">
      <c r="H41" t="s">
        <v>109</v>
      </c>
    </row>
    <row r="42" spans="1:30" x14ac:dyDescent="0.25">
      <c r="A42">
        <v>18</v>
      </c>
      <c r="B42">
        <v>3271</v>
      </c>
      <c r="C42" t="s">
        <v>110</v>
      </c>
      <c r="D42" t="s">
        <v>62</v>
      </c>
      <c r="E42" t="s">
        <v>111</v>
      </c>
      <c r="F42" t="s">
        <v>112</v>
      </c>
      <c r="G42" t="str">
        <f>"00345803"</f>
        <v>00345803</v>
      </c>
      <c r="H42">
        <v>726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>
        <v>1784</v>
      </c>
    </row>
    <row r="43" spans="1:30" x14ac:dyDescent="0.25">
      <c r="H43" t="s">
        <v>113</v>
      </c>
    </row>
    <row r="44" spans="1:30" x14ac:dyDescent="0.25">
      <c r="A44">
        <v>19</v>
      </c>
      <c r="B44">
        <v>2355</v>
      </c>
      <c r="C44" t="s">
        <v>114</v>
      </c>
      <c r="D44" t="s">
        <v>115</v>
      </c>
      <c r="E44" t="s">
        <v>34</v>
      </c>
      <c r="F44" t="s">
        <v>116</v>
      </c>
      <c r="G44" t="str">
        <f>"200712001186"</f>
        <v>200712001186</v>
      </c>
      <c r="H44" t="s">
        <v>117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118</v>
      </c>
    </row>
    <row r="45" spans="1:30" x14ac:dyDescent="0.25">
      <c r="H45" t="s">
        <v>119</v>
      </c>
    </row>
    <row r="46" spans="1:30" x14ac:dyDescent="0.25">
      <c r="A46">
        <v>20</v>
      </c>
      <c r="B46">
        <v>1496</v>
      </c>
      <c r="C46" t="s">
        <v>120</v>
      </c>
      <c r="D46" t="s">
        <v>121</v>
      </c>
      <c r="E46" t="s">
        <v>122</v>
      </c>
      <c r="F46" t="s">
        <v>123</v>
      </c>
      <c r="G46" t="str">
        <f>"200802008114"</f>
        <v>200802008114</v>
      </c>
      <c r="H46" t="s">
        <v>124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125</v>
      </c>
    </row>
    <row r="47" spans="1:30" x14ac:dyDescent="0.25">
      <c r="H47" t="s">
        <v>126</v>
      </c>
    </row>
    <row r="48" spans="1:30" x14ac:dyDescent="0.25">
      <c r="A48">
        <v>21</v>
      </c>
      <c r="B48">
        <v>438</v>
      </c>
      <c r="C48" t="s">
        <v>127</v>
      </c>
      <c r="D48" t="s">
        <v>55</v>
      </c>
      <c r="E48" t="s">
        <v>107</v>
      </c>
      <c r="F48" t="s">
        <v>128</v>
      </c>
      <c r="G48" t="str">
        <f>"201406013334"</f>
        <v>201406013334</v>
      </c>
      <c r="H48">
        <v>935</v>
      </c>
      <c r="I48">
        <v>0</v>
      </c>
      <c r="J48">
        <v>0</v>
      </c>
      <c r="K48">
        <v>0</v>
      </c>
      <c r="L48">
        <v>260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76</v>
      </c>
      <c r="W48">
        <v>532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1777</v>
      </c>
    </row>
    <row r="49" spans="1:30" x14ac:dyDescent="0.25">
      <c r="H49" t="s">
        <v>129</v>
      </c>
    </row>
    <row r="50" spans="1:30" x14ac:dyDescent="0.25">
      <c r="A50">
        <v>22</v>
      </c>
      <c r="B50">
        <v>4785</v>
      </c>
      <c r="C50" t="s">
        <v>130</v>
      </c>
      <c r="D50" t="s">
        <v>76</v>
      </c>
      <c r="E50" t="s">
        <v>34</v>
      </c>
      <c r="F50" t="s">
        <v>131</v>
      </c>
      <c r="G50" t="str">
        <f>"201411002487"</f>
        <v>201411002487</v>
      </c>
      <c r="H50">
        <v>913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1771</v>
      </c>
    </row>
    <row r="51" spans="1:30" x14ac:dyDescent="0.25">
      <c r="H51" t="s">
        <v>132</v>
      </c>
    </row>
    <row r="52" spans="1:30" x14ac:dyDescent="0.25">
      <c r="A52">
        <v>23</v>
      </c>
      <c r="B52">
        <v>1342</v>
      </c>
      <c r="C52" t="s">
        <v>133</v>
      </c>
      <c r="D52" t="s">
        <v>44</v>
      </c>
      <c r="E52" t="s">
        <v>134</v>
      </c>
      <c r="F52" t="s">
        <v>135</v>
      </c>
      <c r="G52" t="str">
        <f>"201402009631"</f>
        <v>201402009631</v>
      </c>
      <c r="H52" t="s">
        <v>136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2</v>
      </c>
      <c r="AA52">
        <v>0</v>
      </c>
      <c r="AB52">
        <v>0</v>
      </c>
      <c r="AC52">
        <v>0</v>
      </c>
      <c r="AD52" t="s">
        <v>137</v>
      </c>
    </row>
    <row r="53" spans="1:30" x14ac:dyDescent="0.25">
      <c r="H53" t="s">
        <v>138</v>
      </c>
    </row>
    <row r="54" spans="1:30" x14ac:dyDescent="0.25">
      <c r="A54">
        <v>24</v>
      </c>
      <c r="B54">
        <v>2095</v>
      </c>
      <c r="C54" t="s">
        <v>139</v>
      </c>
      <c r="D54" t="s">
        <v>140</v>
      </c>
      <c r="E54" t="s">
        <v>28</v>
      </c>
      <c r="F54" t="s">
        <v>141</v>
      </c>
      <c r="G54" t="str">
        <f>"201411002923"</f>
        <v>201411002923</v>
      </c>
      <c r="H54" t="s">
        <v>142</v>
      </c>
      <c r="I54">
        <v>150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143</v>
      </c>
    </row>
    <row r="55" spans="1:30" x14ac:dyDescent="0.25">
      <c r="H55" t="s">
        <v>144</v>
      </c>
    </row>
    <row r="56" spans="1:30" x14ac:dyDescent="0.25">
      <c r="A56">
        <v>25</v>
      </c>
      <c r="B56">
        <v>1700</v>
      </c>
      <c r="C56" t="s">
        <v>145</v>
      </c>
      <c r="D56" t="s">
        <v>93</v>
      </c>
      <c r="E56" t="s">
        <v>146</v>
      </c>
      <c r="F56" t="s">
        <v>147</v>
      </c>
      <c r="G56" t="str">
        <f>"201511033215"</f>
        <v>201511033215</v>
      </c>
      <c r="H56">
        <v>693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1751</v>
      </c>
    </row>
    <row r="57" spans="1:30" x14ac:dyDescent="0.25">
      <c r="H57" t="s">
        <v>148</v>
      </c>
    </row>
    <row r="58" spans="1:30" x14ac:dyDescent="0.25">
      <c r="A58">
        <v>26</v>
      </c>
      <c r="B58">
        <v>6072</v>
      </c>
      <c r="C58" t="s">
        <v>149</v>
      </c>
      <c r="D58" t="s">
        <v>24</v>
      </c>
      <c r="E58" t="s">
        <v>150</v>
      </c>
      <c r="F58" t="s">
        <v>151</v>
      </c>
      <c r="G58" t="str">
        <f>"00175908"</f>
        <v>00175908</v>
      </c>
      <c r="H58">
        <v>737</v>
      </c>
      <c r="I58">
        <v>150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32</v>
      </c>
      <c r="W58">
        <v>224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1749</v>
      </c>
    </row>
    <row r="59" spans="1:30" x14ac:dyDescent="0.25">
      <c r="H59" t="s">
        <v>152</v>
      </c>
    </row>
    <row r="60" spans="1:30" x14ac:dyDescent="0.25">
      <c r="A60">
        <v>27</v>
      </c>
      <c r="B60">
        <v>681</v>
      </c>
      <c r="C60" t="s">
        <v>153</v>
      </c>
      <c r="D60" t="s">
        <v>154</v>
      </c>
      <c r="E60" t="s">
        <v>86</v>
      </c>
      <c r="F60" t="s">
        <v>155</v>
      </c>
      <c r="G60" t="str">
        <f>"00257931"</f>
        <v>00257931</v>
      </c>
      <c r="H60">
        <v>935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53</v>
      </c>
      <c r="W60">
        <v>371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1744</v>
      </c>
    </row>
    <row r="61" spans="1:30" x14ac:dyDescent="0.25">
      <c r="H61" t="s">
        <v>156</v>
      </c>
    </row>
    <row r="62" spans="1:30" x14ac:dyDescent="0.25">
      <c r="A62">
        <v>28</v>
      </c>
      <c r="B62">
        <v>4487</v>
      </c>
      <c r="C62" t="s">
        <v>157</v>
      </c>
      <c r="D62" t="s">
        <v>158</v>
      </c>
      <c r="E62" t="s">
        <v>159</v>
      </c>
      <c r="F62" t="s">
        <v>160</v>
      </c>
      <c r="G62" t="str">
        <f>"200801006955"</f>
        <v>200801006955</v>
      </c>
      <c r="H62" t="s">
        <v>161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30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162</v>
      </c>
    </row>
    <row r="63" spans="1:30" x14ac:dyDescent="0.25">
      <c r="H63" t="s">
        <v>163</v>
      </c>
    </row>
    <row r="64" spans="1:30" x14ac:dyDescent="0.25">
      <c r="A64">
        <v>29</v>
      </c>
      <c r="B64">
        <v>1887</v>
      </c>
      <c r="C64" t="s">
        <v>164</v>
      </c>
      <c r="D64" t="s">
        <v>154</v>
      </c>
      <c r="E64" t="s">
        <v>107</v>
      </c>
      <c r="F64" t="s">
        <v>165</v>
      </c>
      <c r="G64" t="str">
        <f>"00156123"</f>
        <v>00156123</v>
      </c>
      <c r="H64">
        <v>792</v>
      </c>
      <c r="I64">
        <v>150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81</v>
      </c>
      <c r="W64">
        <v>567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1739</v>
      </c>
    </row>
    <row r="65" spans="1:30" x14ac:dyDescent="0.25">
      <c r="H65" t="s">
        <v>166</v>
      </c>
    </row>
    <row r="66" spans="1:30" x14ac:dyDescent="0.25">
      <c r="A66">
        <v>30</v>
      </c>
      <c r="B66">
        <v>4878</v>
      </c>
      <c r="C66" t="s">
        <v>167</v>
      </c>
      <c r="D66" t="s">
        <v>168</v>
      </c>
      <c r="E66" t="s">
        <v>93</v>
      </c>
      <c r="F66" t="s">
        <v>169</v>
      </c>
      <c r="G66" t="str">
        <f>"201406002514"</f>
        <v>201406002514</v>
      </c>
      <c r="H66" t="s">
        <v>142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70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170</v>
      </c>
    </row>
    <row r="67" spans="1:30" x14ac:dyDescent="0.25">
      <c r="H67" t="s">
        <v>171</v>
      </c>
    </row>
    <row r="68" spans="1:30" x14ac:dyDescent="0.25">
      <c r="A68">
        <v>31</v>
      </c>
      <c r="B68">
        <v>2298</v>
      </c>
      <c r="C68" t="s">
        <v>172</v>
      </c>
      <c r="D68" t="s">
        <v>173</v>
      </c>
      <c r="E68" t="s">
        <v>55</v>
      </c>
      <c r="F68" t="s">
        <v>174</v>
      </c>
      <c r="G68" t="str">
        <f>"201406010417"</f>
        <v>201406010417</v>
      </c>
      <c r="H68" t="s">
        <v>175</v>
      </c>
      <c r="I68">
        <v>150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176</v>
      </c>
    </row>
    <row r="69" spans="1:30" x14ac:dyDescent="0.25">
      <c r="H69" t="s">
        <v>177</v>
      </c>
    </row>
    <row r="70" spans="1:30" x14ac:dyDescent="0.25">
      <c r="A70">
        <v>32</v>
      </c>
      <c r="B70">
        <v>4086</v>
      </c>
      <c r="C70" t="s">
        <v>178</v>
      </c>
      <c r="D70" t="s">
        <v>179</v>
      </c>
      <c r="E70" t="s">
        <v>15</v>
      </c>
      <c r="F70" t="s">
        <v>180</v>
      </c>
      <c r="G70" t="str">
        <f>"201412001348"</f>
        <v>201412001348</v>
      </c>
      <c r="H70" t="s">
        <v>181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73</v>
      </c>
      <c r="W70">
        <v>511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182</v>
      </c>
    </row>
    <row r="71" spans="1:30" x14ac:dyDescent="0.25">
      <c r="H71" t="s">
        <v>183</v>
      </c>
    </row>
    <row r="72" spans="1:30" x14ac:dyDescent="0.25">
      <c r="A72">
        <v>33</v>
      </c>
      <c r="B72">
        <v>5195</v>
      </c>
      <c r="C72" t="s">
        <v>184</v>
      </c>
      <c r="D72" t="s">
        <v>185</v>
      </c>
      <c r="E72" t="s">
        <v>186</v>
      </c>
      <c r="F72" t="s">
        <v>187</v>
      </c>
      <c r="G72" t="str">
        <f>"201406009925"</f>
        <v>201406009925</v>
      </c>
      <c r="H72" t="s">
        <v>117</v>
      </c>
      <c r="I72">
        <v>150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188</v>
      </c>
    </row>
    <row r="73" spans="1:30" x14ac:dyDescent="0.25">
      <c r="H73" t="s">
        <v>189</v>
      </c>
    </row>
    <row r="74" spans="1:30" x14ac:dyDescent="0.25">
      <c r="A74">
        <v>34</v>
      </c>
      <c r="B74">
        <v>5917</v>
      </c>
      <c r="C74" t="s">
        <v>190</v>
      </c>
      <c r="D74" t="s">
        <v>185</v>
      </c>
      <c r="E74" t="s">
        <v>44</v>
      </c>
      <c r="F74" t="s">
        <v>191</v>
      </c>
      <c r="G74" t="str">
        <f>"201511030726"</f>
        <v>201511030726</v>
      </c>
      <c r="H74">
        <v>869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1727</v>
      </c>
    </row>
    <row r="75" spans="1:30" x14ac:dyDescent="0.25">
      <c r="H75" t="s">
        <v>192</v>
      </c>
    </row>
    <row r="76" spans="1:30" x14ac:dyDescent="0.25">
      <c r="A76">
        <v>35</v>
      </c>
      <c r="B76">
        <v>298</v>
      </c>
      <c r="C76" t="s">
        <v>193</v>
      </c>
      <c r="D76" t="s">
        <v>92</v>
      </c>
      <c r="E76" t="s">
        <v>146</v>
      </c>
      <c r="F76" t="s">
        <v>194</v>
      </c>
      <c r="G76" t="str">
        <f>"00030252"</f>
        <v>00030252</v>
      </c>
      <c r="H76">
        <v>748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56</v>
      </c>
      <c r="W76">
        <v>392</v>
      </c>
      <c r="X76">
        <v>0</v>
      </c>
      <c r="Z76">
        <v>0</v>
      </c>
      <c r="AA76">
        <v>0</v>
      </c>
      <c r="AB76">
        <v>21</v>
      </c>
      <c r="AC76">
        <v>357</v>
      </c>
      <c r="AD76">
        <v>1727</v>
      </c>
    </row>
    <row r="77" spans="1:30" x14ac:dyDescent="0.25">
      <c r="H77" t="s">
        <v>195</v>
      </c>
    </row>
    <row r="78" spans="1:30" x14ac:dyDescent="0.25">
      <c r="A78">
        <v>36</v>
      </c>
      <c r="B78">
        <v>4588</v>
      </c>
      <c r="C78" t="s">
        <v>196</v>
      </c>
      <c r="D78" t="s">
        <v>44</v>
      </c>
      <c r="E78" t="s">
        <v>93</v>
      </c>
      <c r="F78" t="s">
        <v>197</v>
      </c>
      <c r="G78" t="str">
        <f>"201304003534"</f>
        <v>201304003534</v>
      </c>
      <c r="H78">
        <v>770</v>
      </c>
      <c r="I78">
        <v>150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82</v>
      </c>
      <c r="W78">
        <v>574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1724</v>
      </c>
    </row>
    <row r="79" spans="1:30" x14ac:dyDescent="0.25">
      <c r="H79" t="s">
        <v>198</v>
      </c>
    </row>
    <row r="80" spans="1:30" x14ac:dyDescent="0.25">
      <c r="A80">
        <v>37</v>
      </c>
      <c r="B80">
        <v>4965</v>
      </c>
      <c r="C80" t="s">
        <v>199</v>
      </c>
      <c r="D80" t="s">
        <v>200</v>
      </c>
      <c r="E80" t="s">
        <v>122</v>
      </c>
      <c r="F80" t="s">
        <v>201</v>
      </c>
      <c r="G80" t="str">
        <f>"201406015865"</f>
        <v>201406015865</v>
      </c>
      <c r="H80">
        <v>814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50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1722</v>
      </c>
    </row>
    <row r="81" spans="1:30" x14ac:dyDescent="0.25">
      <c r="H81" t="s">
        <v>202</v>
      </c>
    </row>
    <row r="82" spans="1:30" x14ac:dyDescent="0.25">
      <c r="A82">
        <v>38</v>
      </c>
      <c r="B82">
        <v>4077</v>
      </c>
      <c r="C82" t="s">
        <v>203</v>
      </c>
      <c r="D82" t="s">
        <v>204</v>
      </c>
      <c r="E82" t="s">
        <v>29</v>
      </c>
      <c r="F82" t="s">
        <v>205</v>
      </c>
      <c r="G82" t="str">
        <f>"201406013241"</f>
        <v>201406013241</v>
      </c>
      <c r="H82" t="s">
        <v>206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50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207</v>
      </c>
    </row>
    <row r="83" spans="1:30" x14ac:dyDescent="0.25">
      <c r="H83" t="s">
        <v>208</v>
      </c>
    </row>
    <row r="84" spans="1:30" x14ac:dyDescent="0.25">
      <c r="A84">
        <v>39</v>
      </c>
      <c r="B84">
        <v>1932</v>
      </c>
      <c r="C84" t="s">
        <v>209</v>
      </c>
      <c r="D84" t="s">
        <v>210</v>
      </c>
      <c r="E84" t="s">
        <v>24</v>
      </c>
      <c r="F84" t="s">
        <v>211</v>
      </c>
      <c r="G84" t="str">
        <f>"00314191"</f>
        <v>00314191</v>
      </c>
      <c r="H84" t="s">
        <v>212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213</v>
      </c>
    </row>
    <row r="85" spans="1:30" x14ac:dyDescent="0.25">
      <c r="H85" t="s">
        <v>214</v>
      </c>
    </row>
    <row r="86" spans="1:30" x14ac:dyDescent="0.25">
      <c r="A86">
        <v>40</v>
      </c>
      <c r="B86">
        <v>743</v>
      </c>
      <c r="C86" t="s">
        <v>215</v>
      </c>
      <c r="D86" t="s">
        <v>115</v>
      </c>
      <c r="E86" t="s">
        <v>24</v>
      </c>
      <c r="F86" t="s">
        <v>216</v>
      </c>
      <c r="G86" t="str">
        <f>"201402008762"</f>
        <v>201402008762</v>
      </c>
      <c r="H86" t="s">
        <v>217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218</v>
      </c>
    </row>
    <row r="87" spans="1:30" x14ac:dyDescent="0.25">
      <c r="H87" t="s">
        <v>219</v>
      </c>
    </row>
    <row r="88" spans="1:30" x14ac:dyDescent="0.25">
      <c r="A88">
        <v>41</v>
      </c>
      <c r="B88">
        <v>569</v>
      </c>
      <c r="C88" t="s">
        <v>54</v>
      </c>
      <c r="D88" t="s">
        <v>220</v>
      </c>
      <c r="E88" t="s">
        <v>221</v>
      </c>
      <c r="F88" t="s">
        <v>222</v>
      </c>
      <c r="G88" t="str">
        <f>"200812000463"</f>
        <v>200812000463</v>
      </c>
      <c r="H88">
        <v>671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62</v>
      </c>
      <c r="W88">
        <v>434</v>
      </c>
      <c r="X88">
        <v>0</v>
      </c>
      <c r="Z88">
        <v>0</v>
      </c>
      <c r="AA88">
        <v>0</v>
      </c>
      <c r="AB88">
        <v>22</v>
      </c>
      <c r="AC88">
        <v>374</v>
      </c>
      <c r="AD88">
        <v>1709</v>
      </c>
    </row>
    <row r="89" spans="1:30" x14ac:dyDescent="0.25">
      <c r="H89" t="s">
        <v>223</v>
      </c>
    </row>
    <row r="90" spans="1:30" x14ac:dyDescent="0.25">
      <c r="A90">
        <v>42</v>
      </c>
      <c r="B90">
        <v>4694</v>
      </c>
      <c r="C90" t="s">
        <v>224</v>
      </c>
      <c r="D90" t="s">
        <v>168</v>
      </c>
      <c r="E90" t="s">
        <v>55</v>
      </c>
      <c r="F90" t="s">
        <v>225</v>
      </c>
      <c r="G90" t="str">
        <f>"00104236"</f>
        <v>00104236</v>
      </c>
      <c r="H90" t="s">
        <v>226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227</v>
      </c>
    </row>
    <row r="91" spans="1:30" x14ac:dyDescent="0.25">
      <c r="H91" t="s">
        <v>228</v>
      </c>
    </row>
    <row r="92" spans="1:30" x14ac:dyDescent="0.25">
      <c r="A92">
        <v>43</v>
      </c>
      <c r="B92">
        <v>6044</v>
      </c>
      <c r="C92" t="s">
        <v>229</v>
      </c>
      <c r="D92" t="s">
        <v>200</v>
      </c>
      <c r="E92" t="s">
        <v>107</v>
      </c>
      <c r="F92" t="s">
        <v>230</v>
      </c>
      <c r="G92" t="str">
        <f>"200905000591"</f>
        <v>200905000591</v>
      </c>
      <c r="H92" t="s">
        <v>231</v>
      </c>
      <c r="I92">
        <v>150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1</v>
      </c>
      <c r="AA92">
        <v>0</v>
      </c>
      <c r="AB92">
        <v>24</v>
      </c>
      <c r="AC92">
        <v>408</v>
      </c>
      <c r="AD92" t="s">
        <v>232</v>
      </c>
    </row>
    <row r="93" spans="1:30" x14ac:dyDescent="0.25">
      <c r="H93" t="s">
        <v>233</v>
      </c>
    </row>
    <row r="94" spans="1:30" x14ac:dyDescent="0.25">
      <c r="A94">
        <v>44</v>
      </c>
      <c r="B94">
        <v>3536</v>
      </c>
      <c r="C94" t="s">
        <v>234</v>
      </c>
      <c r="D94" t="s">
        <v>34</v>
      </c>
      <c r="E94" t="s">
        <v>93</v>
      </c>
      <c r="F94" t="s">
        <v>235</v>
      </c>
      <c r="G94" t="str">
        <f>"201412006996"</f>
        <v>201412006996</v>
      </c>
      <c r="H94" t="s">
        <v>236</v>
      </c>
      <c r="I94">
        <v>150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74</v>
      </c>
      <c r="W94">
        <v>518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237</v>
      </c>
    </row>
    <row r="95" spans="1:30" x14ac:dyDescent="0.25">
      <c r="H95" t="s">
        <v>238</v>
      </c>
    </row>
    <row r="96" spans="1:30" x14ac:dyDescent="0.25">
      <c r="A96">
        <v>45</v>
      </c>
      <c r="B96">
        <v>5976</v>
      </c>
      <c r="C96" t="s">
        <v>239</v>
      </c>
      <c r="D96" t="s">
        <v>240</v>
      </c>
      <c r="E96" t="s">
        <v>221</v>
      </c>
      <c r="F96" t="s">
        <v>241</v>
      </c>
      <c r="G96" t="str">
        <f>"201410007539"</f>
        <v>201410007539</v>
      </c>
      <c r="H96" t="s">
        <v>242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243</v>
      </c>
    </row>
    <row r="97" spans="1:30" x14ac:dyDescent="0.25">
      <c r="H97" t="s">
        <v>244</v>
      </c>
    </row>
    <row r="98" spans="1:30" x14ac:dyDescent="0.25">
      <c r="A98">
        <v>46</v>
      </c>
      <c r="B98">
        <v>5101</v>
      </c>
      <c r="C98" t="s">
        <v>245</v>
      </c>
      <c r="D98" t="s">
        <v>246</v>
      </c>
      <c r="E98" t="s">
        <v>107</v>
      </c>
      <c r="F98" t="s">
        <v>247</v>
      </c>
      <c r="G98" t="str">
        <f>"00140087"</f>
        <v>00140087</v>
      </c>
      <c r="H98" t="s">
        <v>248</v>
      </c>
      <c r="I98">
        <v>150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1</v>
      </c>
      <c r="AA98">
        <v>0</v>
      </c>
      <c r="AB98">
        <v>0</v>
      </c>
      <c r="AC98">
        <v>0</v>
      </c>
      <c r="AD98" t="s">
        <v>249</v>
      </c>
    </row>
    <row r="99" spans="1:30" x14ac:dyDescent="0.25">
      <c r="H99" t="s">
        <v>250</v>
      </c>
    </row>
    <row r="100" spans="1:30" x14ac:dyDescent="0.25">
      <c r="A100">
        <v>47</v>
      </c>
      <c r="B100">
        <v>3950</v>
      </c>
      <c r="C100" t="s">
        <v>251</v>
      </c>
      <c r="D100" t="s">
        <v>34</v>
      </c>
      <c r="E100" t="s">
        <v>252</v>
      </c>
      <c r="F100" t="s">
        <v>253</v>
      </c>
      <c r="G100" t="str">
        <f>"201406015369"</f>
        <v>201406015369</v>
      </c>
      <c r="H100" t="s">
        <v>254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255</v>
      </c>
    </row>
    <row r="101" spans="1:30" x14ac:dyDescent="0.25">
      <c r="H101" t="s">
        <v>256</v>
      </c>
    </row>
    <row r="102" spans="1:30" x14ac:dyDescent="0.25">
      <c r="A102">
        <v>48</v>
      </c>
      <c r="B102">
        <v>2428</v>
      </c>
      <c r="C102" t="s">
        <v>257</v>
      </c>
      <c r="D102" t="s">
        <v>185</v>
      </c>
      <c r="E102" t="s">
        <v>258</v>
      </c>
      <c r="F102" t="s">
        <v>259</v>
      </c>
      <c r="G102" t="str">
        <f>"00148850"</f>
        <v>00148850</v>
      </c>
      <c r="H102">
        <v>737</v>
      </c>
      <c r="I102">
        <v>0</v>
      </c>
      <c r="J102">
        <v>0</v>
      </c>
      <c r="K102">
        <v>0</v>
      </c>
      <c r="L102">
        <v>200</v>
      </c>
      <c r="M102">
        <v>30</v>
      </c>
      <c r="N102">
        <v>70</v>
      </c>
      <c r="O102">
        <v>0</v>
      </c>
      <c r="P102">
        <v>0</v>
      </c>
      <c r="Q102">
        <v>70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1695</v>
      </c>
    </row>
    <row r="103" spans="1:30" x14ac:dyDescent="0.25">
      <c r="H103" t="s">
        <v>260</v>
      </c>
    </row>
    <row r="104" spans="1:30" x14ac:dyDescent="0.25">
      <c r="A104">
        <v>49</v>
      </c>
      <c r="B104">
        <v>3827</v>
      </c>
      <c r="C104" t="s">
        <v>261</v>
      </c>
      <c r="D104" t="s">
        <v>24</v>
      </c>
      <c r="E104" t="s">
        <v>262</v>
      </c>
      <c r="F104" t="s">
        <v>263</v>
      </c>
      <c r="G104" t="str">
        <f>"201601000396"</f>
        <v>201601000396</v>
      </c>
      <c r="H104" t="s">
        <v>264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265</v>
      </c>
    </row>
    <row r="105" spans="1:30" x14ac:dyDescent="0.25">
      <c r="H105" t="s">
        <v>266</v>
      </c>
    </row>
    <row r="106" spans="1:30" x14ac:dyDescent="0.25">
      <c r="A106">
        <v>50</v>
      </c>
      <c r="B106">
        <v>6106</v>
      </c>
      <c r="C106" t="s">
        <v>267</v>
      </c>
      <c r="D106" t="s">
        <v>246</v>
      </c>
      <c r="E106" t="s">
        <v>268</v>
      </c>
      <c r="F106" t="s">
        <v>269</v>
      </c>
      <c r="G106" t="str">
        <f>"00369136"</f>
        <v>00369136</v>
      </c>
      <c r="H106" t="s">
        <v>270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56</v>
      </c>
      <c r="W106">
        <v>392</v>
      </c>
      <c r="X106">
        <v>0</v>
      </c>
      <c r="Z106">
        <v>0</v>
      </c>
      <c r="AA106">
        <v>0</v>
      </c>
      <c r="AB106">
        <v>14</v>
      </c>
      <c r="AC106">
        <v>238</v>
      </c>
      <c r="AD106" t="s">
        <v>271</v>
      </c>
    </row>
    <row r="107" spans="1:30" x14ac:dyDescent="0.25">
      <c r="H107" t="s">
        <v>272</v>
      </c>
    </row>
    <row r="108" spans="1:30" x14ac:dyDescent="0.25">
      <c r="A108">
        <v>51</v>
      </c>
      <c r="B108">
        <v>3084</v>
      </c>
      <c r="C108" t="s">
        <v>273</v>
      </c>
      <c r="D108" t="s">
        <v>274</v>
      </c>
      <c r="E108" t="s">
        <v>44</v>
      </c>
      <c r="F108" t="s">
        <v>275</v>
      </c>
      <c r="G108" t="str">
        <f>"00206543"</f>
        <v>00206543</v>
      </c>
      <c r="H108">
        <v>814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1682</v>
      </c>
    </row>
    <row r="109" spans="1:30" x14ac:dyDescent="0.25">
      <c r="H109" t="s">
        <v>276</v>
      </c>
    </row>
    <row r="110" spans="1:30" x14ac:dyDescent="0.25">
      <c r="A110">
        <v>52</v>
      </c>
      <c r="B110">
        <v>1364</v>
      </c>
      <c r="C110" t="s">
        <v>277</v>
      </c>
      <c r="D110" t="s">
        <v>246</v>
      </c>
      <c r="E110" t="s">
        <v>278</v>
      </c>
      <c r="F110" t="s">
        <v>279</v>
      </c>
      <c r="G110" t="str">
        <f>"200801003186"</f>
        <v>200801003186</v>
      </c>
      <c r="H110">
        <v>792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1680</v>
      </c>
    </row>
    <row r="111" spans="1:30" x14ac:dyDescent="0.25">
      <c r="H111" t="s">
        <v>280</v>
      </c>
    </row>
    <row r="112" spans="1:30" x14ac:dyDescent="0.25">
      <c r="A112">
        <v>53</v>
      </c>
      <c r="B112">
        <v>4592</v>
      </c>
      <c r="C112" t="s">
        <v>281</v>
      </c>
      <c r="D112" t="s">
        <v>282</v>
      </c>
      <c r="E112" t="s">
        <v>283</v>
      </c>
      <c r="F112" t="s">
        <v>284</v>
      </c>
      <c r="G112" t="str">
        <f>"00278191"</f>
        <v>00278191</v>
      </c>
      <c r="H112" t="s">
        <v>285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286</v>
      </c>
    </row>
    <row r="113" spans="1:30" x14ac:dyDescent="0.25">
      <c r="H113" t="s">
        <v>287</v>
      </c>
    </row>
    <row r="114" spans="1:30" x14ac:dyDescent="0.25">
      <c r="A114">
        <v>54</v>
      </c>
      <c r="B114">
        <v>1634</v>
      </c>
      <c r="C114" t="s">
        <v>288</v>
      </c>
      <c r="D114" t="s">
        <v>289</v>
      </c>
      <c r="E114" t="s">
        <v>121</v>
      </c>
      <c r="F114" t="s">
        <v>290</v>
      </c>
      <c r="G114" t="str">
        <f>"00148504"</f>
        <v>00148504</v>
      </c>
      <c r="H114" t="s">
        <v>291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77</v>
      </c>
      <c r="W114">
        <v>539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292</v>
      </c>
    </row>
    <row r="115" spans="1:30" x14ac:dyDescent="0.25">
      <c r="H115" t="s">
        <v>293</v>
      </c>
    </row>
    <row r="116" spans="1:30" x14ac:dyDescent="0.25">
      <c r="A116">
        <v>55</v>
      </c>
      <c r="B116">
        <v>1635</v>
      </c>
      <c r="C116" t="s">
        <v>294</v>
      </c>
      <c r="D116" t="s">
        <v>34</v>
      </c>
      <c r="E116" t="s">
        <v>70</v>
      </c>
      <c r="F116" t="s">
        <v>295</v>
      </c>
      <c r="G116" t="str">
        <f>"201405002185"</f>
        <v>201405002185</v>
      </c>
      <c r="H116">
        <v>825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1663</v>
      </c>
    </row>
    <row r="117" spans="1:30" x14ac:dyDescent="0.25">
      <c r="H117" t="s">
        <v>296</v>
      </c>
    </row>
    <row r="118" spans="1:30" x14ac:dyDescent="0.25">
      <c r="A118">
        <v>56</v>
      </c>
      <c r="B118">
        <v>2165</v>
      </c>
      <c r="C118" t="s">
        <v>297</v>
      </c>
      <c r="D118" t="s">
        <v>168</v>
      </c>
      <c r="E118" t="s">
        <v>15</v>
      </c>
      <c r="F118" t="s">
        <v>298</v>
      </c>
      <c r="G118" t="str">
        <f>"201406016078"</f>
        <v>201406016078</v>
      </c>
      <c r="H118" t="s">
        <v>299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57</v>
      </c>
      <c r="W118">
        <v>399</v>
      </c>
      <c r="X118">
        <v>0</v>
      </c>
      <c r="Z118">
        <v>0</v>
      </c>
      <c r="AA118">
        <v>0</v>
      </c>
      <c r="AB118">
        <v>18</v>
      </c>
      <c r="AC118">
        <v>306</v>
      </c>
      <c r="AD118" t="s">
        <v>300</v>
      </c>
    </row>
    <row r="119" spans="1:30" x14ac:dyDescent="0.25">
      <c r="H119" t="s">
        <v>301</v>
      </c>
    </row>
    <row r="120" spans="1:30" x14ac:dyDescent="0.25">
      <c r="A120">
        <v>57</v>
      </c>
      <c r="B120">
        <v>510</v>
      </c>
      <c r="C120" t="s">
        <v>302</v>
      </c>
      <c r="D120" t="s">
        <v>303</v>
      </c>
      <c r="E120" t="s">
        <v>107</v>
      </c>
      <c r="F120" t="s">
        <v>304</v>
      </c>
      <c r="G120" t="str">
        <f>"201506001641"</f>
        <v>201506001641</v>
      </c>
      <c r="H120">
        <v>792</v>
      </c>
      <c r="I120">
        <v>150</v>
      </c>
      <c r="J120">
        <v>0</v>
      </c>
      <c r="K120">
        <v>0</v>
      </c>
      <c r="L120">
        <v>0</v>
      </c>
      <c r="M120">
        <v>100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1660</v>
      </c>
    </row>
    <row r="121" spans="1:30" x14ac:dyDescent="0.25">
      <c r="H121" t="s">
        <v>305</v>
      </c>
    </row>
    <row r="122" spans="1:30" x14ac:dyDescent="0.25">
      <c r="A122">
        <v>58</v>
      </c>
      <c r="B122">
        <v>833</v>
      </c>
      <c r="C122" t="s">
        <v>306</v>
      </c>
      <c r="D122" t="s">
        <v>307</v>
      </c>
      <c r="E122" t="s">
        <v>283</v>
      </c>
      <c r="F122" t="s">
        <v>308</v>
      </c>
      <c r="G122" t="str">
        <f>"201406013029"</f>
        <v>201406013029</v>
      </c>
      <c r="H122" t="s">
        <v>309</v>
      </c>
      <c r="I122">
        <v>0</v>
      </c>
      <c r="J122">
        <v>0</v>
      </c>
      <c r="K122">
        <v>0</v>
      </c>
      <c r="L122">
        <v>200</v>
      </c>
      <c r="M122">
        <v>30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310</v>
      </c>
    </row>
    <row r="123" spans="1:30" x14ac:dyDescent="0.25">
      <c r="H123" t="s">
        <v>311</v>
      </c>
    </row>
    <row r="124" spans="1:30" x14ac:dyDescent="0.25">
      <c r="A124">
        <v>59</v>
      </c>
      <c r="B124">
        <v>1098</v>
      </c>
      <c r="C124" t="s">
        <v>312</v>
      </c>
      <c r="D124" t="s">
        <v>146</v>
      </c>
      <c r="E124" t="s">
        <v>34</v>
      </c>
      <c r="F124" t="s">
        <v>313</v>
      </c>
      <c r="G124" t="str">
        <f>"200809000863"</f>
        <v>200809000863</v>
      </c>
      <c r="H124" t="s">
        <v>314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42</v>
      </c>
      <c r="W124">
        <v>294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315</v>
      </c>
    </row>
    <row r="125" spans="1:30" x14ac:dyDescent="0.25">
      <c r="H125" t="s">
        <v>316</v>
      </c>
    </row>
    <row r="126" spans="1:30" x14ac:dyDescent="0.25">
      <c r="A126">
        <v>60</v>
      </c>
      <c r="B126">
        <v>2964</v>
      </c>
      <c r="C126" t="s">
        <v>317</v>
      </c>
      <c r="D126" t="s">
        <v>318</v>
      </c>
      <c r="E126" t="s">
        <v>319</v>
      </c>
      <c r="F126" t="s">
        <v>320</v>
      </c>
      <c r="G126" t="str">
        <f>"201405000626"</f>
        <v>201405000626</v>
      </c>
      <c r="H126" t="s">
        <v>321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322</v>
      </c>
    </row>
    <row r="127" spans="1:30" x14ac:dyDescent="0.25">
      <c r="H127" t="s">
        <v>323</v>
      </c>
    </row>
    <row r="128" spans="1:30" x14ac:dyDescent="0.25">
      <c r="A128">
        <v>61</v>
      </c>
      <c r="B128">
        <v>3273</v>
      </c>
      <c r="C128" t="s">
        <v>324</v>
      </c>
      <c r="D128" t="s">
        <v>325</v>
      </c>
      <c r="E128" t="s">
        <v>326</v>
      </c>
      <c r="F128" t="s">
        <v>327</v>
      </c>
      <c r="G128" t="str">
        <f>"201412007011"</f>
        <v>201412007011</v>
      </c>
      <c r="H128">
        <v>825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79</v>
      </c>
      <c r="W128">
        <v>553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1648</v>
      </c>
    </row>
    <row r="129" spans="1:30" x14ac:dyDescent="0.25">
      <c r="H129" t="s">
        <v>328</v>
      </c>
    </row>
    <row r="130" spans="1:30" x14ac:dyDescent="0.25">
      <c r="A130">
        <v>62</v>
      </c>
      <c r="B130">
        <v>1586</v>
      </c>
      <c r="C130" t="s">
        <v>329</v>
      </c>
      <c r="D130" t="s">
        <v>210</v>
      </c>
      <c r="E130" t="s">
        <v>330</v>
      </c>
      <c r="F130" t="s">
        <v>331</v>
      </c>
      <c r="G130" t="str">
        <f>"200903000743"</f>
        <v>200903000743</v>
      </c>
      <c r="H130">
        <v>770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1648</v>
      </c>
    </row>
    <row r="131" spans="1:30" x14ac:dyDescent="0.25">
      <c r="H131" t="s">
        <v>332</v>
      </c>
    </row>
    <row r="132" spans="1:30" x14ac:dyDescent="0.25">
      <c r="A132">
        <v>63</v>
      </c>
      <c r="B132">
        <v>149</v>
      </c>
      <c r="C132" t="s">
        <v>333</v>
      </c>
      <c r="D132" t="s">
        <v>334</v>
      </c>
      <c r="E132" t="s">
        <v>24</v>
      </c>
      <c r="F132" t="s">
        <v>335</v>
      </c>
      <c r="G132" t="str">
        <f>"00119672"</f>
        <v>00119672</v>
      </c>
      <c r="H132" t="s">
        <v>336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337</v>
      </c>
    </row>
    <row r="133" spans="1:30" x14ac:dyDescent="0.25">
      <c r="H133" t="s">
        <v>338</v>
      </c>
    </row>
    <row r="134" spans="1:30" x14ac:dyDescent="0.25">
      <c r="A134">
        <v>64</v>
      </c>
      <c r="B134">
        <v>2487</v>
      </c>
      <c r="C134" t="s">
        <v>339</v>
      </c>
      <c r="D134" t="s">
        <v>76</v>
      </c>
      <c r="E134" t="s">
        <v>34</v>
      </c>
      <c r="F134" t="s">
        <v>340</v>
      </c>
      <c r="G134" t="str">
        <f>"00323342"</f>
        <v>00323342</v>
      </c>
      <c r="H134" t="s">
        <v>341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30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342</v>
      </c>
    </row>
    <row r="135" spans="1:30" x14ac:dyDescent="0.25">
      <c r="H135" t="s">
        <v>343</v>
      </c>
    </row>
    <row r="136" spans="1:30" x14ac:dyDescent="0.25">
      <c r="A136">
        <v>65</v>
      </c>
      <c r="B136">
        <v>880</v>
      </c>
      <c r="C136" t="s">
        <v>344</v>
      </c>
      <c r="D136" t="s">
        <v>34</v>
      </c>
      <c r="E136" t="s">
        <v>24</v>
      </c>
      <c r="F136" t="s">
        <v>345</v>
      </c>
      <c r="G136" t="str">
        <f>"00300010"</f>
        <v>00300010</v>
      </c>
      <c r="H136" t="s">
        <v>346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347</v>
      </c>
    </row>
    <row r="137" spans="1:30" x14ac:dyDescent="0.25">
      <c r="H137" t="s">
        <v>348</v>
      </c>
    </row>
    <row r="138" spans="1:30" x14ac:dyDescent="0.25">
      <c r="A138">
        <v>66</v>
      </c>
      <c r="B138">
        <v>5438</v>
      </c>
      <c r="C138" t="s">
        <v>349</v>
      </c>
      <c r="D138" t="s">
        <v>350</v>
      </c>
      <c r="E138" t="s">
        <v>107</v>
      </c>
      <c r="F138" t="s">
        <v>351</v>
      </c>
      <c r="G138" t="str">
        <f>"201406013290"</f>
        <v>201406013290</v>
      </c>
      <c r="H138">
        <v>803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1641</v>
      </c>
    </row>
    <row r="139" spans="1:30" x14ac:dyDescent="0.25">
      <c r="H139" t="s">
        <v>352</v>
      </c>
    </row>
    <row r="140" spans="1:30" x14ac:dyDescent="0.25">
      <c r="A140">
        <v>67</v>
      </c>
      <c r="B140">
        <v>814</v>
      </c>
      <c r="C140" t="s">
        <v>353</v>
      </c>
      <c r="D140" t="s">
        <v>354</v>
      </c>
      <c r="E140" t="s">
        <v>28</v>
      </c>
      <c r="F140" t="s">
        <v>355</v>
      </c>
      <c r="G140" t="str">
        <f>"201402000896"</f>
        <v>201402000896</v>
      </c>
      <c r="H140">
        <v>781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1639</v>
      </c>
    </row>
    <row r="141" spans="1:30" x14ac:dyDescent="0.25">
      <c r="H141" t="s">
        <v>356</v>
      </c>
    </row>
    <row r="142" spans="1:30" x14ac:dyDescent="0.25">
      <c r="A142">
        <v>68</v>
      </c>
      <c r="B142">
        <v>5420</v>
      </c>
      <c r="C142" t="s">
        <v>357</v>
      </c>
      <c r="D142" t="s">
        <v>358</v>
      </c>
      <c r="E142" t="s">
        <v>359</v>
      </c>
      <c r="F142" t="s">
        <v>360</v>
      </c>
      <c r="G142" t="str">
        <f>"201101000120"</f>
        <v>201101000120</v>
      </c>
      <c r="H142">
        <v>770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30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1638</v>
      </c>
    </row>
    <row r="143" spans="1:30" x14ac:dyDescent="0.25">
      <c r="H143" t="s">
        <v>361</v>
      </c>
    </row>
    <row r="144" spans="1:30" x14ac:dyDescent="0.25">
      <c r="A144">
        <v>69</v>
      </c>
      <c r="B144">
        <v>1255</v>
      </c>
      <c r="C144" t="s">
        <v>362</v>
      </c>
      <c r="D144" t="s">
        <v>363</v>
      </c>
      <c r="E144" t="s">
        <v>34</v>
      </c>
      <c r="F144" t="s">
        <v>364</v>
      </c>
      <c r="G144" t="str">
        <f>"201406003176"</f>
        <v>201406003176</v>
      </c>
      <c r="H144">
        <v>748</v>
      </c>
      <c r="I144">
        <v>0</v>
      </c>
      <c r="J144">
        <v>0</v>
      </c>
      <c r="K144">
        <v>0</v>
      </c>
      <c r="L144">
        <v>200</v>
      </c>
      <c r="M144">
        <v>30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1636</v>
      </c>
    </row>
    <row r="145" spans="1:30" x14ac:dyDescent="0.25">
      <c r="H145" t="s">
        <v>365</v>
      </c>
    </row>
    <row r="146" spans="1:30" x14ac:dyDescent="0.25">
      <c r="A146">
        <v>70</v>
      </c>
      <c r="B146">
        <v>5990</v>
      </c>
      <c r="C146" t="s">
        <v>366</v>
      </c>
      <c r="D146" t="s">
        <v>367</v>
      </c>
      <c r="E146" t="s">
        <v>44</v>
      </c>
      <c r="F146" t="s">
        <v>368</v>
      </c>
      <c r="G146" t="str">
        <f>"00344891"</f>
        <v>00344891</v>
      </c>
      <c r="H146" t="s">
        <v>369</v>
      </c>
      <c r="I146">
        <v>0</v>
      </c>
      <c r="J146">
        <v>0</v>
      </c>
      <c r="K146">
        <v>0</v>
      </c>
      <c r="L146">
        <v>0</v>
      </c>
      <c r="M146">
        <v>100</v>
      </c>
      <c r="N146">
        <v>70</v>
      </c>
      <c r="O146">
        <v>0</v>
      </c>
      <c r="P146">
        <v>0</v>
      </c>
      <c r="Q146">
        <v>30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370</v>
      </c>
    </row>
    <row r="147" spans="1:30" x14ac:dyDescent="0.25">
      <c r="H147" t="s">
        <v>371</v>
      </c>
    </row>
    <row r="148" spans="1:30" x14ac:dyDescent="0.25">
      <c r="A148">
        <v>71</v>
      </c>
      <c r="B148">
        <v>3036</v>
      </c>
      <c r="C148" t="s">
        <v>372</v>
      </c>
      <c r="D148" t="s">
        <v>92</v>
      </c>
      <c r="E148" t="s">
        <v>359</v>
      </c>
      <c r="F148" t="s">
        <v>373</v>
      </c>
      <c r="G148" t="str">
        <f>"201511008931"</f>
        <v>201511008931</v>
      </c>
      <c r="H148" t="s">
        <v>206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374</v>
      </c>
    </row>
    <row r="149" spans="1:30" x14ac:dyDescent="0.25">
      <c r="H149" t="s">
        <v>375</v>
      </c>
    </row>
    <row r="150" spans="1:30" x14ac:dyDescent="0.25">
      <c r="A150">
        <v>72</v>
      </c>
      <c r="B150">
        <v>5854</v>
      </c>
      <c r="C150" t="s">
        <v>376</v>
      </c>
      <c r="D150" t="s">
        <v>377</v>
      </c>
      <c r="E150" t="s">
        <v>107</v>
      </c>
      <c r="F150" t="s">
        <v>378</v>
      </c>
      <c r="G150" t="str">
        <f>"201406011084"</f>
        <v>201406011084</v>
      </c>
      <c r="H150">
        <v>770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1628</v>
      </c>
    </row>
    <row r="151" spans="1:30" x14ac:dyDescent="0.25">
      <c r="H151" t="s">
        <v>379</v>
      </c>
    </row>
    <row r="152" spans="1:30" x14ac:dyDescent="0.25">
      <c r="A152">
        <v>73</v>
      </c>
      <c r="B152">
        <v>4933</v>
      </c>
      <c r="C152" t="s">
        <v>380</v>
      </c>
      <c r="D152" t="s">
        <v>76</v>
      </c>
      <c r="E152" t="s">
        <v>134</v>
      </c>
      <c r="F152" t="s">
        <v>381</v>
      </c>
      <c r="G152" t="str">
        <f>"201412000599"</f>
        <v>201412000599</v>
      </c>
      <c r="H152" t="s">
        <v>382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383</v>
      </c>
    </row>
    <row r="153" spans="1:30" x14ac:dyDescent="0.25">
      <c r="H153" t="s">
        <v>384</v>
      </c>
    </row>
    <row r="154" spans="1:30" x14ac:dyDescent="0.25">
      <c r="A154">
        <v>74</v>
      </c>
      <c r="B154">
        <v>4776</v>
      </c>
      <c r="C154" t="s">
        <v>385</v>
      </c>
      <c r="D154" t="s">
        <v>386</v>
      </c>
      <c r="E154" t="s">
        <v>146</v>
      </c>
      <c r="F154" t="s">
        <v>387</v>
      </c>
      <c r="G154" t="str">
        <f>"201511013175"</f>
        <v>201511013175</v>
      </c>
      <c r="H154" t="s">
        <v>388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389</v>
      </c>
    </row>
    <row r="155" spans="1:30" x14ac:dyDescent="0.25">
      <c r="H155" t="s">
        <v>390</v>
      </c>
    </row>
    <row r="156" spans="1:30" x14ac:dyDescent="0.25">
      <c r="A156">
        <v>75</v>
      </c>
      <c r="B156">
        <v>3750</v>
      </c>
      <c r="C156" t="s">
        <v>391</v>
      </c>
      <c r="D156" t="s">
        <v>392</v>
      </c>
      <c r="E156" t="s">
        <v>319</v>
      </c>
      <c r="F156" t="s">
        <v>393</v>
      </c>
      <c r="G156" t="str">
        <f>"201406012865"</f>
        <v>201406012865</v>
      </c>
      <c r="H156">
        <v>759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1617</v>
      </c>
    </row>
    <row r="157" spans="1:30" x14ac:dyDescent="0.25">
      <c r="H157" t="s">
        <v>394</v>
      </c>
    </row>
    <row r="158" spans="1:30" x14ac:dyDescent="0.25">
      <c r="A158">
        <v>76</v>
      </c>
      <c r="B158">
        <v>1163</v>
      </c>
      <c r="C158" t="s">
        <v>395</v>
      </c>
      <c r="D158" t="s">
        <v>396</v>
      </c>
      <c r="E158" t="s">
        <v>100</v>
      </c>
      <c r="F158" t="s">
        <v>397</v>
      </c>
      <c r="G158" t="str">
        <f>"200802006233"</f>
        <v>200802006233</v>
      </c>
      <c r="H158" t="s">
        <v>398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51</v>
      </c>
      <c r="W158">
        <v>357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399</v>
      </c>
    </row>
    <row r="159" spans="1:30" x14ac:dyDescent="0.25">
      <c r="H159" t="s">
        <v>400</v>
      </c>
    </row>
    <row r="160" spans="1:30" x14ac:dyDescent="0.25">
      <c r="A160">
        <v>77</v>
      </c>
      <c r="B160">
        <v>3664</v>
      </c>
      <c r="C160" t="s">
        <v>401</v>
      </c>
      <c r="D160" t="s">
        <v>402</v>
      </c>
      <c r="E160" t="s">
        <v>403</v>
      </c>
      <c r="F160" t="s">
        <v>404</v>
      </c>
      <c r="G160" t="str">
        <f>"201405000333"</f>
        <v>201405000333</v>
      </c>
      <c r="H160" t="s">
        <v>405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30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406</v>
      </c>
    </row>
    <row r="161" spans="1:30" x14ac:dyDescent="0.25">
      <c r="H161" t="s">
        <v>407</v>
      </c>
    </row>
    <row r="162" spans="1:30" x14ac:dyDescent="0.25">
      <c r="A162">
        <v>78</v>
      </c>
      <c r="B162">
        <v>3819</v>
      </c>
      <c r="C162" t="s">
        <v>408</v>
      </c>
      <c r="D162" t="s">
        <v>107</v>
      </c>
      <c r="E162" t="s">
        <v>55</v>
      </c>
      <c r="F162" t="s">
        <v>409</v>
      </c>
      <c r="G162" t="str">
        <f>"00231444"</f>
        <v>00231444</v>
      </c>
      <c r="H162">
        <v>649</v>
      </c>
      <c r="I162">
        <v>0</v>
      </c>
      <c r="J162">
        <v>0</v>
      </c>
      <c r="K162">
        <v>0</v>
      </c>
      <c r="L162">
        <v>0</v>
      </c>
      <c r="M162">
        <v>100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>
        <v>1607</v>
      </c>
    </row>
    <row r="163" spans="1:30" x14ac:dyDescent="0.25">
      <c r="H163" t="s">
        <v>410</v>
      </c>
    </row>
    <row r="164" spans="1:30" x14ac:dyDescent="0.25">
      <c r="A164">
        <v>79</v>
      </c>
      <c r="B164">
        <v>4745</v>
      </c>
      <c r="C164" t="s">
        <v>411</v>
      </c>
      <c r="D164" t="s">
        <v>412</v>
      </c>
      <c r="E164" t="s">
        <v>55</v>
      </c>
      <c r="F164" t="s">
        <v>413</v>
      </c>
      <c r="G164" t="str">
        <f>"00191090"</f>
        <v>00191090</v>
      </c>
      <c r="H164">
        <v>748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1606</v>
      </c>
    </row>
    <row r="165" spans="1:30" x14ac:dyDescent="0.25">
      <c r="H165" t="s">
        <v>414</v>
      </c>
    </row>
    <row r="166" spans="1:30" x14ac:dyDescent="0.25">
      <c r="A166">
        <v>80</v>
      </c>
      <c r="B166">
        <v>2382</v>
      </c>
      <c r="C166" t="s">
        <v>415</v>
      </c>
      <c r="D166" t="s">
        <v>283</v>
      </c>
      <c r="E166" t="s">
        <v>416</v>
      </c>
      <c r="F166" t="s">
        <v>417</v>
      </c>
      <c r="G166" t="str">
        <f>"00006181"</f>
        <v>00006181</v>
      </c>
      <c r="H166">
        <v>748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1606</v>
      </c>
    </row>
    <row r="167" spans="1:30" x14ac:dyDescent="0.25">
      <c r="H167" t="s">
        <v>418</v>
      </c>
    </row>
    <row r="168" spans="1:30" x14ac:dyDescent="0.25">
      <c r="A168">
        <v>81</v>
      </c>
      <c r="B168">
        <v>3446</v>
      </c>
      <c r="C168" t="s">
        <v>419</v>
      </c>
      <c r="D168" t="s">
        <v>24</v>
      </c>
      <c r="E168" t="s">
        <v>55</v>
      </c>
      <c r="F168" t="s">
        <v>420</v>
      </c>
      <c r="G168" t="str">
        <f>"00141706"</f>
        <v>00141706</v>
      </c>
      <c r="H168">
        <v>748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60</v>
      </c>
      <c r="W168">
        <v>420</v>
      </c>
      <c r="X168">
        <v>0</v>
      </c>
      <c r="Z168">
        <v>0</v>
      </c>
      <c r="AA168">
        <v>0</v>
      </c>
      <c r="AB168">
        <v>24</v>
      </c>
      <c r="AC168">
        <v>408</v>
      </c>
      <c r="AD168">
        <v>1606</v>
      </c>
    </row>
    <row r="169" spans="1:30" x14ac:dyDescent="0.25">
      <c r="H169" t="s">
        <v>421</v>
      </c>
    </row>
    <row r="170" spans="1:30" x14ac:dyDescent="0.25">
      <c r="A170">
        <v>82</v>
      </c>
      <c r="B170">
        <v>3650</v>
      </c>
      <c r="C170" t="s">
        <v>422</v>
      </c>
      <c r="D170" t="s">
        <v>154</v>
      </c>
      <c r="E170" t="s">
        <v>28</v>
      </c>
      <c r="F170" t="s">
        <v>423</v>
      </c>
      <c r="G170" t="str">
        <f>"00181461"</f>
        <v>00181461</v>
      </c>
      <c r="H170" t="s">
        <v>424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2</v>
      </c>
      <c r="AA170">
        <v>0</v>
      </c>
      <c r="AB170">
        <v>0</v>
      </c>
      <c r="AC170">
        <v>0</v>
      </c>
      <c r="AD170" t="s">
        <v>425</v>
      </c>
    </row>
    <row r="171" spans="1:30" x14ac:dyDescent="0.25">
      <c r="H171" t="s">
        <v>426</v>
      </c>
    </row>
    <row r="172" spans="1:30" x14ac:dyDescent="0.25">
      <c r="A172">
        <v>83</v>
      </c>
      <c r="B172">
        <v>1010</v>
      </c>
      <c r="C172" t="s">
        <v>427</v>
      </c>
      <c r="D172" t="s">
        <v>154</v>
      </c>
      <c r="E172" t="s">
        <v>107</v>
      </c>
      <c r="F172" t="s">
        <v>428</v>
      </c>
      <c r="G172" t="str">
        <f>"200712003664"</f>
        <v>200712003664</v>
      </c>
      <c r="H172">
        <v>759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1597</v>
      </c>
    </row>
    <row r="173" spans="1:30" x14ac:dyDescent="0.25">
      <c r="H173" t="s">
        <v>429</v>
      </c>
    </row>
    <row r="174" spans="1:30" x14ac:dyDescent="0.25">
      <c r="A174">
        <v>84</v>
      </c>
      <c r="B174">
        <v>5280</v>
      </c>
      <c r="C174" t="s">
        <v>430</v>
      </c>
      <c r="D174" t="s">
        <v>33</v>
      </c>
      <c r="E174" t="s">
        <v>34</v>
      </c>
      <c r="F174" t="s">
        <v>431</v>
      </c>
      <c r="G174" t="str">
        <f>"201406017490"</f>
        <v>201406017490</v>
      </c>
      <c r="H174" t="s">
        <v>432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433</v>
      </c>
    </row>
    <row r="175" spans="1:30" x14ac:dyDescent="0.25">
      <c r="H175" t="s">
        <v>434</v>
      </c>
    </row>
    <row r="176" spans="1:30" x14ac:dyDescent="0.25">
      <c r="A176">
        <v>85</v>
      </c>
      <c r="B176">
        <v>1722</v>
      </c>
      <c r="C176" t="s">
        <v>435</v>
      </c>
      <c r="D176" t="s">
        <v>436</v>
      </c>
      <c r="E176" t="s">
        <v>289</v>
      </c>
      <c r="F176" t="s">
        <v>437</v>
      </c>
      <c r="G176" t="str">
        <f>"00286525"</f>
        <v>00286525</v>
      </c>
      <c r="H176">
        <v>946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30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2</v>
      </c>
      <c r="AA176">
        <v>0</v>
      </c>
      <c r="AB176">
        <v>0</v>
      </c>
      <c r="AC176">
        <v>0</v>
      </c>
      <c r="AD176">
        <v>1594</v>
      </c>
    </row>
    <row r="177" spans="1:30" x14ac:dyDescent="0.25">
      <c r="H177" t="s">
        <v>438</v>
      </c>
    </row>
    <row r="178" spans="1:30" x14ac:dyDescent="0.25">
      <c r="A178">
        <v>86</v>
      </c>
      <c r="B178">
        <v>5933</v>
      </c>
      <c r="C178" t="s">
        <v>439</v>
      </c>
      <c r="D178" t="s">
        <v>440</v>
      </c>
      <c r="E178" t="s">
        <v>15</v>
      </c>
      <c r="F178" t="s">
        <v>441</v>
      </c>
      <c r="G178" t="str">
        <f>"00357124"</f>
        <v>00357124</v>
      </c>
      <c r="H178">
        <v>803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50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1591</v>
      </c>
    </row>
    <row r="179" spans="1:30" x14ac:dyDescent="0.25">
      <c r="H179" t="s">
        <v>442</v>
      </c>
    </row>
    <row r="180" spans="1:30" x14ac:dyDescent="0.25">
      <c r="A180">
        <v>87</v>
      </c>
      <c r="B180">
        <v>5760</v>
      </c>
      <c r="C180" t="s">
        <v>443</v>
      </c>
      <c r="D180" t="s">
        <v>412</v>
      </c>
      <c r="E180" t="s">
        <v>44</v>
      </c>
      <c r="F180" t="s">
        <v>444</v>
      </c>
      <c r="G180" t="str">
        <f>"201511038508"</f>
        <v>201511038508</v>
      </c>
      <c r="H180" t="s">
        <v>445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50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1</v>
      </c>
      <c r="AA180">
        <v>0</v>
      </c>
      <c r="AB180">
        <v>24</v>
      </c>
      <c r="AC180">
        <v>408</v>
      </c>
      <c r="AD180" t="s">
        <v>446</v>
      </c>
    </row>
    <row r="181" spans="1:30" x14ac:dyDescent="0.25">
      <c r="H181" t="s">
        <v>447</v>
      </c>
    </row>
    <row r="182" spans="1:30" x14ac:dyDescent="0.25">
      <c r="A182">
        <v>88</v>
      </c>
      <c r="B182">
        <v>5795</v>
      </c>
      <c r="C182" t="s">
        <v>448</v>
      </c>
      <c r="D182" t="s">
        <v>449</v>
      </c>
      <c r="E182" t="s">
        <v>100</v>
      </c>
      <c r="F182" t="s">
        <v>450</v>
      </c>
      <c r="G182" t="str">
        <f>"00251950"</f>
        <v>00251950</v>
      </c>
      <c r="H182">
        <v>770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1588</v>
      </c>
    </row>
    <row r="183" spans="1:30" x14ac:dyDescent="0.25">
      <c r="H183" t="s">
        <v>451</v>
      </c>
    </row>
    <row r="184" spans="1:30" x14ac:dyDescent="0.25">
      <c r="A184">
        <v>89</v>
      </c>
      <c r="B184">
        <v>4428</v>
      </c>
      <c r="C184" t="s">
        <v>452</v>
      </c>
      <c r="D184" t="s">
        <v>140</v>
      </c>
      <c r="E184" t="s">
        <v>453</v>
      </c>
      <c r="F184" t="s">
        <v>454</v>
      </c>
      <c r="G184" t="str">
        <f>"201511039792"</f>
        <v>201511039792</v>
      </c>
      <c r="H184">
        <v>946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1584</v>
      </c>
    </row>
    <row r="185" spans="1:30" x14ac:dyDescent="0.25">
      <c r="H185" t="s">
        <v>455</v>
      </c>
    </row>
    <row r="186" spans="1:30" x14ac:dyDescent="0.25">
      <c r="A186">
        <v>90</v>
      </c>
      <c r="B186">
        <v>1191</v>
      </c>
      <c r="C186" t="s">
        <v>456</v>
      </c>
      <c r="D186" t="s">
        <v>185</v>
      </c>
      <c r="E186" t="s">
        <v>34</v>
      </c>
      <c r="F186" t="s">
        <v>457</v>
      </c>
      <c r="G186" t="str">
        <f>"201405000514"</f>
        <v>201405000514</v>
      </c>
      <c r="H186">
        <v>726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1584</v>
      </c>
    </row>
    <row r="187" spans="1:30" x14ac:dyDescent="0.25">
      <c r="H187" t="s">
        <v>458</v>
      </c>
    </row>
    <row r="188" spans="1:30" x14ac:dyDescent="0.25">
      <c r="A188">
        <v>91</v>
      </c>
      <c r="B188">
        <v>5205</v>
      </c>
      <c r="C188" t="s">
        <v>459</v>
      </c>
      <c r="D188" t="s">
        <v>210</v>
      </c>
      <c r="E188" t="s">
        <v>34</v>
      </c>
      <c r="F188" t="s">
        <v>460</v>
      </c>
      <c r="G188" t="str">
        <f>"00157178"</f>
        <v>00157178</v>
      </c>
      <c r="H188">
        <v>726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60</v>
      </c>
      <c r="W188">
        <v>420</v>
      </c>
      <c r="X188">
        <v>0</v>
      </c>
      <c r="Z188">
        <v>0</v>
      </c>
      <c r="AA188">
        <v>0</v>
      </c>
      <c r="AB188">
        <v>24</v>
      </c>
      <c r="AC188">
        <v>408</v>
      </c>
      <c r="AD188">
        <v>1584</v>
      </c>
    </row>
    <row r="189" spans="1:30" x14ac:dyDescent="0.25">
      <c r="H189" t="s">
        <v>461</v>
      </c>
    </row>
    <row r="190" spans="1:30" x14ac:dyDescent="0.25">
      <c r="A190">
        <v>92</v>
      </c>
      <c r="B190">
        <v>2110</v>
      </c>
      <c r="C190" t="s">
        <v>462</v>
      </c>
      <c r="D190" t="s">
        <v>392</v>
      </c>
      <c r="E190" t="s">
        <v>134</v>
      </c>
      <c r="F190" t="s">
        <v>463</v>
      </c>
      <c r="G190" t="str">
        <f>"00200575"</f>
        <v>00200575</v>
      </c>
      <c r="H190" t="s">
        <v>405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60</v>
      </c>
      <c r="W190">
        <v>420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464</v>
      </c>
    </row>
    <row r="191" spans="1:30" x14ac:dyDescent="0.25">
      <c r="H191" t="s">
        <v>465</v>
      </c>
    </row>
    <row r="192" spans="1:30" x14ac:dyDescent="0.25">
      <c r="A192">
        <v>93</v>
      </c>
      <c r="B192">
        <v>3949</v>
      </c>
      <c r="C192" t="s">
        <v>466</v>
      </c>
      <c r="D192" t="s">
        <v>467</v>
      </c>
      <c r="E192" t="s">
        <v>468</v>
      </c>
      <c r="F192" t="s">
        <v>469</v>
      </c>
      <c r="G192" t="str">
        <f>"200801003576"</f>
        <v>200801003576</v>
      </c>
      <c r="H192">
        <v>803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30</v>
      </c>
      <c r="R192">
        <v>0</v>
      </c>
      <c r="S192">
        <v>0</v>
      </c>
      <c r="T192">
        <v>0</v>
      </c>
      <c r="U192">
        <v>0</v>
      </c>
      <c r="V192">
        <v>71</v>
      </c>
      <c r="W192">
        <v>497</v>
      </c>
      <c r="X192">
        <v>0</v>
      </c>
      <c r="Z192">
        <v>0</v>
      </c>
      <c r="AA192">
        <v>0</v>
      </c>
      <c r="AB192">
        <v>13</v>
      </c>
      <c r="AC192">
        <v>221</v>
      </c>
      <c r="AD192">
        <v>1581</v>
      </c>
    </row>
    <row r="193" spans="1:30" x14ac:dyDescent="0.25">
      <c r="H193" t="s">
        <v>470</v>
      </c>
    </row>
    <row r="194" spans="1:30" x14ac:dyDescent="0.25">
      <c r="A194">
        <v>94</v>
      </c>
      <c r="B194">
        <v>2175</v>
      </c>
      <c r="C194" t="s">
        <v>471</v>
      </c>
      <c r="D194" t="s">
        <v>282</v>
      </c>
      <c r="E194" t="s">
        <v>56</v>
      </c>
      <c r="F194" t="s">
        <v>472</v>
      </c>
      <c r="G194" t="str">
        <f>"201511009023"</f>
        <v>201511009023</v>
      </c>
      <c r="H194">
        <v>682</v>
      </c>
      <c r="I194">
        <v>0</v>
      </c>
      <c r="J194">
        <v>0</v>
      </c>
      <c r="K194">
        <v>0</v>
      </c>
      <c r="L194">
        <v>200</v>
      </c>
      <c r="M194">
        <v>30</v>
      </c>
      <c r="N194">
        <v>30</v>
      </c>
      <c r="O194">
        <v>0</v>
      </c>
      <c r="P194">
        <v>50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1580</v>
      </c>
    </row>
    <row r="195" spans="1:30" x14ac:dyDescent="0.25">
      <c r="H195" t="s">
        <v>473</v>
      </c>
    </row>
    <row r="196" spans="1:30" x14ac:dyDescent="0.25">
      <c r="A196">
        <v>95</v>
      </c>
      <c r="B196">
        <v>1158</v>
      </c>
      <c r="C196" t="s">
        <v>474</v>
      </c>
      <c r="D196" t="s">
        <v>475</v>
      </c>
      <c r="E196" t="s">
        <v>220</v>
      </c>
      <c r="F196" t="s">
        <v>476</v>
      </c>
      <c r="G196" t="str">
        <f>"200901000066"</f>
        <v>200901000066</v>
      </c>
      <c r="H196">
        <v>759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1577</v>
      </c>
    </row>
    <row r="197" spans="1:30" x14ac:dyDescent="0.25">
      <c r="H197" t="s">
        <v>477</v>
      </c>
    </row>
    <row r="198" spans="1:30" x14ac:dyDescent="0.25">
      <c r="A198">
        <v>96</v>
      </c>
      <c r="B198">
        <v>4375</v>
      </c>
      <c r="C198" t="s">
        <v>478</v>
      </c>
      <c r="D198" t="s">
        <v>479</v>
      </c>
      <c r="E198" t="s">
        <v>86</v>
      </c>
      <c r="F198" t="s">
        <v>480</v>
      </c>
      <c r="G198" t="str">
        <f>"200803000673"</f>
        <v>200803000673</v>
      </c>
      <c r="H198" t="s">
        <v>481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482</v>
      </c>
    </row>
    <row r="199" spans="1:30" x14ac:dyDescent="0.25">
      <c r="H199" t="s">
        <v>483</v>
      </c>
    </row>
    <row r="200" spans="1:30" x14ac:dyDescent="0.25">
      <c r="A200">
        <v>97</v>
      </c>
      <c r="B200">
        <v>1857</v>
      </c>
      <c r="C200" t="s">
        <v>484</v>
      </c>
      <c r="D200" t="s">
        <v>44</v>
      </c>
      <c r="E200" t="s">
        <v>485</v>
      </c>
      <c r="F200" t="s">
        <v>486</v>
      </c>
      <c r="G200" t="str">
        <f>"00262686"</f>
        <v>00262686</v>
      </c>
      <c r="H200">
        <v>858</v>
      </c>
      <c r="I200">
        <v>0</v>
      </c>
      <c r="J200">
        <v>0</v>
      </c>
      <c r="K200">
        <v>0</v>
      </c>
      <c r="L200">
        <v>0</v>
      </c>
      <c r="M200">
        <v>100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1576</v>
      </c>
    </row>
    <row r="201" spans="1:30" x14ac:dyDescent="0.25">
      <c r="H201" t="s">
        <v>487</v>
      </c>
    </row>
    <row r="202" spans="1:30" x14ac:dyDescent="0.25">
      <c r="A202">
        <v>98</v>
      </c>
      <c r="B202">
        <v>4815</v>
      </c>
      <c r="C202" t="s">
        <v>401</v>
      </c>
      <c r="D202" t="s">
        <v>63</v>
      </c>
      <c r="E202" t="s">
        <v>34</v>
      </c>
      <c r="F202" t="s">
        <v>488</v>
      </c>
      <c r="G202" t="str">
        <f>"201402005988"</f>
        <v>201402005988</v>
      </c>
      <c r="H202" t="s">
        <v>489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70</v>
      </c>
      <c r="O202">
        <v>30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13</v>
      </c>
      <c r="W202">
        <v>91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490</v>
      </c>
    </row>
    <row r="203" spans="1:30" x14ac:dyDescent="0.25">
      <c r="H203" t="s">
        <v>491</v>
      </c>
    </row>
    <row r="204" spans="1:30" x14ac:dyDescent="0.25">
      <c r="A204">
        <v>99</v>
      </c>
      <c r="B204">
        <v>1345</v>
      </c>
      <c r="C204" t="s">
        <v>492</v>
      </c>
      <c r="D204" t="s">
        <v>24</v>
      </c>
      <c r="E204" t="s">
        <v>289</v>
      </c>
      <c r="F204" t="s">
        <v>493</v>
      </c>
      <c r="G204" t="str">
        <f>"201411000126"</f>
        <v>201411000126</v>
      </c>
      <c r="H204">
        <v>726</v>
      </c>
      <c r="I204">
        <v>0</v>
      </c>
      <c r="J204">
        <v>0</v>
      </c>
      <c r="K204">
        <v>0</v>
      </c>
      <c r="L204">
        <v>200</v>
      </c>
      <c r="M204">
        <v>30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1574</v>
      </c>
    </row>
    <row r="205" spans="1:30" x14ac:dyDescent="0.25">
      <c r="H205" t="s">
        <v>494</v>
      </c>
    </row>
    <row r="206" spans="1:30" x14ac:dyDescent="0.25">
      <c r="A206">
        <v>100</v>
      </c>
      <c r="B206">
        <v>401</v>
      </c>
      <c r="C206" t="s">
        <v>234</v>
      </c>
      <c r="D206" t="s">
        <v>495</v>
      </c>
      <c r="E206" t="s">
        <v>416</v>
      </c>
      <c r="F206" t="s">
        <v>496</v>
      </c>
      <c r="G206" t="str">
        <f>"00266146"</f>
        <v>00266146</v>
      </c>
      <c r="H206">
        <v>715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2</v>
      </c>
      <c r="AA206">
        <v>0</v>
      </c>
      <c r="AB206">
        <v>0</v>
      </c>
      <c r="AC206">
        <v>0</v>
      </c>
      <c r="AD206">
        <v>1573</v>
      </c>
    </row>
    <row r="207" spans="1:30" x14ac:dyDescent="0.25">
      <c r="H207" t="s">
        <v>497</v>
      </c>
    </row>
    <row r="208" spans="1:30" x14ac:dyDescent="0.25">
      <c r="A208">
        <v>101</v>
      </c>
      <c r="B208">
        <v>3066</v>
      </c>
      <c r="C208" t="s">
        <v>498</v>
      </c>
      <c r="D208" t="s">
        <v>168</v>
      </c>
      <c r="E208" t="s">
        <v>44</v>
      </c>
      <c r="F208" t="s">
        <v>499</v>
      </c>
      <c r="G208" t="str">
        <f>"00229997"</f>
        <v>00229997</v>
      </c>
      <c r="H208">
        <v>715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420</v>
      </c>
      <c r="X208">
        <v>0</v>
      </c>
      <c r="Z208">
        <v>0</v>
      </c>
      <c r="AA208">
        <v>0</v>
      </c>
      <c r="AB208">
        <v>24</v>
      </c>
      <c r="AC208">
        <v>408</v>
      </c>
      <c r="AD208">
        <v>1573</v>
      </c>
    </row>
    <row r="209" spans="1:30" x14ac:dyDescent="0.25">
      <c r="H209" t="s">
        <v>500</v>
      </c>
    </row>
    <row r="210" spans="1:30" x14ac:dyDescent="0.25">
      <c r="A210">
        <v>102</v>
      </c>
      <c r="B210">
        <v>1616</v>
      </c>
      <c r="C210" t="s">
        <v>501</v>
      </c>
      <c r="D210" t="s">
        <v>200</v>
      </c>
      <c r="E210" t="s">
        <v>93</v>
      </c>
      <c r="F210" t="s">
        <v>502</v>
      </c>
      <c r="G210" t="str">
        <f>"00017436"</f>
        <v>00017436</v>
      </c>
      <c r="H210">
        <v>913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1571</v>
      </c>
    </row>
    <row r="211" spans="1:30" x14ac:dyDescent="0.25">
      <c r="H211" t="s">
        <v>503</v>
      </c>
    </row>
    <row r="212" spans="1:30" x14ac:dyDescent="0.25">
      <c r="A212">
        <v>103</v>
      </c>
      <c r="B212">
        <v>4512</v>
      </c>
      <c r="C212" t="s">
        <v>504</v>
      </c>
      <c r="D212" t="s">
        <v>107</v>
      </c>
      <c r="E212" t="s">
        <v>505</v>
      </c>
      <c r="F212" t="s">
        <v>506</v>
      </c>
      <c r="G212" t="str">
        <f>"200802008736"</f>
        <v>200802008736</v>
      </c>
      <c r="H212" t="s">
        <v>507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30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508</v>
      </c>
    </row>
    <row r="213" spans="1:30" x14ac:dyDescent="0.25">
      <c r="H213" t="s">
        <v>509</v>
      </c>
    </row>
    <row r="214" spans="1:30" x14ac:dyDescent="0.25">
      <c r="A214">
        <v>104</v>
      </c>
      <c r="B214">
        <v>3903</v>
      </c>
      <c r="C214" t="s">
        <v>510</v>
      </c>
      <c r="D214" t="s">
        <v>289</v>
      </c>
      <c r="E214" t="s">
        <v>511</v>
      </c>
      <c r="F214" t="s">
        <v>512</v>
      </c>
      <c r="G214" t="str">
        <f>"200801010456"</f>
        <v>200801010456</v>
      </c>
      <c r="H214" t="s">
        <v>513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12</v>
      </c>
      <c r="W214">
        <v>84</v>
      </c>
      <c r="X214">
        <v>0</v>
      </c>
      <c r="Z214">
        <v>0</v>
      </c>
      <c r="AA214">
        <v>0</v>
      </c>
      <c r="AB214">
        <v>18</v>
      </c>
      <c r="AC214">
        <v>306</v>
      </c>
      <c r="AD214" t="s">
        <v>514</v>
      </c>
    </row>
    <row r="215" spans="1:30" x14ac:dyDescent="0.25">
      <c r="H215" t="s">
        <v>515</v>
      </c>
    </row>
    <row r="216" spans="1:30" x14ac:dyDescent="0.25">
      <c r="A216">
        <v>105</v>
      </c>
      <c r="B216">
        <v>3615</v>
      </c>
      <c r="C216" t="s">
        <v>516</v>
      </c>
      <c r="D216" t="s">
        <v>358</v>
      </c>
      <c r="E216" t="s">
        <v>24</v>
      </c>
      <c r="F216" t="s">
        <v>517</v>
      </c>
      <c r="G216" t="str">
        <f>"200802005912"</f>
        <v>200802005912</v>
      </c>
      <c r="H216">
        <v>748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1566</v>
      </c>
    </row>
    <row r="217" spans="1:30" x14ac:dyDescent="0.25">
      <c r="H217" t="s">
        <v>518</v>
      </c>
    </row>
    <row r="218" spans="1:30" x14ac:dyDescent="0.25">
      <c r="A218">
        <v>106</v>
      </c>
      <c r="B218">
        <v>1690</v>
      </c>
      <c r="C218" t="s">
        <v>519</v>
      </c>
      <c r="D218" t="s">
        <v>436</v>
      </c>
      <c r="E218" t="s">
        <v>44</v>
      </c>
      <c r="F218" t="s">
        <v>520</v>
      </c>
      <c r="G218" t="str">
        <f>"200802007743"</f>
        <v>200802007743</v>
      </c>
      <c r="H218" t="s">
        <v>521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522</v>
      </c>
    </row>
    <row r="219" spans="1:30" x14ac:dyDescent="0.25">
      <c r="H219" t="s">
        <v>523</v>
      </c>
    </row>
    <row r="220" spans="1:30" x14ac:dyDescent="0.25">
      <c r="A220">
        <v>107</v>
      </c>
      <c r="B220">
        <v>1011</v>
      </c>
      <c r="C220" t="s">
        <v>524</v>
      </c>
      <c r="D220" t="s">
        <v>525</v>
      </c>
      <c r="E220" t="s">
        <v>526</v>
      </c>
      <c r="F220" t="s">
        <v>527</v>
      </c>
      <c r="G220" t="str">
        <f>"201406002907"</f>
        <v>201406002907</v>
      </c>
      <c r="H220">
        <v>726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1564</v>
      </c>
    </row>
    <row r="221" spans="1:30" x14ac:dyDescent="0.25">
      <c r="H221" t="s">
        <v>528</v>
      </c>
    </row>
    <row r="222" spans="1:30" x14ac:dyDescent="0.25">
      <c r="A222">
        <v>108</v>
      </c>
      <c r="B222">
        <v>2099</v>
      </c>
      <c r="C222" t="s">
        <v>529</v>
      </c>
      <c r="D222" t="s">
        <v>220</v>
      </c>
      <c r="E222" t="s">
        <v>530</v>
      </c>
      <c r="F222" t="s">
        <v>531</v>
      </c>
      <c r="G222" t="str">
        <f>"00228240"</f>
        <v>00228240</v>
      </c>
      <c r="H222" t="s">
        <v>532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533</v>
      </c>
    </row>
    <row r="223" spans="1:30" x14ac:dyDescent="0.25">
      <c r="H223" t="s">
        <v>534</v>
      </c>
    </row>
    <row r="224" spans="1:30" x14ac:dyDescent="0.25">
      <c r="A224">
        <v>109</v>
      </c>
      <c r="B224">
        <v>367</v>
      </c>
      <c r="C224" t="s">
        <v>535</v>
      </c>
      <c r="D224" t="s">
        <v>436</v>
      </c>
      <c r="E224" t="s">
        <v>93</v>
      </c>
      <c r="F224" t="s">
        <v>536</v>
      </c>
      <c r="G224" t="str">
        <f>"200801001453"</f>
        <v>200801001453</v>
      </c>
      <c r="H224">
        <v>748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64</v>
      </c>
      <c r="W224">
        <v>448</v>
      </c>
      <c r="X224">
        <v>0</v>
      </c>
      <c r="Z224">
        <v>0</v>
      </c>
      <c r="AA224">
        <v>0</v>
      </c>
      <c r="AB224">
        <v>8</v>
      </c>
      <c r="AC224">
        <v>136</v>
      </c>
      <c r="AD224">
        <v>1562</v>
      </c>
    </row>
    <row r="225" spans="1:30" x14ac:dyDescent="0.25">
      <c r="H225" t="s">
        <v>537</v>
      </c>
    </row>
    <row r="226" spans="1:30" x14ac:dyDescent="0.25">
      <c r="A226">
        <v>110</v>
      </c>
      <c r="B226">
        <v>1545</v>
      </c>
      <c r="C226" t="s">
        <v>538</v>
      </c>
      <c r="D226" t="s">
        <v>185</v>
      </c>
      <c r="E226" t="s">
        <v>34</v>
      </c>
      <c r="F226" t="s">
        <v>539</v>
      </c>
      <c r="G226" t="str">
        <f>"200902000567"</f>
        <v>200902000567</v>
      </c>
      <c r="H226">
        <v>704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1562</v>
      </c>
    </row>
    <row r="227" spans="1:30" x14ac:dyDescent="0.25">
      <c r="H227" t="s">
        <v>540</v>
      </c>
    </row>
    <row r="228" spans="1:30" x14ac:dyDescent="0.25">
      <c r="A228">
        <v>111</v>
      </c>
      <c r="B228">
        <v>617</v>
      </c>
      <c r="C228" t="s">
        <v>541</v>
      </c>
      <c r="D228" t="s">
        <v>92</v>
      </c>
      <c r="E228" t="s">
        <v>542</v>
      </c>
      <c r="F228" t="s">
        <v>543</v>
      </c>
      <c r="G228" t="str">
        <f>"201406014289"</f>
        <v>201406014289</v>
      </c>
      <c r="H228">
        <v>704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1562</v>
      </c>
    </row>
    <row r="229" spans="1:30" x14ac:dyDescent="0.25">
      <c r="H229" t="s">
        <v>544</v>
      </c>
    </row>
    <row r="230" spans="1:30" x14ac:dyDescent="0.25">
      <c r="A230">
        <v>112</v>
      </c>
      <c r="B230">
        <v>4065</v>
      </c>
      <c r="C230" t="s">
        <v>545</v>
      </c>
      <c r="D230" t="s">
        <v>282</v>
      </c>
      <c r="E230" t="s">
        <v>24</v>
      </c>
      <c r="F230" t="s">
        <v>546</v>
      </c>
      <c r="G230" t="str">
        <f>"00023818"</f>
        <v>00023818</v>
      </c>
      <c r="H230">
        <v>704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60</v>
      </c>
      <c r="W230">
        <v>420</v>
      </c>
      <c r="X230">
        <v>0</v>
      </c>
      <c r="Z230">
        <v>0</v>
      </c>
      <c r="AA230">
        <v>0</v>
      </c>
      <c r="AB230">
        <v>24</v>
      </c>
      <c r="AC230">
        <v>408</v>
      </c>
      <c r="AD230">
        <v>1562</v>
      </c>
    </row>
    <row r="231" spans="1:30" x14ac:dyDescent="0.25">
      <c r="H231" t="s">
        <v>547</v>
      </c>
    </row>
    <row r="232" spans="1:30" x14ac:dyDescent="0.25">
      <c r="A232">
        <v>113</v>
      </c>
      <c r="B232">
        <v>3157</v>
      </c>
      <c r="C232" t="s">
        <v>548</v>
      </c>
      <c r="D232" t="s">
        <v>549</v>
      </c>
      <c r="E232" t="s">
        <v>289</v>
      </c>
      <c r="F232" t="s">
        <v>550</v>
      </c>
      <c r="G232" t="str">
        <f>"201406015714"</f>
        <v>201406015714</v>
      </c>
      <c r="H232" t="s">
        <v>551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30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73</v>
      </c>
      <c r="W232">
        <v>511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552</v>
      </c>
    </row>
    <row r="233" spans="1:30" x14ac:dyDescent="0.25">
      <c r="H233" t="s">
        <v>553</v>
      </c>
    </row>
    <row r="234" spans="1:30" x14ac:dyDescent="0.25">
      <c r="A234">
        <v>114</v>
      </c>
      <c r="B234">
        <v>235</v>
      </c>
      <c r="C234" t="s">
        <v>554</v>
      </c>
      <c r="D234" t="s">
        <v>28</v>
      </c>
      <c r="E234" t="s">
        <v>44</v>
      </c>
      <c r="F234" t="s">
        <v>555</v>
      </c>
      <c r="G234" t="str">
        <f>"201406010313"</f>
        <v>201406010313</v>
      </c>
      <c r="H234">
        <v>737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2</v>
      </c>
      <c r="AA234">
        <v>0</v>
      </c>
      <c r="AB234">
        <v>0</v>
      </c>
      <c r="AC234">
        <v>0</v>
      </c>
      <c r="AD234">
        <v>1555</v>
      </c>
    </row>
    <row r="235" spans="1:30" x14ac:dyDescent="0.25">
      <c r="H235" t="s">
        <v>556</v>
      </c>
    </row>
    <row r="236" spans="1:30" x14ac:dyDescent="0.25">
      <c r="A236">
        <v>115</v>
      </c>
      <c r="B236">
        <v>4281</v>
      </c>
      <c r="C236" t="s">
        <v>557</v>
      </c>
      <c r="D236" t="s">
        <v>246</v>
      </c>
      <c r="E236" t="s">
        <v>403</v>
      </c>
      <c r="F236" t="s">
        <v>558</v>
      </c>
      <c r="G236" t="str">
        <f>"00256604"</f>
        <v>00256604</v>
      </c>
      <c r="H236" t="s">
        <v>559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29</v>
      </c>
      <c r="W236">
        <v>203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560</v>
      </c>
    </row>
    <row r="237" spans="1:30" x14ac:dyDescent="0.25">
      <c r="H237" t="s">
        <v>561</v>
      </c>
    </row>
    <row r="238" spans="1:30" x14ac:dyDescent="0.25">
      <c r="A238">
        <v>116</v>
      </c>
      <c r="B238">
        <v>1129</v>
      </c>
      <c r="C238" t="s">
        <v>562</v>
      </c>
      <c r="D238" t="s">
        <v>436</v>
      </c>
      <c r="E238" t="s">
        <v>107</v>
      </c>
      <c r="F238" t="s">
        <v>563</v>
      </c>
      <c r="G238" t="str">
        <f>"00154340"</f>
        <v>00154340</v>
      </c>
      <c r="H238">
        <v>726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1544</v>
      </c>
    </row>
    <row r="239" spans="1:30" x14ac:dyDescent="0.25">
      <c r="H239" t="s">
        <v>564</v>
      </c>
    </row>
    <row r="240" spans="1:30" x14ac:dyDescent="0.25">
      <c r="A240">
        <v>117</v>
      </c>
      <c r="B240">
        <v>839</v>
      </c>
      <c r="C240" t="s">
        <v>565</v>
      </c>
      <c r="D240" t="s">
        <v>566</v>
      </c>
      <c r="E240" t="s">
        <v>146</v>
      </c>
      <c r="F240" t="s">
        <v>567</v>
      </c>
      <c r="G240" t="str">
        <f>"201406011141"</f>
        <v>201406011141</v>
      </c>
      <c r="H240" t="s">
        <v>270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70</v>
      </c>
      <c r="R240">
        <v>30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568</v>
      </c>
    </row>
    <row r="241" spans="1:30" x14ac:dyDescent="0.25">
      <c r="H241" t="s">
        <v>569</v>
      </c>
    </row>
    <row r="242" spans="1:30" x14ac:dyDescent="0.25">
      <c r="A242">
        <v>118</v>
      </c>
      <c r="B242">
        <v>5426</v>
      </c>
      <c r="C242" t="s">
        <v>570</v>
      </c>
      <c r="D242" t="s">
        <v>571</v>
      </c>
      <c r="E242" t="s">
        <v>93</v>
      </c>
      <c r="F242" t="s">
        <v>572</v>
      </c>
      <c r="G242" t="str">
        <f>"200801006827"</f>
        <v>200801006827</v>
      </c>
      <c r="H242">
        <v>682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0</v>
      </c>
      <c r="AA242">
        <v>0</v>
      </c>
      <c r="AB242">
        <v>24</v>
      </c>
      <c r="AC242">
        <v>408</v>
      </c>
      <c r="AD242">
        <v>1540</v>
      </c>
    </row>
    <row r="243" spans="1:30" x14ac:dyDescent="0.25">
      <c r="H243" t="s">
        <v>573</v>
      </c>
    </row>
    <row r="244" spans="1:30" x14ac:dyDescent="0.25">
      <c r="A244">
        <v>119</v>
      </c>
      <c r="B244">
        <v>4693</v>
      </c>
      <c r="C244" t="s">
        <v>574</v>
      </c>
      <c r="D244" t="s">
        <v>15</v>
      </c>
      <c r="E244" t="s">
        <v>45</v>
      </c>
      <c r="F244" t="s">
        <v>575</v>
      </c>
      <c r="G244" t="str">
        <f>"00007743"</f>
        <v>00007743</v>
      </c>
      <c r="H244" t="s">
        <v>576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577</v>
      </c>
    </row>
    <row r="245" spans="1:30" x14ac:dyDescent="0.25">
      <c r="H245" t="s">
        <v>578</v>
      </c>
    </row>
    <row r="246" spans="1:30" x14ac:dyDescent="0.25">
      <c r="A246">
        <v>120</v>
      </c>
      <c r="B246">
        <v>1711</v>
      </c>
      <c r="C246" t="s">
        <v>579</v>
      </c>
      <c r="D246" t="s">
        <v>185</v>
      </c>
      <c r="E246" t="s">
        <v>107</v>
      </c>
      <c r="F246" t="s">
        <v>580</v>
      </c>
      <c r="G246" t="str">
        <f>"00197721"</f>
        <v>00197721</v>
      </c>
      <c r="H246" t="s">
        <v>581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50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582</v>
      </c>
    </row>
    <row r="247" spans="1:30" x14ac:dyDescent="0.25">
      <c r="H247" t="s">
        <v>583</v>
      </c>
    </row>
    <row r="248" spans="1:30" x14ac:dyDescent="0.25">
      <c r="A248">
        <v>121</v>
      </c>
      <c r="B248">
        <v>1781</v>
      </c>
      <c r="C248" t="s">
        <v>584</v>
      </c>
      <c r="D248" t="s">
        <v>585</v>
      </c>
      <c r="E248" t="s">
        <v>586</v>
      </c>
      <c r="F248" t="s">
        <v>587</v>
      </c>
      <c r="G248" t="str">
        <f>"00318914"</f>
        <v>00318914</v>
      </c>
      <c r="H248" t="s">
        <v>588</v>
      </c>
      <c r="I248">
        <v>150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54</v>
      </c>
      <c r="W248">
        <v>378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589</v>
      </c>
    </row>
    <row r="249" spans="1:30" x14ac:dyDescent="0.25">
      <c r="H249" t="s">
        <v>590</v>
      </c>
    </row>
    <row r="250" spans="1:30" x14ac:dyDescent="0.25">
      <c r="A250">
        <v>122</v>
      </c>
      <c r="B250">
        <v>1666</v>
      </c>
      <c r="C250" t="s">
        <v>591</v>
      </c>
      <c r="D250" t="s">
        <v>220</v>
      </c>
      <c r="E250" t="s">
        <v>24</v>
      </c>
      <c r="F250" t="s">
        <v>592</v>
      </c>
      <c r="G250" t="str">
        <f>"200805000842"</f>
        <v>200805000842</v>
      </c>
      <c r="H250">
        <v>715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1533</v>
      </c>
    </row>
    <row r="251" spans="1:30" x14ac:dyDescent="0.25">
      <c r="H251" t="s">
        <v>593</v>
      </c>
    </row>
    <row r="252" spans="1:30" x14ac:dyDescent="0.25">
      <c r="A252">
        <v>123</v>
      </c>
      <c r="B252">
        <v>232</v>
      </c>
      <c r="C252" t="s">
        <v>594</v>
      </c>
      <c r="D252" t="s">
        <v>185</v>
      </c>
      <c r="E252" t="s">
        <v>121</v>
      </c>
      <c r="F252" t="s">
        <v>595</v>
      </c>
      <c r="G252" t="str">
        <f>"00147192"</f>
        <v>00147192</v>
      </c>
      <c r="H252">
        <v>715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1533</v>
      </c>
    </row>
    <row r="253" spans="1:30" x14ac:dyDescent="0.25">
      <c r="H253" t="s">
        <v>596</v>
      </c>
    </row>
    <row r="254" spans="1:30" x14ac:dyDescent="0.25">
      <c r="A254">
        <v>124</v>
      </c>
      <c r="B254">
        <v>1731</v>
      </c>
      <c r="C254" t="s">
        <v>597</v>
      </c>
      <c r="D254" t="s">
        <v>392</v>
      </c>
      <c r="E254" t="s">
        <v>34</v>
      </c>
      <c r="F254" t="s">
        <v>598</v>
      </c>
      <c r="G254" t="str">
        <f>"00123631"</f>
        <v>00123631</v>
      </c>
      <c r="H254">
        <v>715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1533</v>
      </c>
    </row>
    <row r="255" spans="1:30" x14ac:dyDescent="0.25">
      <c r="H255" t="s">
        <v>599</v>
      </c>
    </row>
    <row r="256" spans="1:30" x14ac:dyDescent="0.25">
      <c r="A256">
        <v>125</v>
      </c>
      <c r="B256">
        <v>4545</v>
      </c>
      <c r="C256" t="s">
        <v>600</v>
      </c>
      <c r="D256" t="s">
        <v>511</v>
      </c>
      <c r="E256" t="s">
        <v>34</v>
      </c>
      <c r="F256" t="s">
        <v>601</v>
      </c>
      <c r="G256" t="str">
        <f>"201402006623"</f>
        <v>201402006623</v>
      </c>
      <c r="H256">
        <v>715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1533</v>
      </c>
    </row>
    <row r="257" spans="1:30" x14ac:dyDescent="0.25">
      <c r="H257" t="s">
        <v>602</v>
      </c>
    </row>
    <row r="258" spans="1:30" x14ac:dyDescent="0.25">
      <c r="A258">
        <v>126</v>
      </c>
      <c r="B258">
        <v>3997</v>
      </c>
      <c r="C258" t="s">
        <v>603</v>
      </c>
      <c r="D258" t="s">
        <v>604</v>
      </c>
      <c r="E258" t="s">
        <v>34</v>
      </c>
      <c r="F258" t="s">
        <v>605</v>
      </c>
      <c r="G258" t="str">
        <f>"00315590"</f>
        <v>00315590</v>
      </c>
      <c r="H258" t="s">
        <v>606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607</v>
      </c>
    </row>
    <row r="259" spans="1:30" x14ac:dyDescent="0.25">
      <c r="H259" t="s">
        <v>608</v>
      </c>
    </row>
    <row r="260" spans="1:30" x14ac:dyDescent="0.25">
      <c r="A260">
        <v>127</v>
      </c>
      <c r="B260">
        <v>2418</v>
      </c>
      <c r="C260" t="s">
        <v>609</v>
      </c>
      <c r="D260" t="s">
        <v>86</v>
      </c>
      <c r="E260" t="s">
        <v>44</v>
      </c>
      <c r="F260" t="s">
        <v>610</v>
      </c>
      <c r="G260" t="str">
        <f>"00153752"</f>
        <v>00153752</v>
      </c>
      <c r="H260" t="s">
        <v>611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66</v>
      </c>
      <c r="W260">
        <v>462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612</v>
      </c>
    </row>
    <row r="261" spans="1:30" x14ac:dyDescent="0.25">
      <c r="H261" t="s">
        <v>613</v>
      </c>
    </row>
    <row r="262" spans="1:30" x14ac:dyDescent="0.25">
      <c r="A262">
        <v>128</v>
      </c>
      <c r="B262">
        <v>1284</v>
      </c>
      <c r="C262" t="s">
        <v>614</v>
      </c>
      <c r="D262" t="s">
        <v>44</v>
      </c>
      <c r="E262" t="s">
        <v>24</v>
      </c>
      <c r="F262" t="s">
        <v>615</v>
      </c>
      <c r="G262" t="str">
        <f>"200911000461"</f>
        <v>200911000461</v>
      </c>
      <c r="H262" t="s">
        <v>369</v>
      </c>
      <c r="I262">
        <v>150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38</v>
      </c>
      <c r="W262">
        <v>266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616</v>
      </c>
    </row>
    <row r="263" spans="1:30" x14ac:dyDescent="0.25">
      <c r="H263" t="s">
        <v>617</v>
      </c>
    </row>
    <row r="264" spans="1:30" x14ac:dyDescent="0.25">
      <c r="A264">
        <v>129</v>
      </c>
      <c r="B264">
        <v>6282</v>
      </c>
      <c r="C264" t="s">
        <v>618</v>
      </c>
      <c r="D264" t="s">
        <v>392</v>
      </c>
      <c r="E264" t="s">
        <v>619</v>
      </c>
      <c r="F264" t="s">
        <v>620</v>
      </c>
      <c r="G264" t="str">
        <f>"00011070"</f>
        <v>00011070</v>
      </c>
      <c r="H264" t="s">
        <v>621</v>
      </c>
      <c r="I264">
        <v>0</v>
      </c>
      <c r="J264">
        <v>0</v>
      </c>
      <c r="K264">
        <v>0</v>
      </c>
      <c r="L264">
        <v>0</v>
      </c>
      <c r="M264">
        <v>100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622</v>
      </c>
    </row>
    <row r="265" spans="1:30" x14ac:dyDescent="0.25">
      <c r="H265" t="s">
        <v>623</v>
      </c>
    </row>
    <row r="266" spans="1:30" x14ac:dyDescent="0.25">
      <c r="A266">
        <v>130</v>
      </c>
      <c r="B266">
        <v>3683</v>
      </c>
      <c r="C266" t="s">
        <v>624</v>
      </c>
      <c r="D266" t="s">
        <v>625</v>
      </c>
      <c r="E266" t="s">
        <v>55</v>
      </c>
      <c r="F266" t="s">
        <v>626</v>
      </c>
      <c r="G266" t="str">
        <f>"00336197"</f>
        <v>00336197</v>
      </c>
      <c r="H266" t="s">
        <v>627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45</v>
      </c>
      <c r="W266">
        <v>315</v>
      </c>
      <c r="X266">
        <v>0</v>
      </c>
      <c r="Z266">
        <v>0</v>
      </c>
      <c r="AA266">
        <v>0</v>
      </c>
      <c r="AB266">
        <v>24</v>
      </c>
      <c r="AC266">
        <v>408</v>
      </c>
      <c r="AD266" t="s">
        <v>628</v>
      </c>
    </row>
    <row r="267" spans="1:30" x14ac:dyDescent="0.25">
      <c r="H267" t="s">
        <v>629</v>
      </c>
    </row>
    <row r="268" spans="1:30" x14ac:dyDescent="0.25">
      <c r="A268">
        <v>131</v>
      </c>
      <c r="B268">
        <v>4742</v>
      </c>
      <c r="C268" t="s">
        <v>630</v>
      </c>
      <c r="D268" t="s">
        <v>246</v>
      </c>
      <c r="E268" t="s">
        <v>631</v>
      </c>
      <c r="F268" t="s">
        <v>632</v>
      </c>
      <c r="G268" t="str">
        <f>"201406013781"</f>
        <v>201406013781</v>
      </c>
      <c r="H268">
        <v>836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50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1</v>
      </c>
      <c r="AA268">
        <v>0</v>
      </c>
      <c r="AB268">
        <v>0</v>
      </c>
      <c r="AC268">
        <v>0</v>
      </c>
      <c r="AD268">
        <v>1524</v>
      </c>
    </row>
    <row r="269" spans="1:30" x14ac:dyDescent="0.25">
      <c r="H269" t="s">
        <v>633</v>
      </c>
    </row>
    <row r="270" spans="1:30" x14ac:dyDescent="0.25">
      <c r="A270">
        <v>132</v>
      </c>
      <c r="B270">
        <v>257</v>
      </c>
      <c r="C270" t="s">
        <v>634</v>
      </c>
      <c r="D270" t="s">
        <v>44</v>
      </c>
      <c r="E270" t="s">
        <v>635</v>
      </c>
      <c r="F270" t="s">
        <v>636</v>
      </c>
      <c r="G270" t="str">
        <f>"00107632"</f>
        <v>00107632</v>
      </c>
      <c r="H270" t="s">
        <v>637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2</v>
      </c>
      <c r="AA270">
        <v>0</v>
      </c>
      <c r="AB270">
        <v>24</v>
      </c>
      <c r="AC270">
        <v>408</v>
      </c>
      <c r="AD270" t="s">
        <v>638</v>
      </c>
    </row>
    <row r="271" spans="1:30" x14ac:dyDescent="0.25">
      <c r="H271" t="s">
        <v>639</v>
      </c>
    </row>
    <row r="272" spans="1:30" x14ac:dyDescent="0.25">
      <c r="A272">
        <v>133</v>
      </c>
      <c r="B272">
        <v>5749</v>
      </c>
      <c r="C272" t="s">
        <v>640</v>
      </c>
      <c r="D272" t="s">
        <v>76</v>
      </c>
      <c r="E272" t="s">
        <v>15</v>
      </c>
      <c r="F272" t="s">
        <v>641</v>
      </c>
      <c r="G272" t="str">
        <f>"00189455"</f>
        <v>00189455</v>
      </c>
      <c r="H272">
        <v>704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1522</v>
      </c>
    </row>
    <row r="273" spans="1:30" x14ac:dyDescent="0.25">
      <c r="H273" t="s">
        <v>642</v>
      </c>
    </row>
    <row r="274" spans="1:30" x14ac:dyDescent="0.25">
      <c r="A274">
        <v>134</v>
      </c>
      <c r="B274">
        <v>2579</v>
      </c>
      <c r="C274" t="s">
        <v>643</v>
      </c>
      <c r="D274" t="s">
        <v>86</v>
      </c>
      <c r="E274" t="s">
        <v>644</v>
      </c>
      <c r="F274" t="s">
        <v>645</v>
      </c>
      <c r="G274" t="str">
        <f>"200801005382"</f>
        <v>200801005382</v>
      </c>
      <c r="H274" t="s">
        <v>646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647</v>
      </c>
    </row>
    <row r="275" spans="1:30" x14ac:dyDescent="0.25">
      <c r="H275" t="s">
        <v>648</v>
      </c>
    </row>
    <row r="276" spans="1:30" x14ac:dyDescent="0.25">
      <c r="A276">
        <v>135</v>
      </c>
      <c r="B276">
        <v>2802</v>
      </c>
      <c r="C276" t="s">
        <v>649</v>
      </c>
      <c r="D276" t="s">
        <v>363</v>
      </c>
      <c r="E276" t="s">
        <v>650</v>
      </c>
      <c r="F276" t="s">
        <v>651</v>
      </c>
      <c r="G276" t="str">
        <f>"200801009535"</f>
        <v>200801009535</v>
      </c>
      <c r="H276" t="s">
        <v>576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652</v>
      </c>
    </row>
    <row r="277" spans="1:30" x14ac:dyDescent="0.25">
      <c r="H277" t="s">
        <v>653</v>
      </c>
    </row>
    <row r="278" spans="1:30" x14ac:dyDescent="0.25">
      <c r="A278">
        <v>136</v>
      </c>
      <c r="B278">
        <v>4152</v>
      </c>
      <c r="C278" t="s">
        <v>654</v>
      </c>
      <c r="D278" t="s">
        <v>655</v>
      </c>
      <c r="E278" t="s">
        <v>416</v>
      </c>
      <c r="F278" t="s">
        <v>656</v>
      </c>
      <c r="G278" t="str">
        <f>"00361008"</f>
        <v>00361008</v>
      </c>
      <c r="H278">
        <v>880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1518</v>
      </c>
    </row>
    <row r="279" spans="1:30" x14ac:dyDescent="0.25">
      <c r="H279" t="s">
        <v>657</v>
      </c>
    </row>
    <row r="280" spans="1:30" x14ac:dyDescent="0.25">
      <c r="A280">
        <v>137</v>
      </c>
      <c r="B280">
        <v>6225</v>
      </c>
      <c r="C280" t="s">
        <v>658</v>
      </c>
      <c r="D280" t="s">
        <v>358</v>
      </c>
      <c r="E280" t="s">
        <v>146</v>
      </c>
      <c r="F280" t="s">
        <v>659</v>
      </c>
      <c r="G280" t="str">
        <f>"00158164"</f>
        <v>00158164</v>
      </c>
      <c r="H280" t="s">
        <v>432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73</v>
      </c>
      <c r="W280">
        <v>511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660</v>
      </c>
    </row>
    <row r="281" spans="1:30" x14ac:dyDescent="0.25">
      <c r="H281" t="s">
        <v>661</v>
      </c>
    </row>
    <row r="282" spans="1:30" x14ac:dyDescent="0.25">
      <c r="A282">
        <v>138</v>
      </c>
      <c r="B282">
        <v>3390</v>
      </c>
      <c r="C282" t="s">
        <v>662</v>
      </c>
      <c r="D282" t="s">
        <v>28</v>
      </c>
      <c r="E282" t="s">
        <v>34</v>
      </c>
      <c r="F282" t="s">
        <v>663</v>
      </c>
      <c r="G282" t="str">
        <f>"00242389"</f>
        <v>00242389</v>
      </c>
      <c r="H282" t="s">
        <v>664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665</v>
      </c>
    </row>
    <row r="283" spans="1:30" x14ac:dyDescent="0.25">
      <c r="H283" t="s">
        <v>666</v>
      </c>
    </row>
    <row r="284" spans="1:30" x14ac:dyDescent="0.25">
      <c r="A284">
        <v>139</v>
      </c>
      <c r="B284">
        <v>2920</v>
      </c>
      <c r="C284" t="s">
        <v>667</v>
      </c>
      <c r="D284" t="s">
        <v>200</v>
      </c>
      <c r="E284" t="s">
        <v>55</v>
      </c>
      <c r="F284" t="s">
        <v>668</v>
      </c>
      <c r="G284" t="str">
        <f>"201406010554"</f>
        <v>201406010554</v>
      </c>
      <c r="H284">
        <v>726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30</v>
      </c>
      <c r="S284">
        <v>0</v>
      </c>
      <c r="T284">
        <v>0</v>
      </c>
      <c r="U284">
        <v>0</v>
      </c>
      <c r="V284">
        <v>70</v>
      </c>
      <c r="W284">
        <v>490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1516</v>
      </c>
    </row>
    <row r="285" spans="1:30" x14ac:dyDescent="0.25">
      <c r="H285" t="s">
        <v>669</v>
      </c>
    </row>
    <row r="286" spans="1:30" x14ac:dyDescent="0.25">
      <c r="A286">
        <v>140</v>
      </c>
      <c r="B286">
        <v>5754</v>
      </c>
      <c r="C286" t="s">
        <v>670</v>
      </c>
      <c r="D286" t="s">
        <v>154</v>
      </c>
      <c r="E286" t="s">
        <v>55</v>
      </c>
      <c r="F286" t="s">
        <v>671</v>
      </c>
      <c r="G286" t="str">
        <f>"201406011941"</f>
        <v>201406011941</v>
      </c>
      <c r="H286" t="s">
        <v>398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61</v>
      </c>
      <c r="W286">
        <v>427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672</v>
      </c>
    </row>
    <row r="287" spans="1:30" x14ac:dyDescent="0.25">
      <c r="H287" t="s">
        <v>673</v>
      </c>
    </row>
    <row r="288" spans="1:30" x14ac:dyDescent="0.25">
      <c r="A288">
        <v>141</v>
      </c>
      <c r="B288">
        <v>1772</v>
      </c>
      <c r="C288" t="s">
        <v>674</v>
      </c>
      <c r="D288" t="s">
        <v>168</v>
      </c>
      <c r="E288" t="s">
        <v>93</v>
      </c>
      <c r="F288" t="s">
        <v>675</v>
      </c>
      <c r="G288" t="str">
        <f>"00227470"</f>
        <v>00227470</v>
      </c>
      <c r="H288" t="s">
        <v>676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0</v>
      </c>
      <c r="AA288">
        <v>0</v>
      </c>
      <c r="AB288">
        <v>24</v>
      </c>
      <c r="AC288">
        <v>408</v>
      </c>
      <c r="AD288" t="s">
        <v>677</v>
      </c>
    </row>
    <row r="289" spans="1:30" x14ac:dyDescent="0.25">
      <c r="H289" t="s">
        <v>678</v>
      </c>
    </row>
    <row r="290" spans="1:30" x14ac:dyDescent="0.25">
      <c r="A290">
        <v>142</v>
      </c>
      <c r="B290">
        <v>5108</v>
      </c>
      <c r="C290" t="s">
        <v>679</v>
      </c>
      <c r="D290" t="s">
        <v>28</v>
      </c>
      <c r="E290" t="s">
        <v>146</v>
      </c>
      <c r="F290" t="s">
        <v>680</v>
      </c>
      <c r="G290" t="str">
        <f>"00336726"</f>
        <v>00336726</v>
      </c>
      <c r="H290" t="s">
        <v>681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30</v>
      </c>
      <c r="R290">
        <v>0</v>
      </c>
      <c r="S290">
        <v>0</v>
      </c>
      <c r="T290">
        <v>0</v>
      </c>
      <c r="U290">
        <v>0</v>
      </c>
      <c r="V290">
        <v>83</v>
      </c>
      <c r="W290">
        <v>581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682</v>
      </c>
    </row>
    <row r="291" spans="1:30" x14ac:dyDescent="0.25">
      <c r="H291" t="s">
        <v>683</v>
      </c>
    </row>
    <row r="292" spans="1:30" x14ac:dyDescent="0.25">
      <c r="A292">
        <v>143</v>
      </c>
      <c r="B292">
        <v>2125</v>
      </c>
      <c r="C292" t="s">
        <v>684</v>
      </c>
      <c r="D292" t="s">
        <v>685</v>
      </c>
      <c r="E292" t="s">
        <v>15</v>
      </c>
      <c r="F292" t="s">
        <v>686</v>
      </c>
      <c r="G292" t="str">
        <f>"200802011976"</f>
        <v>200802011976</v>
      </c>
      <c r="H292">
        <v>693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1511</v>
      </c>
    </row>
    <row r="293" spans="1:30" x14ac:dyDescent="0.25">
      <c r="H293" t="s">
        <v>687</v>
      </c>
    </row>
    <row r="294" spans="1:30" x14ac:dyDescent="0.25">
      <c r="A294">
        <v>144</v>
      </c>
      <c r="B294">
        <v>4008</v>
      </c>
      <c r="C294" t="s">
        <v>267</v>
      </c>
      <c r="D294" t="s">
        <v>688</v>
      </c>
      <c r="E294" t="s">
        <v>689</v>
      </c>
      <c r="F294" t="s">
        <v>690</v>
      </c>
      <c r="G294" t="str">
        <f>"00202171"</f>
        <v>00202171</v>
      </c>
      <c r="H294">
        <v>759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30</v>
      </c>
      <c r="Q294">
        <v>30</v>
      </c>
      <c r="R294">
        <v>30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1507</v>
      </c>
    </row>
    <row r="295" spans="1:30" x14ac:dyDescent="0.25">
      <c r="H295" t="s">
        <v>691</v>
      </c>
    </row>
    <row r="296" spans="1:30" x14ac:dyDescent="0.25">
      <c r="A296">
        <v>145</v>
      </c>
      <c r="B296">
        <v>4947</v>
      </c>
      <c r="C296" t="s">
        <v>692</v>
      </c>
      <c r="D296" t="s">
        <v>604</v>
      </c>
      <c r="E296" t="s">
        <v>693</v>
      </c>
      <c r="F296" t="s">
        <v>694</v>
      </c>
      <c r="G296" t="str">
        <f>"00280868"</f>
        <v>00280868</v>
      </c>
      <c r="H296">
        <v>858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2</v>
      </c>
      <c r="AA296">
        <v>0</v>
      </c>
      <c r="AB296">
        <v>0</v>
      </c>
      <c r="AC296">
        <v>0</v>
      </c>
      <c r="AD296">
        <v>1506</v>
      </c>
    </row>
    <row r="297" spans="1:30" x14ac:dyDescent="0.25">
      <c r="H297" t="s">
        <v>695</v>
      </c>
    </row>
    <row r="298" spans="1:30" x14ac:dyDescent="0.25">
      <c r="A298">
        <v>146</v>
      </c>
      <c r="B298">
        <v>785</v>
      </c>
      <c r="C298" t="s">
        <v>696</v>
      </c>
      <c r="D298" t="s">
        <v>34</v>
      </c>
      <c r="E298" t="s">
        <v>107</v>
      </c>
      <c r="F298" t="s">
        <v>697</v>
      </c>
      <c r="G298" t="str">
        <f>"00218296"</f>
        <v>00218296</v>
      </c>
      <c r="H298">
        <v>682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1500</v>
      </c>
    </row>
    <row r="299" spans="1:30" x14ac:dyDescent="0.25">
      <c r="H299" t="s">
        <v>698</v>
      </c>
    </row>
    <row r="300" spans="1:30" x14ac:dyDescent="0.25">
      <c r="A300">
        <v>147</v>
      </c>
      <c r="B300">
        <v>3516</v>
      </c>
      <c r="C300" t="s">
        <v>699</v>
      </c>
      <c r="D300" t="s">
        <v>700</v>
      </c>
      <c r="E300" t="s">
        <v>107</v>
      </c>
      <c r="F300" t="s">
        <v>701</v>
      </c>
      <c r="G300" t="str">
        <f>"200801006089"</f>
        <v>200801006089</v>
      </c>
      <c r="H300" t="s">
        <v>702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703</v>
      </c>
    </row>
    <row r="301" spans="1:30" x14ac:dyDescent="0.25">
      <c r="H301" t="s">
        <v>704</v>
      </c>
    </row>
    <row r="302" spans="1:30" x14ac:dyDescent="0.25">
      <c r="A302">
        <v>148</v>
      </c>
      <c r="B302">
        <v>1928</v>
      </c>
      <c r="C302" t="s">
        <v>705</v>
      </c>
      <c r="D302" t="s">
        <v>706</v>
      </c>
      <c r="E302" t="s">
        <v>330</v>
      </c>
      <c r="F302" t="s">
        <v>707</v>
      </c>
      <c r="G302" t="str">
        <f>"201406009690"</f>
        <v>201406009690</v>
      </c>
      <c r="H302">
        <v>759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50</v>
      </c>
      <c r="R302">
        <v>30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>
        <v>1497</v>
      </c>
    </row>
    <row r="303" spans="1:30" x14ac:dyDescent="0.25">
      <c r="H303" t="s">
        <v>708</v>
      </c>
    </row>
    <row r="304" spans="1:30" x14ac:dyDescent="0.25">
      <c r="A304">
        <v>149</v>
      </c>
      <c r="B304">
        <v>309</v>
      </c>
      <c r="C304" t="s">
        <v>709</v>
      </c>
      <c r="D304" t="s">
        <v>185</v>
      </c>
      <c r="E304" t="s">
        <v>526</v>
      </c>
      <c r="F304" t="s">
        <v>710</v>
      </c>
      <c r="G304" t="str">
        <f>"201406007000"</f>
        <v>201406007000</v>
      </c>
      <c r="H304" t="s">
        <v>711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712</v>
      </c>
    </row>
    <row r="305" spans="1:30" x14ac:dyDescent="0.25">
      <c r="H305" t="s">
        <v>713</v>
      </c>
    </row>
    <row r="306" spans="1:30" x14ac:dyDescent="0.25">
      <c r="A306">
        <v>150</v>
      </c>
      <c r="B306">
        <v>1940</v>
      </c>
      <c r="C306" t="s">
        <v>714</v>
      </c>
      <c r="D306" t="s">
        <v>715</v>
      </c>
      <c r="E306" t="s">
        <v>107</v>
      </c>
      <c r="F306" t="s">
        <v>716</v>
      </c>
      <c r="G306" t="str">
        <f>"00256768"</f>
        <v>00256768</v>
      </c>
      <c r="H306" t="s">
        <v>717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70</v>
      </c>
      <c r="P306">
        <v>0</v>
      </c>
      <c r="Q306">
        <v>0</v>
      </c>
      <c r="R306">
        <v>30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718</v>
      </c>
    </row>
    <row r="307" spans="1:30" x14ac:dyDescent="0.25">
      <c r="H307" t="s">
        <v>719</v>
      </c>
    </row>
    <row r="308" spans="1:30" x14ac:dyDescent="0.25">
      <c r="A308">
        <v>151</v>
      </c>
      <c r="B308">
        <v>4671</v>
      </c>
      <c r="C308" t="s">
        <v>720</v>
      </c>
      <c r="D308" t="s">
        <v>168</v>
      </c>
      <c r="E308" t="s">
        <v>721</v>
      </c>
      <c r="F308" t="s">
        <v>722</v>
      </c>
      <c r="G308" t="str">
        <f>"00154337"</f>
        <v>00154337</v>
      </c>
      <c r="H308" t="s">
        <v>445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73</v>
      </c>
      <c r="W308">
        <v>511</v>
      </c>
      <c r="X308">
        <v>0</v>
      </c>
      <c r="Z308">
        <v>0</v>
      </c>
      <c r="AA308">
        <v>0</v>
      </c>
      <c r="AB308">
        <v>3</v>
      </c>
      <c r="AC308">
        <v>51</v>
      </c>
      <c r="AD308" t="s">
        <v>723</v>
      </c>
    </row>
    <row r="309" spans="1:30" x14ac:dyDescent="0.25">
      <c r="H309" t="s">
        <v>724</v>
      </c>
    </row>
    <row r="310" spans="1:30" x14ac:dyDescent="0.25">
      <c r="A310">
        <v>152</v>
      </c>
      <c r="B310">
        <v>2232</v>
      </c>
      <c r="C310" t="s">
        <v>725</v>
      </c>
      <c r="D310" t="s">
        <v>140</v>
      </c>
      <c r="E310" t="s">
        <v>107</v>
      </c>
      <c r="F310" t="s">
        <v>726</v>
      </c>
      <c r="G310" t="str">
        <f>"201406014129"</f>
        <v>201406014129</v>
      </c>
      <c r="H310" t="s">
        <v>727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60</v>
      </c>
      <c r="W310">
        <v>420</v>
      </c>
      <c r="X310">
        <v>0</v>
      </c>
      <c r="Z310">
        <v>0</v>
      </c>
      <c r="AA310">
        <v>0</v>
      </c>
      <c r="AB310">
        <v>24</v>
      </c>
      <c r="AC310">
        <v>408</v>
      </c>
      <c r="AD310" t="s">
        <v>728</v>
      </c>
    </row>
    <row r="311" spans="1:30" x14ac:dyDescent="0.25">
      <c r="H311" t="s">
        <v>729</v>
      </c>
    </row>
    <row r="312" spans="1:30" x14ac:dyDescent="0.25">
      <c r="A312">
        <v>153</v>
      </c>
      <c r="B312">
        <v>3985</v>
      </c>
      <c r="C312" t="s">
        <v>730</v>
      </c>
      <c r="D312" t="s">
        <v>392</v>
      </c>
      <c r="E312" t="s">
        <v>44</v>
      </c>
      <c r="F312" t="s">
        <v>731</v>
      </c>
      <c r="G312" t="str">
        <f>"00150594"</f>
        <v>00150594</v>
      </c>
      <c r="H312" t="s">
        <v>732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733</v>
      </c>
    </row>
    <row r="313" spans="1:30" x14ac:dyDescent="0.25">
      <c r="H313" t="s">
        <v>734</v>
      </c>
    </row>
    <row r="314" spans="1:30" x14ac:dyDescent="0.25">
      <c r="A314">
        <v>154</v>
      </c>
      <c r="B314">
        <v>842</v>
      </c>
      <c r="C314" t="s">
        <v>735</v>
      </c>
      <c r="D314" t="s">
        <v>283</v>
      </c>
      <c r="E314" t="s">
        <v>28</v>
      </c>
      <c r="F314" t="s">
        <v>736</v>
      </c>
      <c r="G314" t="str">
        <f>"00015874"</f>
        <v>00015874</v>
      </c>
      <c r="H314" t="s">
        <v>737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80</v>
      </c>
      <c r="W314">
        <v>560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738</v>
      </c>
    </row>
    <row r="315" spans="1:30" x14ac:dyDescent="0.25">
      <c r="H315" t="s">
        <v>739</v>
      </c>
    </row>
    <row r="316" spans="1:30" x14ac:dyDescent="0.25">
      <c r="A316">
        <v>155</v>
      </c>
      <c r="B316">
        <v>1484</v>
      </c>
      <c r="C316" t="s">
        <v>740</v>
      </c>
      <c r="D316" t="s">
        <v>14</v>
      </c>
      <c r="E316" t="s">
        <v>220</v>
      </c>
      <c r="F316" t="s">
        <v>741</v>
      </c>
      <c r="G316" t="str">
        <f>"201405001225"</f>
        <v>201405001225</v>
      </c>
      <c r="H316">
        <v>869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1487</v>
      </c>
    </row>
    <row r="317" spans="1:30" x14ac:dyDescent="0.25">
      <c r="H317" t="s">
        <v>742</v>
      </c>
    </row>
    <row r="318" spans="1:30" x14ac:dyDescent="0.25">
      <c r="A318">
        <v>156</v>
      </c>
      <c r="B318">
        <v>4282</v>
      </c>
      <c r="C318" t="s">
        <v>562</v>
      </c>
      <c r="D318" t="s">
        <v>743</v>
      </c>
      <c r="E318" t="s">
        <v>744</v>
      </c>
      <c r="F318" t="s">
        <v>745</v>
      </c>
      <c r="G318" t="str">
        <f>"00187395"</f>
        <v>00187395</v>
      </c>
      <c r="H318" t="s">
        <v>746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77</v>
      </c>
      <c r="W318">
        <v>539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747</v>
      </c>
    </row>
    <row r="319" spans="1:30" x14ac:dyDescent="0.25">
      <c r="H319" t="s">
        <v>561</v>
      </c>
    </row>
    <row r="320" spans="1:30" x14ac:dyDescent="0.25">
      <c r="A320">
        <v>157</v>
      </c>
      <c r="B320">
        <v>348</v>
      </c>
      <c r="C320" t="s">
        <v>748</v>
      </c>
      <c r="D320" t="s">
        <v>749</v>
      </c>
      <c r="E320" t="s">
        <v>107</v>
      </c>
      <c r="F320" t="s">
        <v>750</v>
      </c>
      <c r="G320" t="str">
        <f>"201402005982"</f>
        <v>201402005982</v>
      </c>
      <c r="H320">
        <v>726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46</v>
      </c>
      <c r="W320">
        <v>322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1486</v>
      </c>
    </row>
    <row r="321" spans="1:30" x14ac:dyDescent="0.25">
      <c r="H321" t="s">
        <v>751</v>
      </c>
    </row>
    <row r="322" spans="1:30" x14ac:dyDescent="0.25">
      <c r="A322">
        <v>158</v>
      </c>
      <c r="B322">
        <v>507</v>
      </c>
      <c r="C322" t="s">
        <v>501</v>
      </c>
      <c r="D322" t="s">
        <v>34</v>
      </c>
      <c r="E322" t="s">
        <v>721</v>
      </c>
      <c r="F322" t="s">
        <v>752</v>
      </c>
      <c r="G322" t="str">
        <f>"201412005570"</f>
        <v>201412005570</v>
      </c>
      <c r="H322" t="s">
        <v>753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80</v>
      </c>
      <c r="W322">
        <v>560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754</v>
      </c>
    </row>
    <row r="323" spans="1:30" x14ac:dyDescent="0.25">
      <c r="H323" t="s">
        <v>755</v>
      </c>
    </row>
    <row r="324" spans="1:30" x14ac:dyDescent="0.25">
      <c r="A324">
        <v>159</v>
      </c>
      <c r="B324">
        <v>4961</v>
      </c>
      <c r="C324" t="s">
        <v>756</v>
      </c>
      <c r="D324" t="s">
        <v>757</v>
      </c>
      <c r="E324" t="s">
        <v>34</v>
      </c>
      <c r="F324" t="s">
        <v>758</v>
      </c>
      <c r="G324" t="str">
        <f>"201511010313"</f>
        <v>201511010313</v>
      </c>
      <c r="H324">
        <v>891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39</v>
      </c>
      <c r="W324">
        <v>273</v>
      </c>
      <c r="X324">
        <v>0</v>
      </c>
      <c r="Z324">
        <v>2</v>
      </c>
      <c r="AA324">
        <v>0</v>
      </c>
      <c r="AB324">
        <v>17</v>
      </c>
      <c r="AC324">
        <v>289</v>
      </c>
      <c r="AD324">
        <v>1483</v>
      </c>
    </row>
    <row r="325" spans="1:30" x14ac:dyDescent="0.25">
      <c r="H325" t="s">
        <v>759</v>
      </c>
    </row>
    <row r="326" spans="1:30" x14ac:dyDescent="0.25">
      <c r="A326">
        <v>160</v>
      </c>
      <c r="B326">
        <v>3957</v>
      </c>
      <c r="C326" t="s">
        <v>760</v>
      </c>
      <c r="D326" t="s">
        <v>761</v>
      </c>
      <c r="E326" t="s">
        <v>762</v>
      </c>
      <c r="F326" t="s">
        <v>763</v>
      </c>
      <c r="G326" t="str">
        <f>"201005000043"</f>
        <v>201005000043</v>
      </c>
      <c r="H326">
        <v>715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1483</v>
      </c>
    </row>
    <row r="327" spans="1:30" x14ac:dyDescent="0.25">
      <c r="H327" t="s">
        <v>764</v>
      </c>
    </row>
    <row r="328" spans="1:30" x14ac:dyDescent="0.25">
      <c r="A328">
        <v>161</v>
      </c>
      <c r="B328">
        <v>6068</v>
      </c>
      <c r="C328" t="s">
        <v>765</v>
      </c>
      <c r="D328" t="s">
        <v>210</v>
      </c>
      <c r="E328" t="s">
        <v>44</v>
      </c>
      <c r="F328" t="s">
        <v>766</v>
      </c>
      <c r="G328" t="str">
        <f>"201406011364"</f>
        <v>201406011364</v>
      </c>
      <c r="H328" t="s">
        <v>767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49</v>
      </c>
      <c r="W328">
        <v>343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768</v>
      </c>
    </row>
    <row r="329" spans="1:30" x14ac:dyDescent="0.25">
      <c r="H329" t="s">
        <v>769</v>
      </c>
    </row>
    <row r="330" spans="1:30" x14ac:dyDescent="0.25">
      <c r="A330">
        <v>162</v>
      </c>
      <c r="B330">
        <v>3931</v>
      </c>
      <c r="C330" t="s">
        <v>770</v>
      </c>
      <c r="D330" t="s">
        <v>771</v>
      </c>
      <c r="E330" t="s">
        <v>34</v>
      </c>
      <c r="F330" t="s">
        <v>772</v>
      </c>
      <c r="G330" t="str">
        <f>"200801008366"</f>
        <v>200801008366</v>
      </c>
      <c r="H330" t="s">
        <v>773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60</v>
      </c>
      <c r="W330">
        <v>420</v>
      </c>
      <c r="X330">
        <v>0</v>
      </c>
      <c r="Z330">
        <v>1</v>
      </c>
      <c r="AA330">
        <v>0</v>
      </c>
      <c r="AB330">
        <v>24</v>
      </c>
      <c r="AC330">
        <v>408</v>
      </c>
      <c r="AD330" t="s">
        <v>774</v>
      </c>
    </row>
    <row r="331" spans="1:30" x14ac:dyDescent="0.25">
      <c r="H331" t="s">
        <v>775</v>
      </c>
    </row>
    <row r="332" spans="1:30" x14ac:dyDescent="0.25">
      <c r="A332">
        <v>163</v>
      </c>
      <c r="B332">
        <v>1444</v>
      </c>
      <c r="C332" t="s">
        <v>776</v>
      </c>
      <c r="D332" t="s">
        <v>76</v>
      </c>
      <c r="E332" t="s">
        <v>283</v>
      </c>
      <c r="F332" t="s">
        <v>777</v>
      </c>
      <c r="G332" t="str">
        <f>"201511038204"</f>
        <v>201511038204</v>
      </c>
      <c r="H332" t="s">
        <v>242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50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778</v>
      </c>
    </row>
    <row r="333" spans="1:30" x14ac:dyDescent="0.25">
      <c r="H333" t="s">
        <v>779</v>
      </c>
    </row>
    <row r="334" spans="1:30" x14ac:dyDescent="0.25">
      <c r="A334">
        <v>164</v>
      </c>
      <c r="B334">
        <v>4472</v>
      </c>
      <c r="C334" t="s">
        <v>780</v>
      </c>
      <c r="D334" t="s">
        <v>51</v>
      </c>
      <c r="E334" t="s">
        <v>100</v>
      </c>
      <c r="F334" t="s">
        <v>781</v>
      </c>
      <c r="G334" t="str">
        <f>"201406019231"</f>
        <v>201406019231</v>
      </c>
      <c r="H334">
        <v>792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70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1480</v>
      </c>
    </row>
    <row r="335" spans="1:30" x14ac:dyDescent="0.25">
      <c r="H335" t="s">
        <v>782</v>
      </c>
    </row>
    <row r="336" spans="1:30" x14ac:dyDescent="0.25">
      <c r="A336">
        <v>165</v>
      </c>
      <c r="B336">
        <v>623</v>
      </c>
      <c r="C336" t="s">
        <v>783</v>
      </c>
      <c r="D336" t="s">
        <v>784</v>
      </c>
      <c r="E336" t="s">
        <v>785</v>
      </c>
      <c r="F336" t="s">
        <v>786</v>
      </c>
      <c r="G336" t="str">
        <f>"201402009785"</f>
        <v>201402009785</v>
      </c>
      <c r="H336" t="s">
        <v>787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76</v>
      </c>
      <c r="W336">
        <v>532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788</v>
      </c>
    </row>
    <row r="337" spans="1:30" x14ac:dyDescent="0.25">
      <c r="H337" t="s">
        <v>789</v>
      </c>
    </row>
    <row r="338" spans="1:30" x14ac:dyDescent="0.25">
      <c r="A338">
        <v>166</v>
      </c>
      <c r="B338">
        <v>1541</v>
      </c>
      <c r="C338" t="s">
        <v>780</v>
      </c>
      <c r="D338" t="s">
        <v>790</v>
      </c>
      <c r="E338" t="s">
        <v>289</v>
      </c>
      <c r="F338" t="s">
        <v>791</v>
      </c>
      <c r="G338" t="str">
        <f>"201503000067"</f>
        <v>201503000067</v>
      </c>
      <c r="H338">
        <v>726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45</v>
      </c>
      <c r="W338">
        <v>315</v>
      </c>
      <c r="X338">
        <v>0</v>
      </c>
      <c r="Z338">
        <v>0</v>
      </c>
      <c r="AA338">
        <v>0</v>
      </c>
      <c r="AB338">
        <v>24</v>
      </c>
      <c r="AC338">
        <v>408</v>
      </c>
      <c r="AD338">
        <v>1479</v>
      </c>
    </row>
    <row r="339" spans="1:30" x14ac:dyDescent="0.25">
      <c r="H339" t="s">
        <v>792</v>
      </c>
    </row>
    <row r="340" spans="1:30" x14ac:dyDescent="0.25">
      <c r="A340">
        <v>167</v>
      </c>
      <c r="B340">
        <v>2476</v>
      </c>
      <c r="C340" t="s">
        <v>357</v>
      </c>
      <c r="D340" t="s">
        <v>185</v>
      </c>
      <c r="E340" t="s">
        <v>107</v>
      </c>
      <c r="F340" t="s">
        <v>793</v>
      </c>
      <c r="G340" t="str">
        <f>"201405001615"</f>
        <v>201405001615</v>
      </c>
      <c r="H340" t="s">
        <v>794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30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37</v>
      </c>
      <c r="W340">
        <v>259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795</v>
      </c>
    </row>
    <row r="341" spans="1:30" x14ac:dyDescent="0.25">
      <c r="H341" t="s">
        <v>796</v>
      </c>
    </row>
    <row r="342" spans="1:30" x14ac:dyDescent="0.25">
      <c r="A342">
        <v>168</v>
      </c>
      <c r="B342">
        <v>4647</v>
      </c>
      <c r="C342" t="s">
        <v>797</v>
      </c>
      <c r="D342" t="s">
        <v>107</v>
      </c>
      <c r="E342" t="s">
        <v>24</v>
      </c>
      <c r="F342" t="s">
        <v>798</v>
      </c>
      <c r="G342" t="str">
        <f>"00158536"</f>
        <v>00158536</v>
      </c>
      <c r="H342" t="s">
        <v>398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799</v>
      </c>
    </row>
    <row r="343" spans="1:30" x14ac:dyDescent="0.25">
      <c r="H343" t="s">
        <v>800</v>
      </c>
    </row>
    <row r="344" spans="1:30" x14ac:dyDescent="0.25">
      <c r="A344">
        <v>169</v>
      </c>
      <c r="B344">
        <v>3939</v>
      </c>
      <c r="C344" t="s">
        <v>801</v>
      </c>
      <c r="D344" t="s">
        <v>802</v>
      </c>
      <c r="E344" t="s">
        <v>28</v>
      </c>
      <c r="F344" t="s">
        <v>803</v>
      </c>
      <c r="G344" t="str">
        <f>"201412005540"</f>
        <v>201412005540</v>
      </c>
      <c r="H344">
        <v>858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1476</v>
      </c>
    </row>
    <row r="345" spans="1:30" x14ac:dyDescent="0.25">
      <c r="H345" t="s">
        <v>804</v>
      </c>
    </row>
    <row r="346" spans="1:30" x14ac:dyDescent="0.25">
      <c r="A346">
        <v>170</v>
      </c>
      <c r="B346">
        <v>3333</v>
      </c>
      <c r="C346" t="s">
        <v>805</v>
      </c>
      <c r="D346" t="s">
        <v>806</v>
      </c>
      <c r="E346" t="s">
        <v>807</v>
      </c>
      <c r="F346" t="s">
        <v>808</v>
      </c>
      <c r="G346" t="str">
        <f>"201406014869"</f>
        <v>201406014869</v>
      </c>
      <c r="H346" t="s">
        <v>346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70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809</v>
      </c>
    </row>
    <row r="347" spans="1:30" x14ac:dyDescent="0.25">
      <c r="H347" t="s">
        <v>810</v>
      </c>
    </row>
    <row r="348" spans="1:30" x14ac:dyDescent="0.25">
      <c r="A348">
        <v>171</v>
      </c>
      <c r="B348">
        <v>5669</v>
      </c>
      <c r="C348" t="s">
        <v>811</v>
      </c>
      <c r="D348" t="s">
        <v>812</v>
      </c>
      <c r="E348" t="s">
        <v>70</v>
      </c>
      <c r="F348" t="s">
        <v>813</v>
      </c>
      <c r="G348" t="str">
        <f>"00231616"</f>
        <v>00231616</v>
      </c>
      <c r="H348">
        <v>825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2</v>
      </c>
      <c r="AA348">
        <v>0</v>
      </c>
      <c r="AB348">
        <v>0</v>
      </c>
      <c r="AC348">
        <v>0</v>
      </c>
      <c r="AD348">
        <v>1473</v>
      </c>
    </row>
    <row r="349" spans="1:30" x14ac:dyDescent="0.25">
      <c r="H349" t="s">
        <v>814</v>
      </c>
    </row>
    <row r="350" spans="1:30" x14ac:dyDescent="0.25">
      <c r="A350">
        <v>172</v>
      </c>
      <c r="B350">
        <v>2031</v>
      </c>
      <c r="C350" t="s">
        <v>815</v>
      </c>
      <c r="D350" t="s">
        <v>210</v>
      </c>
      <c r="E350" t="s">
        <v>319</v>
      </c>
      <c r="F350" t="s">
        <v>816</v>
      </c>
      <c r="G350" t="str">
        <f>"201406013585"</f>
        <v>201406013585</v>
      </c>
      <c r="H350" t="s">
        <v>817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61</v>
      </c>
      <c r="W350">
        <v>427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818</v>
      </c>
    </row>
    <row r="351" spans="1:30" x14ac:dyDescent="0.25">
      <c r="H351" t="s">
        <v>819</v>
      </c>
    </row>
    <row r="352" spans="1:30" x14ac:dyDescent="0.25">
      <c r="A352">
        <v>173</v>
      </c>
      <c r="B352">
        <v>4834</v>
      </c>
      <c r="C352" t="s">
        <v>820</v>
      </c>
      <c r="D352" t="s">
        <v>821</v>
      </c>
      <c r="E352" t="s">
        <v>262</v>
      </c>
      <c r="F352" t="s">
        <v>822</v>
      </c>
      <c r="G352" t="str">
        <f>"201412004961"</f>
        <v>201412004961</v>
      </c>
      <c r="H352" t="s">
        <v>58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30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823</v>
      </c>
    </row>
    <row r="353" spans="1:30" x14ac:dyDescent="0.25">
      <c r="H353" t="s">
        <v>824</v>
      </c>
    </row>
    <row r="354" spans="1:30" x14ac:dyDescent="0.25">
      <c r="A354">
        <v>174</v>
      </c>
      <c r="B354">
        <v>3252</v>
      </c>
      <c r="C354" t="s">
        <v>825</v>
      </c>
      <c r="D354" t="s">
        <v>363</v>
      </c>
      <c r="E354" t="s">
        <v>100</v>
      </c>
      <c r="F354" t="s">
        <v>826</v>
      </c>
      <c r="G354" t="str">
        <f>"00331271"</f>
        <v>00331271</v>
      </c>
      <c r="H354" t="s">
        <v>827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72</v>
      </c>
      <c r="W354">
        <v>504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828</v>
      </c>
    </row>
    <row r="355" spans="1:30" x14ac:dyDescent="0.25">
      <c r="H355" t="s">
        <v>829</v>
      </c>
    </row>
    <row r="356" spans="1:30" x14ac:dyDescent="0.25">
      <c r="A356">
        <v>175</v>
      </c>
      <c r="B356">
        <v>3541</v>
      </c>
      <c r="C356" t="s">
        <v>830</v>
      </c>
      <c r="D356" t="s">
        <v>158</v>
      </c>
      <c r="E356" t="s">
        <v>359</v>
      </c>
      <c r="F356" t="s">
        <v>831</v>
      </c>
      <c r="G356" t="str">
        <f>"200712004642"</f>
        <v>200712004642</v>
      </c>
      <c r="H356">
        <v>847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1465</v>
      </c>
    </row>
    <row r="357" spans="1:30" x14ac:dyDescent="0.25">
      <c r="H357" t="s">
        <v>832</v>
      </c>
    </row>
    <row r="358" spans="1:30" x14ac:dyDescent="0.25">
      <c r="A358">
        <v>176</v>
      </c>
      <c r="B358">
        <v>454</v>
      </c>
      <c r="C358" t="s">
        <v>833</v>
      </c>
      <c r="D358" t="s">
        <v>757</v>
      </c>
      <c r="E358" t="s">
        <v>834</v>
      </c>
      <c r="F358" t="s">
        <v>835</v>
      </c>
      <c r="G358" t="str">
        <f>"201602000230"</f>
        <v>201602000230</v>
      </c>
      <c r="H358" t="s">
        <v>836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2</v>
      </c>
      <c r="AA358">
        <v>0</v>
      </c>
      <c r="AB358">
        <v>0</v>
      </c>
      <c r="AC358">
        <v>0</v>
      </c>
      <c r="AD358" t="s">
        <v>837</v>
      </c>
    </row>
    <row r="359" spans="1:30" x14ac:dyDescent="0.25">
      <c r="H359" t="s">
        <v>838</v>
      </c>
    </row>
    <row r="360" spans="1:30" x14ac:dyDescent="0.25">
      <c r="A360">
        <v>177</v>
      </c>
      <c r="B360">
        <v>4744</v>
      </c>
      <c r="C360" t="s">
        <v>839</v>
      </c>
      <c r="D360" t="s">
        <v>158</v>
      </c>
      <c r="E360" t="s">
        <v>330</v>
      </c>
      <c r="F360" t="s">
        <v>840</v>
      </c>
      <c r="G360" t="str">
        <f>"00260346"</f>
        <v>00260346</v>
      </c>
      <c r="H360" t="s">
        <v>102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50</v>
      </c>
      <c r="O360">
        <v>0</v>
      </c>
      <c r="P360">
        <v>0</v>
      </c>
      <c r="Q360">
        <v>30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841</v>
      </c>
    </row>
    <row r="361" spans="1:30" x14ac:dyDescent="0.25">
      <c r="H361" t="s">
        <v>842</v>
      </c>
    </row>
    <row r="362" spans="1:30" x14ac:dyDescent="0.25">
      <c r="A362">
        <v>178</v>
      </c>
      <c r="B362">
        <v>6003</v>
      </c>
      <c r="C362" t="s">
        <v>843</v>
      </c>
      <c r="D362" t="s">
        <v>771</v>
      </c>
      <c r="E362" t="s">
        <v>34</v>
      </c>
      <c r="F362" t="s">
        <v>844</v>
      </c>
      <c r="G362" t="str">
        <f>"201412002567"</f>
        <v>201412002567</v>
      </c>
      <c r="H362" t="s">
        <v>845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846</v>
      </c>
    </row>
    <row r="363" spans="1:30" x14ac:dyDescent="0.25">
      <c r="H363" t="s">
        <v>847</v>
      </c>
    </row>
    <row r="364" spans="1:30" x14ac:dyDescent="0.25">
      <c r="A364">
        <v>179</v>
      </c>
      <c r="B364">
        <v>2317</v>
      </c>
      <c r="C364" t="s">
        <v>848</v>
      </c>
      <c r="D364" t="s">
        <v>318</v>
      </c>
      <c r="E364" t="s">
        <v>55</v>
      </c>
      <c r="F364" t="s">
        <v>849</v>
      </c>
      <c r="G364" t="str">
        <f>"00249067"</f>
        <v>00249067</v>
      </c>
      <c r="H364">
        <v>803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1461</v>
      </c>
    </row>
    <row r="365" spans="1:30" x14ac:dyDescent="0.25">
      <c r="H365" t="s">
        <v>850</v>
      </c>
    </row>
    <row r="366" spans="1:30" x14ac:dyDescent="0.25">
      <c r="A366">
        <v>180</v>
      </c>
      <c r="B366">
        <v>2287</v>
      </c>
      <c r="C366" t="s">
        <v>851</v>
      </c>
      <c r="D366" t="s">
        <v>168</v>
      </c>
      <c r="E366" t="s">
        <v>24</v>
      </c>
      <c r="F366" t="s">
        <v>852</v>
      </c>
      <c r="G366" t="str">
        <f>"201410009264"</f>
        <v>201410009264</v>
      </c>
      <c r="H366" t="s">
        <v>853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15</v>
      </c>
      <c r="W366">
        <v>105</v>
      </c>
      <c r="X366">
        <v>0</v>
      </c>
      <c r="Z366">
        <v>2</v>
      </c>
      <c r="AA366">
        <v>0</v>
      </c>
      <c r="AB366">
        <v>22</v>
      </c>
      <c r="AC366">
        <v>374</v>
      </c>
      <c r="AD366" t="s">
        <v>854</v>
      </c>
    </row>
    <row r="367" spans="1:30" x14ac:dyDescent="0.25">
      <c r="H367" t="s">
        <v>855</v>
      </c>
    </row>
    <row r="368" spans="1:30" x14ac:dyDescent="0.25">
      <c r="A368">
        <v>181</v>
      </c>
      <c r="B368">
        <v>541</v>
      </c>
      <c r="C368" t="s">
        <v>856</v>
      </c>
      <c r="D368" t="s">
        <v>857</v>
      </c>
      <c r="E368" t="s">
        <v>359</v>
      </c>
      <c r="F368" t="s">
        <v>858</v>
      </c>
      <c r="G368" t="str">
        <f>"201304001186"</f>
        <v>201304001186</v>
      </c>
      <c r="H368" t="s">
        <v>621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30</v>
      </c>
      <c r="W368">
        <v>210</v>
      </c>
      <c r="X368">
        <v>0</v>
      </c>
      <c r="Z368">
        <v>0</v>
      </c>
      <c r="AA368">
        <v>0</v>
      </c>
      <c r="AB368">
        <v>24</v>
      </c>
      <c r="AC368">
        <v>408</v>
      </c>
      <c r="AD368" t="s">
        <v>859</v>
      </c>
    </row>
    <row r="369" spans="1:30" x14ac:dyDescent="0.25">
      <c r="H369" t="s">
        <v>860</v>
      </c>
    </row>
    <row r="370" spans="1:30" x14ac:dyDescent="0.25">
      <c r="A370">
        <v>182</v>
      </c>
      <c r="B370">
        <v>811</v>
      </c>
      <c r="C370" t="s">
        <v>861</v>
      </c>
      <c r="D370" t="s">
        <v>179</v>
      </c>
      <c r="E370" t="s">
        <v>100</v>
      </c>
      <c r="F370" t="s">
        <v>862</v>
      </c>
      <c r="G370" t="str">
        <f>"201604000606"</f>
        <v>201604000606</v>
      </c>
      <c r="H370">
        <v>1078</v>
      </c>
      <c r="I370">
        <v>150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>
        <v>0</v>
      </c>
      <c r="AB370">
        <v>0</v>
      </c>
      <c r="AC370">
        <v>0</v>
      </c>
      <c r="AD370">
        <v>1458</v>
      </c>
    </row>
    <row r="371" spans="1:30" x14ac:dyDescent="0.25">
      <c r="H371" t="s">
        <v>863</v>
      </c>
    </row>
    <row r="372" spans="1:30" x14ac:dyDescent="0.25">
      <c r="A372">
        <v>183</v>
      </c>
      <c r="B372">
        <v>3008</v>
      </c>
      <c r="C372" t="s">
        <v>864</v>
      </c>
      <c r="D372" t="s">
        <v>179</v>
      </c>
      <c r="E372" t="s">
        <v>34</v>
      </c>
      <c r="F372" t="s">
        <v>865</v>
      </c>
      <c r="G372" t="str">
        <f>"00157555"</f>
        <v>00157555</v>
      </c>
      <c r="H372">
        <v>770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30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1458</v>
      </c>
    </row>
    <row r="373" spans="1:30" x14ac:dyDescent="0.25">
      <c r="H373" t="s">
        <v>866</v>
      </c>
    </row>
    <row r="374" spans="1:30" x14ac:dyDescent="0.25">
      <c r="A374">
        <v>184</v>
      </c>
      <c r="B374">
        <v>846</v>
      </c>
      <c r="C374" t="s">
        <v>867</v>
      </c>
      <c r="D374" t="s">
        <v>158</v>
      </c>
      <c r="E374" t="s">
        <v>24</v>
      </c>
      <c r="F374" t="s">
        <v>868</v>
      </c>
      <c r="G374" t="str">
        <f>"201406007471"</f>
        <v>201406007471</v>
      </c>
      <c r="H374" t="s">
        <v>869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59</v>
      </c>
      <c r="W374">
        <v>413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870</v>
      </c>
    </row>
    <row r="375" spans="1:30" x14ac:dyDescent="0.25">
      <c r="H375" t="s">
        <v>871</v>
      </c>
    </row>
    <row r="376" spans="1:30" x14ac:dyDescent="0.25">
      <c r="A376">
        <v>185</v>
      </c>
      <c r="B376">
        <v>3469</v>
      </c>
      <c r="C376" t="s">
        <v>872</v>
      </c>
      <c r="D376" t="s">
        <v>873</v>
      </c>
      <c r="E376" t="s">
        <v>15</v>
      </c>
      <c r="F376" t="s">
        <v>874</v>
      </c>
      <c r="G376" t="str">
        <f>"00142092"</f>
        <v>00142092</v>
      </c>
      <c r="H376" t="s">
        <v>875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876</v>
      </c>
    </row>
    <row r="377" spans="1:30" x14ac:dyDescent="0.25">
      <c r="H377" t="s">
        <v>877</v>
      </c>
    </row>
    <row r="378" spans="1:30" x14ac:dyDescent="0.25">
      <c r="A378">
        <v>186</v>
      </c>
      <c r="B378">
        <v>5839</v>
      </c>
      <c r="C378" t="s">
        <v>878</v>
      </c>
      <c r="D378" t="s">
        <v>879</v>
      </c>
      <c r="E378" t="s">
        <v>44</v>
      </c>
      <c r="F378" t="s">
        <v>880</v>
      </c>
      <c r="G378" t="str">
        <f>"201402003677"</f>
        <v>201402003677</v>
      </c>
      <c r="H378">
        <v>693</v>
      </c>
      <c r="I378">
        <v>0</v>
      </c>
      <c r="J378">
        <v>0</v>
      </c>
      <c r="K378">
        <v>0</v>
      </c>
      <c r="L378">
        <v>0</v>
      </c>
      <c r="M378">
        <v>100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2</v>
      </c>
      <c r="AA378">
        <v>0</v>
      </c>
      <c r="AB378">
        <v>0</v>
      </c>
      <c r="AC378">
        <v>0</v>
      </c>
      <c r="AD378">
        <v>1451</v>
      </c>
    </row>
    <row r="379" spans="1:30" x14ac:dyDescent="0.25">
      <c r="H379" t="s">
        <v>881</v>
      </c>
    </row>
    <row r="380" spans="1:30" x14ac:dyDescent="0.25">
      <c r="A380">
        <v>187</v>
      </c>
      <c r="B380">
        <v>4484</v>
      </c>
      <c r="C380" t="s">
        <v>882</v>
      </c>
      <c r="D380" t="s">
        <v>883</v>
      </c>
      <c r="E380" t="s">
        <v>220</v>
      </c>
      <c r="F380" t="s">
        <v>884</v>
      </c>
      <c r="G380" t="str">
        <f>"200801009211"</f>
        <v>200801009211</v>
      </c>
      <c r="H380" t="s">
        <v>885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30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886</v>
      </c>
    </row>
    <row r="381" spans="1:30" x14ac:dyDescent="0.25">
      <c r="H381" t="s">
        <v>887</v>
      </c>
    </row>
    <row r="382" spans="1:30" x14ac:dyDescent="0.25">
      <c r="A382">
        <v>188</v>
      </c>
      <c r="B382">
        <v>3963</v>
      </c>
      <c r="C382" t="s">
        <v>888</v>
      </c>
      <c r="D382" t="s">
        <v>23</v>
      </c>
      <c r="E382" t="s">
        <v>44</v>
      </c>
      <c r="F382" t="s">
        <v>889</v>
      </c>
      <c r="G382" t="str">
        <f>"201406006085"</f>
        <v>201406006085</v>
      </c>
      <c r="H382">
        <v>792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1450</v>
      </c>
    </row>
    <row r="383" spans="1:30" x14ac:dyDescent="0.25">
      <c r="H383" t="s">
        <v>890</v>
      </c>
    </row>
    <row r="384" spans="1:30" x14ac:dyDescent="0.25">
      <c r="A384">
        <v>189</v>
      </c>
      <c r="B384">
        <v>1971</v>
      </c>
      <c r="C384" t="s">
        <v>891</v>
      </c>
      <c r="D384" t="s">
        <v>106</v>
      </c>
      <c r="E384" t="s">
        <v>55</v>
      </c>
      <c r="F384" t="s">
        <v>892</v>
      </c>
      <c r="G384" t="str">
        <f>"200805000510"</f>
        <v>200805000510</v>
      </c>
      <c r="H384">
        <v>792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1</v>
      </c>
      <c r="AA384">
        <v>0</v>
      </c>
      <c r="AB384">
        <v>0</v>
      </c>
      <c r="AC384">
        <v>0</v>
      </c>
      <c r="AD384">
        <v>1450</v>
      </c>
    </row>
    <row r="385" spans="1:30" x14ac:dyDescent="0.25">
      <c r="H385" t="s">
        <v>893</v>
      </c>
    </row>
    <row r="386" spans="1:30" x14ac:dyDescent="0.25">
      <c r="A386">
        <v>190</v>
      </c>
      <c r="B386">
        <v>5358</v>
      </c>
      <c r="C386" t="s">
        <v>98</v>
      </c>
      <c r="D386" t="s">
        <v>685</v>
      </c>
      <c r="E386" t="s">
        <v>55</v>
      </c>
      <c r="F386" t="s">
        <v>894</v>
      </c>
      <c r="G386" t="str">
        <f>"00367598"</f>
        <v>00367598</v>
      </c>
      <c r="H386" t="s">
        <v>895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77</v>
      </c>
      <c r="W386">
        <v>539</v>
      </c>
      <c r="X386">
        <v>0</v>
      </c>
      <c r="Z386">
        <v>0</v>
      </c>
      <c r="AA386">
        <v>0</v>
      </c>
      <c r="AB386">
        <v>7</v>
      </c>
      <c r="AC386">
        <v>119</v>
      </c>
      <c r="AD386" t="s">
        <v>896</v>
      </c>
    </row>
    <row r="387" spans="1:30" x14ac:dyDescent="0.25">
      <c r="H387" t="s">
        <v>897</v>
      </c>
    </row>
    <row r="388" spans="1:30" x14ac:dyDescent="0.25">
      <c r="A388">
        <v>191</v>
      </c>
      <c r="B388">
        <v>5962</v>
      </c>
      <c r="C388" t="s">
        <v>898</v>
      </c>
      <c r="D388" t="s">
        <v>168</v>
      </c>
      <c r="E388" t="s">
        <v>34</v>
      </c>
      <c r="F388" t="s">
        <v>899</v>
      </c>
      <c r="G388" t="str">
        <f>"201406003942"</f>
        <v>201406003942</v>
      </c>
      <c r="H388" t="s">
        <v>47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900</v>
      </c>
    </row>
    <row r="389" spans="1:30" x14ac:dyDescent="0.25">
      <c r="H389" t="s">
        <v>901</v>
      </c>
    </row>
    <row r="390" spans="1:30" x14ac:dyDescent="0.25">
      <c r="A390">
        <v>192</v>
      </c>
      <c r="B390">
        <v>5618</v>
      </c>
      <c r="C390" t="s">
        <v>902</v>
      </c>
      <c r="D390" t="s">
        <v>179</v>
      </c>
      <c r="E390" t="s">
        <v>44</v>
      </c>
      <c r="F390" t="s">
        <v>903</v>
      </c>
      <c r="G390" t="str">
        <f>"00327540"</f>
        <v>00327540</v>
      </c>
      <c r="H390">
        <v>825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1443</v>
      </c>
    </row>
    <row r="391" spans="1:30" x14ac:dyDescent="0.25">
      <c r="H391" t="s">
        <v>904</v>
      </c>
    </row>
    <row r="392" spans="1:30" x14ac:dyDescent="0.25">
      <c r="A392">
        <v>193</v>
      </c>
      <c r="B392">
        <v>267</v>
      </c>
      <c r="C392" t="s">
        <v>905</v>
      </c>
      <c r="D392" t="s">
        <v>906</v>
      </c>
      <c r="E392" t="s">
        <v>278</v>
      </c>
      <c r="F392" t="s">
        <v>907</v>
      </c>
      <c r="G392" t="str">
        <f>"00285632"</f>
        <v>00285632</v>
      </c>
      <c r="H392">
        <v>748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31</v>
      </c>
      <c r="W392">
        <v>217</v>
      </c>
      <c r="X392">
        <v>0</v>
      </c>
      <c r="Z392">
        <v>0</v>
      </c>
      <c r="AA392">
        <v>0</v>
      </c>
      <c r="AB392">
        <v>24</v>
      </c>
      <c r="AC392">
        <v>408</v>
      </c>
      <c r="AD392">
        <v>1443</v>
      </c>
    </row>
    <row r="393" spans="1:30" x14ac:dyDescent="0.25">
      <c r="H393" t="s">
        <v>908</v>
      </c>
    </row>
    <row r="394" spans="1:30" x14ac:dyDescent="0.25">
      <c r="A394">
        <v>194</v>
      </c>
      <c r="B394">
        <v>3022</v>
      </c>
      <c r="C394" t="s">
        <v>909</v>
      </c>
      <c r="D394" t="s">
        <v>210</v>
      </c>
      <c r="E394" t="s">
        <v>28</v>
      </c>
      <c r="F394" t="s">
        <v>910</v>
      </c>
      <c r="G394" t="str">
        <f>"00199339"</f>
        <v>00199339</v>
      </c>
      <c r="H394" t="s">
        <v>794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49</v>
      </c>
      <c r="W394">
        <v>343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911</v>
      </c>
    </row>
    <row r="395" spans="1:30" x14ac:dyDescent="0.25">
      <c r="H395" t="s">
        <v>912</v>
      </c>
    </row>
    <row r="396" spans="1:30" x14ac:dyDescent="0.25">
      <c r="A396">
        <v>195</v>
      </c>
      <c r="B396">
        <v>3946</v>
      </c>
      <c r="C396" t="s">
        <v>913</v>
      </c>
      <c r="D396" t="s">
        <v>154</v>
      </c>
      <c r="E396" t="s">
        <v>107</v>
      </c>
      <c r="F396" t="s">
        <v>914</v>
      </c>
      <c r="G396" t="str">
        <f>"00199050"</f>
        <v>00199050</v>
      </c>
      <c r="H396">
        <v>770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79</v>
      </c>
      <c r="W396">
        <v>553</v>
      </c>
      <c r="X396">
        <v>0</v>
      </c>
      <c r="Z396">
        <v>0</v>
      </c>
      <c r="AA396">
        <v>0</v>
      </c>
      <c r="AB396">
        <v>5</v>
      </c>
      <c r="AC396">
        <v>85</v>
      </c>
      <c r="AD396">
        <v>1438</v>
      </c>
    </row>
    <row r="397" spans="1:30" x14ac:dyDescent="0.25">
      <c r="H397" t="s">
        <v>915</v>
      </c>
    </row>
    <row r="398" spans="1:30" x14ac:dyDescent="0.25">
      <c r="A398">
        <v>196</v>
      </c>
      <c r="B398">
        <v>55</v>
      </c>
      <c r="C398" t="s">
        <v>535</v>
      </c>
      <c r="D398" t="s">
        <v>916</v>
      </c>
      <c r="E398" t="s">
        <v>93</v>
      </c>
      <c r="F398" t="s">
        <v>917</v>
      </c>
      <c r="G398" t="str">
        <f>"200802006033"</f>
        <v>200802006033</v>
      </c>
      <c r="H398" t="s">
        <v>398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72</v>
      </c>
      <c r="W398">
        <v>504</v>
      </c>
      <c r="X398">
        <v>0</v>
      </c>
      <c r="Z398">
        <v>0</v>
      </c>
      <c r="AA398">
        <v>0</v>
      </c>
      <c r="AB398">
        <v>5</v>
      </c>
      <c r="AC398">
        <v>85</v>
      </c>
      <c r="AD398" t="s">
        <v>918</v>
      </c>
    </row>
    <row r="399" spans="1:30" x14ac:dyDescent="0.25">
      <c r="H399" t="s">
        <v>919</v>
      </c>
    </row>
    <row r="400" spans="1:30" x14ac:dyDescent="0.25">
      <c r="A400">
        <v>197</v>
      </c>
      <c r="B400">
        <v>4917</v>
      </c>
      <c r="C400" t="s">
        <v>920</v>
      </c>
      <c r="D400" t="s">
        <v>185</v>
      </c>
      <c r="E400" t="s">
        <v>122</v>
      </c>
      <c r="F400" t="s">
        <v>921</v>
      </c>
      <c r="G400" t="str">
        <f>"00351187"</f>
        <v>00351187</v>
      </c>
      <c r="H400" t="s">
        <v>398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922</v>
      </c>
    </row>
    <row r="401" spans="1:30" x14ac:dyDescent="0.25">
      <c r="H401" t="s">
        <v>923</v>
      </c>
    </row>
    <row r="402" spans="1:30" x14ac:dyDescent="0.25">
      <c r="A402">
        <v>198</v>
      </c>
      <c r="B402">
        <v>280</v>
      </c>
      <c r="C402" t="s">
        <v>924</v>
      </c>
      <c r="D402" t="s">
        <v>185</v>
      </c>
      <c r="E402" t="s">
        <v>146</v>
      </c>
      <c r="F402" t="s">
        <v>925</v>
      </c>
      <c r="G402" t="str">
        <f>"201303000181"</f>
        <v>201303000181</v>
      </c>
      <c r="H402">
        <v>748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1436</v>
      </c>
    </row>
    <row r="403" spans="1:30" x14ac:dyDescent="0.25">
      <c r="H403" t="s">
        <v>926</v>
      </c>
    </row>
    <row r="404" spans="1:30" x14ac:dyDescent="0.25">
      <c r="A404">
        <v>199</v>
      </c>
      <c r="B404">
        <v>5086</v>
      </c>
      <c r="C404" t="s">
        <v>927</v>
      </c>
      <c r="D404" t="s">
        <v>319</v>
      </c>
      <c r="E404" t="s">
        <v>55</v>
      </c>
      <c r="F404" t="s">
        <v>928</v>
      </c>
      <c r="G404" t="str">
        <f>"00190179"</f>
        <v>00190179</v>
      </c>
      <c r="H404" t="s">
        <v>929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930</v>
      </c>
    </row>
    <row r="405" spans="1:30" x14ac:dyDescent="0.25">
      <c r="H405" t="s">
        <v>931</v>
      </c>
    </row>
    <row r="406" spans="1:30" x14ac:dyDescent="0.25">
      <c r="A406">
        <v>200</v>
      </c>
      <c r="B406">
        <v>6140</v>
      </c>
      <c r="C406" t="s">
        <v>932</v>
      </c>
      <c r="D406" t="s">
        <v>771</v>
      </c>
      <c r="E406" t="s">
        <v>122</v>
      </c>
      <c r="F406" t="s">
        <v>933</v>
      </c>
      <c r="G406" t="str">
        <f>"201406012888"</f>
        <v>201406012888</v>
      </c>
      <c r="H406">
        <v>814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1432</v>
      </c>
    </row>
    <row r="407" spans="1:30" x14ac:dyDescent="0.25">
      <c r="H407" t="s">
        <v>934</v>
      </c>
    </row>
    <row r="408" spans="1:30" x14ac:dyDescent="0.25">
      <c r="A408">
        <v>201</v>
      </c>
      <c r="B408">
        <v>4243</v>
      </c>
      <c r="C408" t="s">
        <v>935</v>
      </c>
      <c r="D408" t="s">
        <v>185</v>
      </c>
      <c r="E408" t="s">
        <v>936</v>
      </c>
      <c r="F408" t="s">
        <v>937</v>
      </c>
      <c r="G408" t="str">
        <f>"00255587"</f>
        <v>00255587</v>
      </c>
      <c r="H408">
        <v>814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1432</v>
      </c>
    </row>
    <row r="409" spans="1:30" x14ac:dyDescent="0.25">
      <c r="H409" t="s">
        <v>938</v>
      </c>
    </row>
    <row r="410" spans="1:30" x14ac:dyDescent="0.25">
      <c r="A410">
        <v>202</v>
      </c>
      <c r="B410">
        <v>1951</v>
      </c>
      <c r="C410" t="s">
        <v>939</v>
      </c>
      <c r="D410" t="s">
        <v>185</v>
      </c>
      <c r="E410" t="s">
        <v>44</v>
      </c>
      <c r="F410" t="s">
        <v>940</v>
      </c>
      <c r="G410" t="str">
        <f>"201406005367"</f>
        <v>201406005367</v>
      </c>
      <c r="H410" t="s">
        <v>941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50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44</v>
      </c>
      <c r="W410">
        <v>308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942</v>
      </c>
    </row>
    <row r="411" spans="1:30" x14ac:dyDescent="0.25">
      <c r="H411" t="s">
        <v>943</v>
      </c>
    </row>
    <row r="412" spans="1:30" x14ac:dyDescent="0.25">
      <c r="A412">
        <v>203</v>
      </c>
      <c r="B412">
        <v>4002</v>
      </c>
      <c r="C412" t="s">
        <v>944</v>
      </c>
      <c r="D412" t="s">
        <v>28</v>
      </c>
      <c r="E412" t="s">
        <v>29</v>
      </c>
      <c r="F412" t="s">
        <v>945</v>
      </c>
      <c r="G412" t="str">
        <f>"201406014810"</f>
        <v>201406014810</v>
      </c>
      <c r="H412" t="s">
        <v>946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68</v>
      </c>
      <c r="W412">
        <v>476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947</v>
      </c>
    </row>
    <row r="413" spans="1:30" x14ac:dyDescent="0.25">
      <c r="H413" t="s">
        <v>948</v>
      </c>
    </row>
    <row r="414" spans="1:30" x14ac:dyDescent="0.25">
      <c r="A414">
        <v>204</v>
      </c>
      <c r="B414">
        <v>21</v>
      </c>
      <c r="C414" t="s">
        <v>949</v>
      </c>
      <c r="D414" t="s">
        <v>246</v>
      </c>
      <c r="E414" t="s">
        <v>15</v>
      </c>
      <c r="F414" t="s">
        <v>950</v>
      </c>
      <c r="G414" t="str">
        <f>"00296787"</f>
        <v>00296787</v>
      </c>
      <c r="H414" t="s">
        <v>951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47</v>
      </c>
      <c r="W414">
        <v>329</v>
      </c>
      <c r="X414">
        <v>0</v>
      </c>
      <c r="Z414">
        <v>0</v>
      </c>
      <c r="AA414">
        <v>0</v>
      </c>
      <c r="AB414">
        <v>19</v>
      </c>
      <c r="AC414">
        <v>323</v>
      </c>
      <c r="AD414" t="s">
        <v>952</v>
      </c>
    </row>
    <row r="415" spans="1:30" x14ac:dyDescent="0.25">
      <c r="H415" t="s">
        <v>953</v>
      </c>
    </row>
    <row r="416" spans="1:30" x14ac:dyDescent="0.25">
      <c r="A416">
        <v>205</v>
      </c>
      <c r="B416">
        <v>1693</v>
      </c>
      <c r="C416" t="s">
        <v>954</v>
      </c>
      <c r="D416" t="s">
        <v>23</v>
      </c>
      <c r="E416" t="s">
        <v>289</v>
      </c>
      <c r="F416" t="s">
        <v>955</v>
      </c>
      <c r="G416" t="str">
        <f>"201402006654"</f>
        <v>201402006654</v>
      </c>
      <c r="H416" t="s">
        <v>956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1</v>
      </c>
      <c r="AA416">
        <v>0</v>
      </c>
      <c r="AB416">
        <v>0</v>
      </c>
      <c r="AC416">
        <v>0</v>
      </c>
      <c r="AD416" t="s">
        <v>957</v>
      </c>
    </row>
    <row r="417" spans="1:30" x14ac:dyDescent="0.25">
      <c r="H417" t="s">
        <v>958</v>
      </c>
    </row>
    <row r="418" spans="1:30" x14ac:dyDescent="0.25">
      <c r="A418">
        <v>206</v>
      </c>
      <c r="B418">
        <v>2109</v>
      </c>
      <c r="C418" t="s">
        <v>959</v>
      </c>
      <c r="D418" t="s">
        <v>23</v>
      </c>
      <c r="E418" t="s">
        <v>28</v>
      </c>
      <c r="F418" t="s">
        <v>960</v>
      </c>
      <c r="G418" t="str">
        <f>"201406007501"</f>
        <v>201406007501</v>
      </c>
      <c r="H418" t="s">
        <v>961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49</v>
      </c>
      <c r="W418">
        <v>343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962</v>
      </c>
    </row>
    <row r="419" spans="1:30" x14ac:dyDescent="0.25">
      <c r="H419" t="s">
        <v>963</v>
      </c>
    </row>
    <row r="420" spans="1:30" x14ac:dyDescent="0.25">
      <c r="A420">
        <v>207</v>
      </c>
      <c r="B420">
        <v>2938</v>
      </c>
      <c r="C420" t="s">
        <v>964</v>
      </c>
      <c r="D420" t="s">
        <v>246</v>
      </c>
      <c r="E420" t="s">
        <v>34</v>
      </c>
      <c r="F420" t="s">
        <v>965</v>
      </c>
      <c r="G420" t="str">
        <f>"201405001737"</f>
        <v>201405001737</v>
      </c>
      <c r="H420">
        <v>825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47</v>
      </c>
      <c r="W420">
        <v>329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1424</v>
      </c>
    </row>
    <row r="421" spans="1:30" x14ac:dyDescent="0.25">
      <c r="H421" t="s">
        <v>966</v>
      </c>
    </row>
    <row r="422" spans="1:30" x14ac:dyDescent="0.25">
      <c r="A422">
        <v>208</v>
      </c>
      <c r="B422">
        <v>3248</v>
      </c>
      <c r="C422" t="s">
        <v>967</v>
      </c>
      <c r="D422" t="s">
        <v>968</v>
      </c>
      <c r="E422" t="s">
        <v>107</v>
      </c>
      <c r="F422" t="s">
        <v>969</v>
      </c>
      <c r="G422" t="str">
        <f>"201402009805"</f>
        <v>201402009805</v>
      </c>
      <c r="H422" t="s">
        <v>970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971</v>
      </c>
    </row>
    <row r="423" spans="1:30" x14ac:dyDescent="0.25">
      <c r="H423" t="s">
        <v>972</v>
      </c>
    </row>
    <row r="424" spans="1:30" x14ac:dyDescent="0.25">
      <c r="A424">
        <v>209</v>
      </c>
      <c r="B424">
        <v>5843</v>
      </c>
      <c r="C424" t="s">
        <v>973</v>
      </c>
      <c r="D424" t="s">
        <v>23</v>
      </c>
      <c r="E424" t="s">
        <v>34</v>
      </c>
      <c r="F424" t="s">
        <v>974</v>
      </c>
      <c r="G424" t="str">
        <f>"00069856"</f>
        <v>00069856</v>
      </c>
      <c r="H424">
        <v>836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58</v>
      </c>
      <c r="W424">
        <v>406</v>
      </c>
      <c r="X424">
        <v>0</v>
      </c>
      <c r="Z424">
        <v>1</v>
      </c>
      <c r="AA424">
        <v>0</v>
      </c>
      <c r="AB424">
        <v>0</v>
      </c>
      <c r="AC424">
        <v>0</v>
      </c>
      <c r="AD424">
        <v>1422</v>
      </c>
    </row>
    <row r="425" spans="1:30" x14ac:dyDescent="0.25">
      <c r="H425" t="s">
        <v>975</v>
      </c>
    </row>
    <row r="426" spans="1:30" x14ac:dyDescent="0.25">
      <c r="A426">
        <v>210</v>
      </c>
      <c r="B426">
        <v>3996</v>
      </c>
      <c r="C426" t="s">
        <v>976</v>
      </c>
      <c r="D426" t="s">
        <v>246</v>
      </c>
      <c r="E426" t="s">
        <v>977</v>
      </c>
      <c r="F426" t="s">
        <v>978</v>
      </c>
      <c r="G426" t="str">
        <f>"201409002580"</f>
        <v>201409002580</v>
      </c>
      <c r="H426">
        <v>803</v>
      </c>
      <c r="I426">
        <v>150</v>
      </c>
      <c r="J426">
        <v>0</v>
      </c>
      <c r="K426">
        <v>0</v>
      </c>
      <c r="L426">
        <v>200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34</v>
      </c>
      <c r="W426">
        <v>238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1421</v>
      </c>
    </row>
    <row r="427" spans="1:30" x14ac:dyDescent="0.25">
      <c r="H427" t="s">
        <v>979</v>
      </c>
    </row>
    <row r="428" spans="1:30" x14ac:dyDescent="0.25">
      <c r="A428">
        <v>211</v>
      </c>
      <c r="B428">
        <v>4144</v>
      </c>
      <c r="C428" t="s">
        <v>980</v>
      </c>
      <c r="D428" t="s">
        <v>981</v>
      </c>
      <c r="E428" t="s">
        <v>262</v>
      </c>
      <c r="F428" t="s">
        <v>982</v>
      </c>
      <c r="G428" t="str">
        <f>"200810001064"</f>
        <v>200810001064</v>
      </c>
      <c r="H428">
        <v>803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1421</v>
      </c>
    </row>
    <row r="429" spans="1:30" x14ac:dyDescent="0.25">
      <c r="H429" t="s">
        <v>983</v>
      </c>
    </row>
    <row r="430" spans="1:30" x14ac:dyDescent="0.25">
      <c r="A430">
        <v>212</v>
      </c>
      <c r="B430">
        <v>5511</v>
      </c>
      <c r="C430" t="s">
        <v>984</v>
      </c>
      <c r="D430" t="s">
        <v>985</v>
      </c>
      <c r="E430" t="s">
        <v>330</v>
      </c>
      <c r="F430" t="s">
        <v>986</v>
      </c>
      <c r="G430" t="str">
        <f>"00202960"</f>
        <v>00202960</v>
      </c>
      <c r="H430">
        <v>803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1421</v>
      </c>
    </row>
    <row r="431" spans="1:30" x14ac:dyDescent="0.25">
      <c r="H431" t="s">
        <v>987</v>
      </c>
    </row>
    <row r="432" spans="1:30" x14ac:dyDescent="0.25">
      <c r="A432">
        <v>213</v>
      </c>
      <c r="B432">
        <v>3803</v>
      </c>
      <c r="C432" t="s">
        <v>988</v>
      </c>
      <c r="D432" t="s">
        <v>989</v>
      </c>
      <c r="E432" t="s">
        <v>319</v>
      </c>
      <c r="F432" t="s">
        <v>990</v>
      </c>
      <c r="G432" t="str">
        <f>"201311000415"</f>
        <v>201311000415</v>
      </c>
      <c r="H432">
        <v>803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1421</v>
      </c>
    </row>
    <row r="433" spans="1:30" x14ac:dyDescent="0.25">
      <c r="H433" t="s">
        <v>991</v>
      </c>
    </row>
    <row r="434" spans="1:30" x14ac:dyDescent="0.25">
      <c r="A434">
        <v>214</v>
      </c>
      <c r="B434">
        <v>2433</v>
      </c>
      <c r="C434" t="s">
        <v>992</v>
      </c>
      <c r="D434" t="s">
        <v>993</v>
      </c>
      <c r="E434" t="s">
        <v>55</v>
      </c>
      <c r="F434" t="s">
        <v>994</v>
      </c>
      <c r="G434" t="str">
        <f>"00140026"</f>
        <v>00140026</v>
      </c>
      <c r="H434" t="s">
        <v>995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996</v>
      </c>
    </row>
    <row r="435" spans="1:30" x14ac:dyDescent="0.25">
      <c r="H435" t="s">
        <v>997</v>
      </c>
    </row>
    <row r="436" spans="1:30" x14ac:dyDescent="0.25">
      <c r="A436">
        <v>215</v>
      </c>
      <c r="B436">
        <v>845</v>
      </c>
      <c r="C436" t="s">
        <v>867</v>
      </c>
      <c r="D436" t="s">
        <v>998</v>
      </c>
      <c r="E436" t="s">
        <v>24</v>
      </c>
      <c r="F436" t="s">
        <v>999</v>
      </c>
      <c r="G436" t="str">
        <f>"201406007481"</f>
        <v>201406007481</v>
      </c>
      <c r="H436" t="s">
        <v>1000</v>
      </c>
      <c r="I436">
        <v>150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48</v>
      </c>
      <c r="W436">
        <v>336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1001</v>
      </c>
    </row>
    <row r="437" spans="1:30" x14ac:dyDescent="0.25">
      <c r="H437" t="s">
        <v>1002</v>
      </c>
    </row>
    <row r="438" spans="1:30" x14ac:dyDescent="0.25">
      <c r="A438">
        <v>216</v>
      </c>
      <c r="B438">
        <v>5954</v>
      </c>
      <c r="C438" t="s">
        <v>1003</v>
      </c>
      <c r="D438" t="s">
        <v>1004</v>
      </c>
      <c r="E438" t="s">
        <v>1005</v>
      </c>
      <c r="F438" t="s">
        <v>1006</v>
      </c>
      <c r="G438" t="str">
        <f>"00362469"</f>
        <v>00362469</v>
      </c>
      <c r="H438" t="s">
        <v>388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</v>
      </c>
      <c r="W438">
        <v>7</v>
      </c>
      <c r="X438">
        <v>0</v>
      </c>
      <c r="Z438">
        <v>0</v>
      </c>
      <c r="AA438">
        <v>0</v>
      </c>
      <c r="AB438">
        <v>24</v>
      </c>
      <c r="AC438">
        <v>408</v>
      </c>
      <c r="AD438" t="s">
        <v>1007</v>
      </c>
    </row>
    <row r="439" spans="1:30" x14ac:dyDescent="0.25">
      <c r="H439" t="s">
        <v>1008</v>
      </c>
    </row>
    <row r="440" spans="1:30" x14ac:dyDescent="0.25">
      <c r="A440">
        <v>217</v>
      </c>
      <c r="B440">
        <v>123</v>
      </c>
      <c r="C440" t="s">
        <v>1009</v>
      </c>
      <c r="D440" t="s">
        <v>761</v>
      </c>
      <c r="E440" t="s">
        <v>24</v>
      </c>
      <c r="F440" t="s">
        <v>1010</v>
      </c>
      <c r="G440" t="str">
        <f>"200712003150"</f>
        <v>200712003150</v>
      </c>
      <c r="H440">
        <v>847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30</v>
      </c>
      <c r="R440">
        <v>0</v>
      </c>
      <c r="S440">
        <v>0</v>
      </c>
      <c r="T440">
        <v>0</v>
      </c>
      <c r="U440">
        <v>0</v>
      </c>
      <c r="V440">
        <v>73</v>
      </c>
      <c r="W440">
        <v>511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1418</v>
      </c>
    </row>
    <row r="441" spans="1:30" x14ac:dyDescent="0.25">
      <c r="H441" t="s">
        <v>1011</v>
      </c>
    </row>
    <row r="442" spans="1:30" x14ac:dyDescent="0.25">
      <c r="A442">
        <v>218</v>
      </c>
      <c r="B442">
        <v>2732</v>
      </c>
      <c r="C442" t="s">
        <v>1012</v>
      </c>
      <c r="D442" t="s">
        <v>1013</v>
      </c>
      <c r="E442" t="s">
        <v>107</v>
      </c>
      <c r="F442" t="s">
        <v>1014</v>
      </c>
      <c r="G442" t="str">
        <f>"00200334"</f>
        <v>00200334</v>
      </c>
      <c r="H442">
        <v>759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1417</v>
      </c>
    </row>
    <row r="443" spans="1:30" x14ac:dyDescent="0.25">
      <c r="H443" t="s">
        <v>1015</v>
      </c>
    </row>
    <row r="444" spans="1:30" x14ac:dyDescent="0.25">
      <c r="A444">
        <v>219</v>
      </c>
      <c r="B444">
        <v>2363</v>
      </c>
      <c r="C444" t="s">
        <v>1016</v>
      </c>
      <c r="D444" t="s">
        <v>1017</v>
      </c>
      <c r="E444" t="s">
        <v>93</v>
      </c>
      <c r="F444" t="s">
        <v>1018</v>
      </c>
      <c r="G444" t="str">
        <f>"200802007889"</f>
        <v>200802007889</v>
      </c>
      <c r="H444">
        <v>759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1417</v>
      </c>
    </row>
    <row r="445" spans="1:30" x14ac:dyDescent="0.25">
      <c r="H445" t="s">
        <v>1019</v>
      </c>
    </row>
    <row r="446" spans="1:30" x14ac:dyDescent="0.25">
      <c r="A446">
        <v>220</v>
      </c>
      <c r="B446">
        <v>6226</v>
      </c>
      <c r="C446" t="s">
        <v>1020</v>
      </c>
      <c r="D446" t="s">
        <v>76</v>
      </c>
      <c r="E446" t="s">
        <v>15</v>
      </c>
      <c r="F446" t="s">
        <v>1021</v>
      </c>
      <c r="G446" t="str">
        <f>"200805000679"</f>
        <v>200805000679</v>
      </c>
      <c r="H446">
        <v>759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1417</v>
      </c>
    </row>
    <row r="447" spans="1:30" x14ac:dyDescent="0.25">
      <c r="H447" t="s">
        <v>1022</v>
      </c>
    </row>
    <row r="448" spans="1:30" x14ac:dyDescent="0.25">
      <c r="A448">
        <v>221</v>
      </c>
      <c r="B448">
        <v>3097</v>
      </c>
      <c r="C448" t="s">
        <v>1023</v>
      </c>
      <c r="D448" t="s">
        <v>33</v>
      </c>
      <c r="E448" t="s">
        <v>44</v>
      </c>
      <c r="F448" t="s">
        <v>1024</v>
      </c>
      <c r="G448" t="str">
        <f>"200905000437"</f>
        <v>200905000437</v>
      </c>
      <c r="H448">
        <v>748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50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1</v>
      </c>
      <c r="AA448">
        <v>0</v>
      </c>
      <c r="AB448">
        <v>0</v>
      </c>
      <c r="AC448">
        <v>0</v>
      </c>
      <c r="AD448">
        <v>1416</v>
      </c>
    </row>
    <row r="449" spans="1:30" x14ac:dyDescent="0.25">
      <c r="H449" t="s">
        <v>1025</v>
      </c>
    </row>
    <row r="450" spans="1:30" x14ac:dyDescent="0.25">
      <c r="A450">
        <v>222</v>
      </c>
      <c r="B450">
        <v>3473</v>
      </c>
      <c r="C450" t="s">
        <v>1026</v>
      </c>
      <c r="D450" t="s">
        <v>185</v>
      </c>
      <c r="E450" t="s">
        <v>24</v>
      </c>
      <c r="F450" t="s">
        <v>1027</v>
      </c>
      <c r="G450" t="str">
        <f>"201506001198"</f>
        <v>201506001198</v>
      </c>
      <c r="H450">
        <v>748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50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1416</v>
      </c>
    </row>
    <row r="451" spans="1:30" x14ac:dyDescent="0.25">
      <c r="H451" t="s">
        <v>1028</v>
      </c>
    </row>
    <row r="452" spans="1:30" x14ac:dyDescent="0.25">
      <c r="A452">
        <v>223</v>
      </c>
      <c r="B452">
        <v>3000</v>
      </c>
      <c r="C452" t="s">
        <v>1029</v>
      </c>
      <c r="D452" t="s">
        <v>1030</v>
      </c>
      <c r="E452" t="s">
        <v>34</v>
      </c>
      <c r="F452" t="s">
        <v>1031</v>
      </c>
      <c r="G452" t="str">
        <f>"201406010136"</f>
        <v>201406010136</v>
      </c>
      <c r="H452">
        <v>748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79</v>
      </c>
      <c r="W452">
        <v>553</v>
      </c>
      <c r="X452">
        <v>0</v>
      </c>
      <c r="Z452">
        <v>0</v>
      </c>
      <c r="AA452">
        <v>0</v>
      </c>
      <c r="AB452">
        <v>5</v>
      </c>
      <c r="AC452">
        <v>85</v>
      </c>
      <c r="AD452">
        <v>1416</v>
      </c>
    </row>
    <row r="453" spans="1:30" x14ac:dyDescent="0.25">
      <c r="H453" t="s">
        <v>1032</v>
      </c>
    </row>
    <row r="454" spans="1:30" x14ac:dyDescent="0.25">
      <c r="A454">
        <v>224</v>
      </c>
      <c r="B454">
        <v>4731</v>
      </c>
      <c r="C454" t="s">
        <v>1033</v>
      </c>
      <c r="D454" t="s">
        <v>883</v>
      </c>
      <c r="E454" t="s">
        <v>416</v>
      </c>
      <c r="F454" t="s">
        <v>1034</v>
      </c>
      <c r="G454" t="str">
        <f>"200803000728"</f>
        <v>200803000728</v>
      </c>
      <c r="H454" t="s">
        <v>817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81</v>
      </c>
      <c r="W454">
        <v>567</v>
      </c>
      <c r="X454">
        <v>0</v>
      </c>
      <c r="Z454">
        <v>1</v>
      </c>
      <c r="AA454">
        <v>0</v>
      </c>
      <c r="AB454">
        <v>0</v>
      </c>
      <c r="AC454">
        <v>0</v>
      </c>
      <c r="AD454" t="s">
        <v>1035</v>
      </c>
    </row>
    <row r="455" spans="1:30" x14ac:dyDescent="0.25">
      <c r="H455" t="s">
        <v>1036</v>
      </c>
    </row>
    <row r="456" spans="1:30" x14ac:dyDescent="0.25">
      <c r="A456">
        <v>225</v>
      </c>
      <c r="B456">
        <v>973</v>
      </c>
      <c r="C456" t="s">
        <v>1037</v>
      </c>
      <c r="D456" t="s">
        <v>318</v>
      </c>
      <c r="E456" t="s">
        <v>44</v>
      </c>
      <c r="F456" t="s">
        <v>1038</v>
      </c>
      <c r="G456" t="str">
        <f>"201309000019"</f>
        <v>201309000019</v>
      </c>
      <c r="H456" t="s">
        <v>58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50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54</v>
      </c>
      <c r="W456">
        <v>378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1039</v>
      </c>
    </row>
    <row r="457" spans="1:30" x14ac:dyDescent="0.25">
      <c r="H457" t="s">
        <v>1040</v>
      </c>
    </row>
    <row r="458" spans="1:30" x14ac:dyDescent="0.25">
      <c r="A458">
        <v>226</v>
      </c>
      <c r="B458">
        <v>4268</v>
      </c>
      <c r="C458" t="s">
        <v>1041</v>
      </c>
      <c r="D458" t="s">
        <v>1042</v>
      </c>
      <c r="E458" t="s">
        <v>307</v>
      </c>
      <c r="F458" t="s">
        <v>1043</v>
      </c>
      <c r="G458" t="str">
        <f>"00344757"</f>
        <v>00344757</v>
      </c>
      <c r="H458">
        <v>715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37</v>
      </c>
      <c r="W458">
        <v>259</v>
      </c>
      <c r="X458">
        <v>0</v>
      </c>
      <c r="Z458">
        <v>0</v>
      </c>
      <c r="AA458">
        <v>0</v>
      </c>
      <c r="AB458">
        <v>24</v>
      </c>
      <c r="AC458">
        <v>408</v>
      </c>
      <c r="AD458">
        <v>1412</v>
      </c>
    </row>
    <row r="459" spans="1:30" x14ac:dyDescent="0.25">
      <c r="H459" t="s">
        <v>1044</v>
      </c>
    </row>
    <row r="460" spans="1:30" x14ac:dyDescent="0.25">
      <c r="A460">
        <v>227</v>
      </c>
      <c r="B460">
        <v>241</v>
      </c>
      <c r="C460" t="s">
        <v>1045</v>
      </c>
      <c r="D460" t="s">
        <v>392</v>
      </c>
      <c r="E460" t="s">
        <v>146</v>
      </c>
      <c r="F460" t="s">
        <v>1046</v>
      </c>
      <c r="G460" t="str">
        <f>"200801006740"</f>
        <v>200801006740</v>
      </c>
      <c r="H460">
        <v>693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76</v>
      </c>
      <c r="W460">
        <v>532</v>
      </c>
      <c r="X460">
        <v>0</v>
      </c>
      <c r="Z460">
        <v>0</v>
      </c>
      <c r="AA460">
        <v>0</v>
      </c>
      <c r="AB460">
        <v>8</v>
      </c>
      <c r="AC460">
        <v>136</v>
      </c>
      <c r="AD460">
        <v>1411</v>
      </c>
    </row>
    <row r="461" spans="1:30" x14ac:dyDescent="0.25">
      <c r="H461" t="s">
        <v>1047</v>
      </c>
    </row>
    <row r="462" spans="1:30" x14ac:dyDescent="0.25">
      <c r="A462">
        <v>228</v>
      </c>
      <c r="B462">
        <v>5304</v>
      </c>
      <c r="C462" t="s">
        <v>1048</v>
      </c>
      <c r="D462" t="s">
        <v>28</v>
      </c>
      <c r="E462" t="s">
        <v>107</v>
      </c>
      <c r="F462" t="s">
        <v>1049</v>
      </c>
      <c r="G462" t="str">
        <f>"00359255"</f>
        <v>00359255</v>
      </c>
      <c r="H462" t="s">
        <v>711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45</v>
      </c>
      <c r="W462">
        <v>315</v>
      </c>
      <c r="X462">
        <v>0</v>
      </c>
      <c r="Z462">
        <v>0</v>
      </c>
      <c r="AA462">
        <v>0</v>
      </c>
      <c r="AB462">
        <v>24</v>
      </c>
      <c r="AC462">
        <v>408</v>
      </c>
      <c r="AD462" t="s">
        <v>1050</v>
      </c>
    </row>
    <row r="463" spans="1:30" x14ac:dyDescent="0.25">
      <c r="H463" t="s">
        <v>1051</v>
      </c>
    </row>
    <row r="464" spans="1:30" x14ac:dyDescent="0.25">
      <c r="A464">
        <v>229</v>
      </c>
      <c r="B464">
        <v>4143</v>
      </c>
      <c r="C464" t="s">
        <v>1052</v>
      </c>
      <c r="D464" t="s">
        <v>688</v>
      </c>
      <c r="E464" t="s">
        <v>262</v>
      </c>
      <c r="F464" t="s">
        <v>1053</v>
      </c>
      <c r="G464" t="str">
        <f>"00343661"</f>
        <v>00343661</v>
      </c>
      <c r="H464">
        <v>792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2</v>
      </c>
      <c r="AA464">
        <v>0</v>
      </c>
      <c r="AB464">
        <v>0</v>
      </c>
      <c r="AC464">
        <v>0</v>
      </c>
      <c r="AD464">
        <v>1410</v>
      </c>
    </row>
    <row r="465" spans="1:30" x14ac:dyDescent="0.25">
      <c r="H465" t="s">
        <v>1054</v>
      </c>
    </row>
    <row r="466" spans="1:30" x14ac:dyDescent="0.25">
      <c r="A466">
        <v>230</v>
      </c>
      <c r="B466">
        <v>5292</v>
      </c>
      <c r="C466" t="s">
        <v>1055</v>
      </c>
      <c r="D466" t="s">
        <v>115</v>
      </c>
      <c r="E466" t="s">
        <v>28</v>
      </c>
      <c r="F466" t="s">
        <v>1056</v>
      </c>
      <c r="G466" t="str">
        <f>"00360188"</f>
        <v>00360188</v>
      </c>
      <c r="H466" t="s">
        <v>78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1057</v>
      </c>
    </row>
    <row r="467" spans="1:30" x14ac:dyDescent="0.25">
      <c r="H467" t="s">
        <v>1058</v>
      </c>
    </row>
    <row r="468" spans="1:30" x14ac:dyDescent="0.25">
      <c r="A468">
        <v>231</v>
      </c>
      <c r="B468">
        <v>3977</v>
      </c>
      <c r="C468" t="s">
        <v>1059</v>
      </c>
      <c r="D468" t="s">
        <v>392</v>
      </c>
      <c r="E468" t="s">
        <v>44</v>
      </c>
      <c r="F468" t="s">
        <v>1060</v>
      </c>
      <c r="G468" t="str">
        <f>"00146383"</f>
        <v>00146383</v>
      </c>
      <c r="H468" t="s">
        <v>124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30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2</v>
      </c>
      <c r="AA468">
        <v>0</v>
      </c>
      <c r="AB468">
        <v>0</v>
      </c>
      <c r="AC468">
        <v>0</v>
      </c>
      <c r="AD468" t="s">
        <v>1061</v>
      </c>
    </row>
    <row r="469" spans="1:30" x14ac:dyDescent="0.25">
      <c r="H469" t="s">
        <v>1062</v>
      </c>
    </row>
    <row r="470" spans="1:30" x14ac:dyDescent="0.25">
      <c r="A470">
        <v>232</v>
      </c>
      <c r="B470">
        <v>242</v>
      </c>
      <c r="C470" t="s">
        <v>1063</v>
      </c>
      <c r="D470" t="s">
        <v>115</v>
      </c>
      <c r="E470" t="s">
        <v>56</v>
      </c>
      <c r="F470" t="s">
        <v>1064</v>
      </c>
      <c r="G470" t="str">
        <f>"201511036600"</f>
        <v>201511036600</v>
      </c>
      <c r="H470">
        <v>913</v>
      </c>
      <c r="I470">
        <v>0</v>
      </c>
      <c r="J470">
        <v>0</v>
      </c>
      <c r="K470">
        <v>0</v>
      </c>
      <c r="L470">
        <v>0</v>
      </c>
      <c r="M470">
        <v>100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52</v>
      </c>
      <c r="W470">
        <v>364</v>
      </c>
      <c r="X470">
        <v>0</v>
      </c>
      <c r="Z470">
        <v>0</v>
      </c>
      <c r="AA470">
        <v>0</v>
      </c>
      <c r="AB470">
        <v>0</v>
      </c>
      <c r="AC470">
        <v>0</v>
      </c>
      <c r="AD470">
        <v>1407</v>
      </c>
    </row>
    <row r="471" spans="1:30" x14ac:dyDescent="0.25">
      <c r="H471" t="s">
        <v>1065</v>
      </c>
    </row>
    <row r="472" spans="1:30" x14ac:dyDescent="0.25">
      <c r="A472">
        <v>233</v>
      </c>
      <c r="B472">
        <v>74</v>
      </c>
      <c r="C472" t="s">
        <v>1066</v>
      </c>
      <c r="D472" t="s">
        <v>69</v>
      </c>
      <c r="E472" t="s">
        <v>44</v>
      </c>
      <c r="F472" t="s">
        <v>1067</v>
      </c>
      <c r="G472" t="str">
        <f>"201511029070"</f>
        <v>201511029070</v>
      </c>
      <c r="H472">
        <v>748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>
        <v>1406</v>
      </c>
    </row>
    <row r="473" spans="1:30" x14ac:dyDescent="0.25">
      <c r="H473" t="s">
        <v>1068</v>
      </c>
    </row>
    <row r="474" spans="1:30" x14ac:dyDescent="0.25">
      <c r="A474">
        <v>234</v>
      </c>
      <c r="B474">
        <v>3100</v>
      </c>
      <c r="C474" t="s">
        <v>1069</v>
      </c>
      <c r="D474" t="s">
        <v>1070</v>
      </c>
      <c r="E474" t="s">
        <v>34</v>
      </c>
      <c r="F474" t="s">
        <v>1071</v>
      </c>
      <c r="G474" t="str">
        <f>"201406010202"</f>
        <v>201406010202</v>
      </c>
      <c r="H474" t="s">
        <v>1072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1073</v>
      </c>
    </row>
    <row r="475" spans="1:30" x14ac:dyDescent="0.25">
      <c r="H475" t="s">
        <v>1074</v>
      </c>
    </row>
    <row r="476" spans="1:30" x14ac:dyDescent="0.25">
      <c r="A476">
        <v>235</v>
      </c>
      <c r="B476">
        <v>3053</v>
      </c>
      <c r="C476" t="s">
        <v>1075</v>
      </c>
      <c r="D476" t="s">
        <v>363</v>
      </c>
      <c r="E476" t="s">
        <v>475</v>
      </c>
      <c r="F476" t="s">
        <v>1076</v>
      </c>
      <c r="G476" t="str">
        <f>"00068270"</f>
        <v>00068270</v>
      </c>
      <c r="H476" t="s">
        <v>1077</v>
      </c>
      <c r="I476">
        <v>0</v>
      </c>
      <c r="J476">
        <v>0</v>
      </c>
      <c r="K476">
        <v>0</v>
      </c>
      <c r="L476">
        <v>0</v>
      </c>
      <c r="M476">
        <v>100</v>
      </c>
      <c r="N476">
        <v>30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1078</v>
      </c>
    </row>
    <row r="477" spans="1:30" x14ac:dyDescent="0.25">
      <c r="H477" t="s">
        <v>1079</v>
      </c>
    </row>
    <row r="478" spans="1:30" x14ac:dyDescent="0.25">
      <c r="A478">
        <v>236</v>
      </c>
      <c r="B478">
        <v>1023</v>
      </c>
      <c r="C478" t="s">
        <v>1080</v>
      </c>
      <c r="D478" t="s">
        <v>168</v>
      </c>
      <c r="E478" t="s">
        <v>44</v>
      </c>
      <c r="F478" t="s">
        <v>1081</v>
      </c>
      <c r="G478" t="str">
        <f>"201406012039"</f>
        <v>201406012039</v>
      </c>
      <c r="H478" t="s">
        <v>142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83</v>
      </c>
      <c r="W478">
        <v>581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1082</v>
      </c>
    </row>
    <row r="479" spans="1:30" x14ac:dyDescent="0.25">
      <c r="H479" t="s">
        <v>1083</v>
      </c>
    </row>
    <row r="480" spans="1:30" x14ac:dyDescent="0.25">
      <c r="A480">
        <v>237</v>
      </c>
      <c r="B480">
        <v>2729</v>
      </c>
      <c r="C480" t="s">
        <v>1084</v>
      </c>
      <c r="D480" t="s">
        <v>168</v>
      </c>
      <c r="E480" t="s">
        <v>29</v>
      </c>
      <c r="F480" t="s">
        <v>1085</v>
      </c>
      <c r="G480" t="str">
        <f>"201406004944"</f>
        <v>201406004944</v>
      </c>
      <c r="H480" t="s">
        <v>270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1086</v>
      </c>
    </row>
    <row r="481" spans="1:30" x14ac:dyDescent="0.25">
      <c r="H481" t="s">
        <v>1087</v>
      </c>
    </row>
    <row r="482" spans="1:30" x14ac:dyDescent="0.25">
      <c r="A482">
        <v>238</v>
      </c>
      <c r="B482">
        <v>4814</v>
      </c>
      <c r="C482" t="s">
        <v>1088</v>
      </c>
      <c r="D482" t="s">
        <v>146</v>
      </c>
      <c r="E482" t="s">
        <v>63</v>
      </c>
      <c r="F482" t="s">
        <v>1089</v>
      </c>
      <c r="G482" t="str">
        <f>"00360405"</f>
        <v>00360405</v>
      </c>
      <c r="H482">
        <v>715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38</v>
      </c>
      <c r="W482">
        <v>266</v>
      </c>
      <c r="X482">
        <v>0</v>
      </c>
      <c r="Z482">
        <v>0</v>
      </c>
      <c r="AA482">
        <v>0</v>
      </c>
      <c r="AB482">
        <v>11</v>
      </c>
      <c r="AC482">
        <v>187</v>
      </c>
      <c r="AD482">
        <v>1398</v>
      </c>
    </row>
    <row r="483" spans="1:30" x14ac:dyDescent="0.25">
      <c r="H483" t="s">
        <v>1090</v>
      </c>
    </row>
    <row r="484" spans="1:30" x14ac:dyDescent="0.25">
      <c r="A484">
        <v>239</v>
      </c>
      <c r="B484">
        <v>2375</v>
      </c>
      <c r="C484" t="s">
        <v>1091</v>
      </c>
      <c r="D484" t="s">
        <v>1092</v>
      </c>
      <c r="E484" t="s">
        <v>24</v>
      </c>
      <c r="F484" t="s">
        <v>1093</v>
      </c>
      <c r="G484" t="str">
        <f>"201603000287"</f>
        <v>201603000287</v>
      </c>
      <c r="H484" t="s">
        <v>1094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59</v>
      </c>
      <c r="W484">
        <v>413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1095</v>
      </c>
    </row>
    <row r="485" spans="1:30" x14ac:dyDescent="0.25">
      <c r="H485" t="s">
        <v>1096</v>
      </c>
    </row>
    <row r="486" spans="1:30" x14ac:dyDescent="0.25">
      <c r="A486">
        <v>240</v>
      </c>
      <c r="B486">
        <v>1737</v>
      </c>
      <c r="C486" t="s">
        <v>1097</v>
      </c>
      <c r="D486" t="s">
        <v>1098</v>
      </c>
      <c r="E486" t="s">
        <v>1099</v>
      </c>
      <c r="F486" t="s">
        <v>1100</v>
      </c>
      <c r="G486" t="str">
        <f>"00318166"</f>
        <v>00318166</v>
      </c>
      <c r="H486" t="s">
        <v>588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1101</v>
      </c>
    </row>
    <row r="487" spans="1:30" x14ac:dyDescent="0.25">
      <c r="H487" t="s">
        <v>1102</v>
      </c>
    </row>
    <row r="488" spans="1:30" x14ac:dyDescent="0.25">
      <c r="A488">
        <v>241</v>
      </c>
      <c r="B488">
        <v>4397</v>
      </c>
      <c r="C488" t="s">
        <v>1103</v>
      </c>
      <c r="D488" t="s">
        <v>107</v>
      </c>
      <c r="E488" t="s">
        <v>34</v>
      </c>
      <c r="F488" t="s">
        <v>1104</v>
      </c>
      <c r="G488" t="str">
        <f>"00364801"</f>
        <v>00364801</v>
      </c>
      <c r="H488">
        <v>737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1395</v>
      </c>
    </row>
    <row r="489" spans="1:30" x14ac:dyDescent="0.25">
      <c r="H489" t="s">
        <v>1105</v>
      </c>
    </row>
    <row r="490" spans="1:30" x14ac:dyDescent="0.25">
      <c r="A490">
        <v>242</v>
      </c>
      <c r="B490">
        <v>5807</v>
      </c>
      <c r="C490" t="s">
        <v>1106</v>
      </c>
      <c r="D490" t="s">
        <v>246</v>
      </c>
      <c r="E490" t="s">
        <v>107</v>
      </c>
      <c r="F490" t="s">
        <v>1107</v>
      </c>
      <c r="G490" t="str">
        <f>"00200155"</f>
        <v>00200155</v>
      </c>
      <c r="H490" t="s">
        <v>1108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53</v>
      </c>
      <c r="W490">
        <v>371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1109</v>
      </c>
    </row>
    <row r="491" spans="1:30" x14ac:dyDescent="0.25">
      <c r="H491" t="s">
        <v>1110</v>
      </c>
    </row>
    <row r="492" spans="1:30" x14ac:dyDescent="0.25">
      <c r="A492">
        <v>243</v>
      </c>
      <c r="B492">
        <v>192</v>
      </c>
      <c r="C492" t="s">
        <v>1111</v>
      </c>
      <c r="D492" t="s">
        <v>179</v>
      </c>
      <c r="E492" t="s">
        <v>1099</v>
      </c>
      <c r="F492" t="s">
        <v>1112</v>
      </c>
      <c r="G492" t="str">
        <f>"00236589"</f>
        <v>00236589</v>
      </c>
      <c r="H492" t="s">
        <v>1113</v>
      </c>
      <c r="I492">
        <v>0</v>
      </c>
      <c r="J492">
        <v>0</v>
      </c>
      <c r="K492">
        <v>0</v>
      </c>
      <c r="L492">
        <v>0</v>
      </c>
      <c r="M492">
        <v>100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1114</v>
      </c>
    </row>
    <row r="493" spans="1:30" x14ac:dyDescent="0.25">
      <c r="H493" t="s">
        <v>1115</v>
      </c>
    </row>
    <row r="494" spans="1:30" x14ac:dyDescent="0.25">
      <c r="A494">
        <v>244</v>
      </c>
      <c r="B494">
        <v>2824</v>
      </c>
      <c r="C494" t="s">
        <v>1116</v>
      </c>
      <c r="D494" t="s">
        <v>1117</v>
      </c>
      <c r="E494" t="s">
        <v>93</v>
      </c>
      <c r="F494" t="s">
        <v>1118</v>
      </c>
      <c r="G494" t="str">
        <f>"00278787"</f>
        <v>00278787</v>
      </c>
      <c r="H494" t="s">
        <v>827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1119</v>
      </c>
    </row>
    <row r="495" spans="1:30" x14ac:dyDescent="0.25">
      <c r="H495" t="s">
        <v>1120</v>
      </c>
    </row>
    <row r="496" spans="1:30" x14ac:dyDescent="0.25">
      <c r="A496">
        <v>245</v>
      </c>
      <c r="B496">
        <v>5681</v>
      </c>
      <c r="C496" t="s">
        <v>1121</v>
      </c>
      <c r="D496" t="s">
        <v>154</v>
      </c>
      <c r="E496" t="s">
        <v>278</v>
      </c>
      <c r="F496" t="s">
        <v>1122</v>
      </c>
      <c r="G496" t="str">
        <f>"200807000799"</f>
        <v>200807000799</v>
      </c>
      <c r="H496" t="s">
        <v>627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1123</v>
      </c>
    </row>
    <row r="497" spans="1:30" x14ac:dyDescent="0.25">
      <c r="H497" t="s">
        <v>1124</v>
      </c>
    </row>
    <row r="498" spans="1:30" x14ac:dyDescent="0.25">
      <c r="A498">
        <v>246</v>
      </c>
      <c r="B498">
        <v>2218</v>
      </c>
      <c r="C498" t="s">
        <v>1125</v>
      </c>
      <c r="D498" t="s">
        <v>1126</v>
      </c>
      <c r="E498" t="s">
        <v>1127</v>
      </c>
      <c r="F498" t="s">
        <v>1128</v>
      </c>
      <c r="G498" t="str">
        <f>"00142331"</f>
        <v>00142331</v>
      </c>
      <c r="H498" t="s">
        <v>621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1129</v>
      </c>
    </row>
    <row r="499" spans="1:30" x14ac:dyDescent="0.25">
      <c r="H499" t="s">
        <v>1130</v>
      </c>
    </row>
    <row r="500" spans="1:30" x14ac:dyDescent="0.25">
      <c r="A500">
        <v>247</v>
      </c>
      <c r="B500">
        <v>2318</v>
      </c>
      <c r="C500" t="s">
        <v>1131</v>
      </c>
      <c r="D500" t="s">
        <v>44</v>
      </c>
      <c r="E500" t="s">
        <v>146</v>
      </c>
      <c r="F500" t="s">
        <v>1132</v>
      </c>
      <c r="G500" t="str">
        <f>"200801011351"</f>
        <v>200801011351</v>
      </c>
      <c r="H500">
        <v>770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2</v>
      </c>
      <c r="AA500">
        <v>0</v>
      </c>
      <c r="AB500">
        <v>0</v>
      </c>
      <c r="AC500">
        <v>0</v>
      </c>
      <c r="AD500">
        <v>1388</v>
      </c>
    </row>
    <row r="501" spans="1:30" x14ac:dyDescent="0.25">
      <c r="H501" t="s">
        <v>1133</v>
      </c>
    </row>
    <row r="502" spans="1:30" x14ac:dyDescent="0.25">
      <c r="A502">
        <v>248</v>
      </c>
      <c r="B502">
        <v>912</v>
      </c>
      <c r="C502" t="s">
        <v>1134</v>
      </c>
      <c r="D502" t="s">
        <v>168</v>
      </c>
      <c r="E502" t="s">
        <v>55</v>
      </c>
      <c r="F502" t="s">
        <v>1135</v>
      </c>
      <c r="G502" t="str">
        <f>"00308044"</f>
        <v>00308044</v>
      </c>
      <c r="H502">
        <v>770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1388</v>
      </c>
    </row>
    <row r="503" spans="1:30" x14ac:dyDescent="0.25">
      <c r="H503" t="s">
        <v>1136</v>
      </c>
    </row>
    <row r="504" spans="1:30" x14ac:dyDescent="0.25">
      <c r="A504">
        <v>249</v>
      </c>
      <c r="B504">
        <v>4504</v>
      </c>
      <c r="C504" t="s">
        <v>1137</v>
      </c>
      <c r="D504" t="s">
        <v>154</v>
      </c>
      <c r="E504" t="s">
        <v>34</v>
      </c>
      <c r="F504" t="s">
        <v>1138</v>
      </c>
      <c r="G504" t="str">
        <f>"00323190"</f>
        <v>00323190</v>
      </c>
      <c r="H504">
        <v>770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>
        <v>1388</v>
      </c>
    </row>
    <row r="505" spans="1:30" x14ac:dyDescent="0.25">
      <c r="H505" t="s">
        <v>1139</v>
      </c>
    </row>
    <row r="506" spans="1:30" x14ac:dyDescent="0.25">
      <c r="A506">
        <v>250</v>
      </c>
      <c r="B506">
        <v>2484</v>
      </c>
      <c r="C506" t="s">
        <v>1140</v>
      </c>
      <c r="D506" t="s">
        <v>812</v>
      </c>
      <c r="E506" t="s">
        <v>34</v>
      </c>
      <c r="F506" t="s">
        <v>1141</v>
      </c>
      <c r="G506" t="str">
        <f>"201406015682"</f>
        <v>201406015682</v>
      </c>
      <c r="H506">
        <v>770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1388</v>
      </c>
    </row>
    <row r="507" spans="1:30" x14ac:dyDescent="0.25">
      <c r="H507" t="s">
        <v>1142</v>
      </c>
    </row>
    <row r="508" spans="1:30" x14ac:dyDescent="0.25">
      <c r="A508">
        <v>251</v>
      </c>
      <c r="B508">
        <v>5079</v>
      </c>
      <c r="C508" t="s">
        <v>55</v>
      </c>
      <c r="D508" t="s">
        <v>1143</v>
      </c>
      <c r="E508" t="s">
        <v>107</v>
      </c>
      <c r="F508" t="s">
        <v>1144</v>
      </c>
      <c r="G508" t="str">
        <f>"00290843"</f>
        <v>00290843</v>
      </c>
      <c r="H508">
        <v>770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1388</v>
      </c>
    </row>
    <row r="509" spans="1:30" x14ac:dyDescent="0.25">
      <c r="H509">
        <v>1201</v>
      </c>
    </row>
    <row r="510" spans="1:30" x14ac:dyDescent="0.25">
      <c r="A510">
        <v>252</v>
      </c>
      <c r="B510">
        <v>3330</v>
      </c>
      <c r="C510" t="s">
        <v>1145</v>
      </c>
      <c r="D510" t="s">
        <v>28</v>
      </c>
      <c r="E510" t="s">
        <v>44</v>
      </c>
      <c r="F510" t="s">
        <v>1146</v>
      </c>
      <c r="G510" t="str">
        <f>"00370006"</f>
        <v>00370006</v>
      </c>
      <c r="H510" t="s">
        <v>1147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1148</v>
      </c>
    </row>
    <row r="511" spans="1:30" x14ac:dyDescent="0.25">
      <c r="H511" t="s">
        <v>1149</v>
      </c>
    </row>
    <row r="512" spans="1:30" x14ac:dyDescent="0.25">
      <c r="A512">
        <v>253</v>
      </c>
      <c r="B512">
        <v>4458</v>
      </c>
      <c r="C512" t="s">
        <v>1150</v>
      </c>
      <c r="D512" t="s">
        <v>86</v>
      </c>
      <c r="E512" t="s">
        <v>635</v>
      </c>
      <c r="F512" t="s">
        <v>1151</v>
      </c>
      <c r="G512" t="str">
        <f>"00343292"</f>
        <v>00343292</v>
      </c>
      <c r="H512" t="s">
        <v>1152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1153</v>
      </c>
    </row>
    <row r="513" spans="1:30" x14ac:dyDescent="0.25">
      <c r="H513" t="s">
        <v>1154</v>
      </c>
    </row>
    <row r="514" spans="1:30" x14ac:dyDescent="0.25">
      <c r="A514">
        <v>254</v>
      </c>
      <c r="B514">
        <v>751</v>
      </c>
      <c r="C514" t="s">
        <v>1155</v>
      </c>
      <c r="D514" t="s">
        <v>757</v>
      </c>
      <c r="E514" t="s">
        <v>221</v>
      </c>
      <c r="F514" t="s">
        <v>1156</v>
      </c>
      <c r="G514" t="str">
        <f>"00152985"</f>
        <v>00152985</v>
      </c>
      <c r="H514" t="s">
        <v>1157</v>
      </c>
      <c r="I514">
        <v>150</v>
      </c>
      <c r="J514">
        <v>0</v>
      </c>
      <c r="K514">
        <v>0</v>
      </c>
      <c r="L514">
        <v>0</v>
      </c>
      <c r="M514">
        <v>100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0</v>
      </c>
      <c r="AA514">
        <v>0</v>
      </c>
      <c r="AB514">
        <v>24</v>
      </c>
      <c r="AC514">
        <v>408</v>
      </c>
      <c r="AD514" t="s">
        <v>1158</v>
      </c>
    </row>
    <row r="515" spans="1:30" x14ac:dyDescent="0.25">
      <c r="H515" t="s">
        <v>305</v>
      </c>
    </row>
    <row r="516" spans="1:30" x14ac:dyDescent="0.25">
      <c r="A516">
        <v>255</v>
      </c>
      <c r="B516">
        <v>318</v>
      </c>
      <c r="C516" t="s">
        <v>1159</v>
      </c>
      <c r="D516" t="s">
        <v>185</v>
      </c>
      <c r="E516" t="s">
        <v>24</v>
      </c>
      <c r="F516" t="s">
        <v>1160</v>
      </c>
      <c r="G516" t="str">
        <f>"201405002003"</f>
        <v>201405002003</v>
      </c>
      <c r="H516" t="s">
        <v>321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1161</v>
      </c>
    </row>
    <row r="517" spans="1:30" x14ac:dyDescent="0.25">
      <c r="H517" t="s">
        <v>1162</v>
      </c>
    </row>
    <row r="518" spans="1:30" x14ac:dyDescent="0.25">
      <c r="A518">
        <v>256</v>
      </c>
      <c r="B518">
        <v>5159</v>
      </c>
      <c r="C518" t="s">
        <v>1163</v>
      </c>
      <c r="D518" t="s">
        <v>76</v>
      </c>
      <c r="E518" t="s">
        <v>1164</v>
      </c>
      <c r="F518" t="s">
        <v>1165</v>
      </c>
      <c r="G518" t="str">
        <f>"00363854"</f>
        <v>00363854</v>
      </c>
      <c r="H518" t="s">
        <v>321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1161</v>
      </c>
    </row>
    <row r="519" spans="1:30" x14ac:dyDescent="0.25">
      <c r="H519" t="s">
        <v>1166</v>
      </c>
    </row>
    <row r="520" spans="1:30" x14ac:dyDescent="0.25">
      <c r="A520">
        <v>257</v>
      </c>
      <c r="B520">
        <v>5573</v>
      </c>
      <c r="C520" t="s">
        <v>1167</v>
      </c>
      <c r="D520" t="s">
        <v>566</v>
      </c>
      <c r="E520" t="s">
        <v>278</v>
      </c>
      <c r="F520" t="s">
        <v>1168</v>
      </c>
      <c r="G520" t="str">
        <f>"201412004760"</f>
        <v>201412004760</v>
      </c>
      <c r="H520">
        <v>781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53</v>
      </c>
      <c r="W520">
        <v>371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1382</v>
      </c>
    </row>
    <row r="521" spans="1:30" x14ac:dyDescent="0.25">
      <c r="H521" t="s">
        <v>1169</v>
      </c>
    </row>
    <row r="522" spans="1:30" x14ac:dyDescent="0.25">
      <c r="A522">
        <v>258</v>
      </c>
      <c r="B522">
        <v>4119</v>
      </c>
      <c r="C522" t="s">
        <v>1170</v>
      </c>
      <c r="D522" t="s">
        <v>23</v>
      </c>
      <c r="E522" t="s">
        <v>55</v>
      </c>
      <c r="F522" t="s">
        <v>1171</v>
      </c>
      <c r="G522" t="str">
        <f>"00336949"</f>
        <v>00336949</v>
      </c>
      <c r="H522" t="s">
        <v>1172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70</v>
      </c>
      <c r="W522">
        <v>490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1173</v>
      </c>
    </row>
    <row r="523" spans="1:30" x14ac:dyDescent="0.25">
      <c r="H523" t="s">
        <v>1174</v>
      </c>
    </row>
    <row r="524" spans="1:30" x14ac:dyDescent="0.25">
      <c r="A524">
        <v>259</v>
      </c>
      <c r="B524">
        <v>3188</v>
      </c>
      <c r="C524" t="s">
        <v>1175</v>
      </c>
      <c r="D524" t="s">
        <v>70</v>
      </c>
      <c r="E524" t="s">
        <v>1176</v>
      </c>
      <c r="F524" t="s">
        <v>1177</v>
      </c>
      <c r="G524" t="str">
        <f>"00206385"</f>
        <v>00206385</v>
      </c>
      <c r="H524" t="s">
        <v>1178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78</v>
      </c>
      <c r="W524">
        <v>546</v>
      </c>
      <c r="X524">
        <v>0</v>
      </c>
      <c r="Z524">
        <v>1</v>
      </c>
      <c r="AA524">
        <v>0</v>
      </c>
      <c r="AB524">
        <v>6</v>
      </c>
      <c r="AC524">
        <v>102</v>
      </c>
      <c r="AD524" t="s">
        <v>1179</v>
      </c>
    </row>
    <row r="525" spans="1:30" x14ac:dyDescent="0.25">
      <c r="H525" t="s">
        <v>1180</v>
      </c>
    </row>
    <row r="526" spans="1:30" x14ac:dyDescent="0.25">
      <c r="A526">
        <v>260</v>
      </c>
      <c r="B526">
        <v>3533</v>
      </c>
      <c r="C526" t="s">
        <v>1181</v>
      </c>
      <c r="D526" t="s">
        <v>1182</v>
      </c>
      <c r="E526" t="s">
        <v>24</v>
      </c>
      <c r="F526" t="s">
        <v>1183</v>
      </c>
      <c r="G526" t="str">
        <f>"200905000068"</f>
        <v>200905000068</v>
      </c>
      <c r="H526" t="s">
        <v>885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1184</v>
      </c>
    </row>
    <row r="527" spans="1:30" x14ac:dyDescent="0.25">
      <c r="H527" t="s">
        <v>1185</v>
      </c>
    </row>
    <row r="528" spans="1:30" x14ac:dyDescent="0.25">
      <c r="A528">
        <v>261</v>
      </c>
      <c r="B528">
        <v>4327</v>
      </c>
      <c r="C528" t="s">
        <v>1186</v>
      </c>
      <c r="D528" t="s">
        <v>185</v>
      </c>
      <c r="E528" t="s">
        <v>44</v>
      </c>
      <c r="F528" t="s">
        <v>1187</v>
      </c>
      <c r="G528" t="str">
        <f>"00332808"</f>
        <v>00332808</v>
      </c>
      <c r="H528" t="s">
        <v>885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1184</v>
      </c>
    </row>
    <row r="529" spans="1:30" x14ac:dyDescent="0.25">
      <c r="H529" t="s">
        <v>1188</v>
      </c>
    </row>
    <row r="530" spans="1:30" x14ac:dyDescent="0.25">
      <c r="A530">
        <v>262</v>
      </c>
      <c r="B530">
        <v>5093</v>
      </c>
      <c r="C530" t="s">
        <v>1189</v>
      </c>
      <c r="D530" t="s">
        <v>757</v>
      </c>
      <c r="E530" t="s">
        <v>107</v>
      </c>
      <c r="F530" t="s">
        <v>1190</v>
      </c>
      <c r="G530" t="str">
        <f>"00264288"</f>
        <v>00264288</v>
      </c>
      <c r="H530" t="s">
        <v>895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1191</v>
      </c>
    </row>
    <row r="531" spans="1:30" x14ac:dyDescent="0.25">
      <c r="H531" t="s">
        <v>1192</v>
      </c>
    </row>
    <row r="532" spans="1:30" x14ac:dyDescent="0.25">
      <c r="A532">
        <v>263</v>
      </c>
      <c r="B532">
        <v>4670</v>
      </c>
      <c r="C532" t="s">
        <v>1193</v>
      </c>
      <c r="D532" t="s">
        <v>246</v>
      </c>
      <c r="E532" t="s">
        <v>56</v>
      </c>
      <c r="F532" t="s">
        <v>1194</v>
      </c>
      <c r="G532" t="str">
        <f>"201406013216"</f>
        <v>201406013216</v>
      </c>
      <c r="H532" t="s">
        <v>1195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33</v>
      </c>
      <c r="W532">
        <v>231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1196</v>
      </c>
    </row>
    <row r="533" spans="1:30" x14ac:dyDescent="0.25">
      <c r="H533" t="s">
        <v>1197</v>
      </c>
    </row>
    <row r="534" spans="1:30" x14ac:dyDescent="0.25">
      <c r="A534">
        <v>264</v>
      </c>
      <c r="B534">
        <v>1211</v>
      </c>
      <c r="C534" t="s">
        <v>1198</v>
      </c>
      <c r="D534" t="s">
        <v>246</v>
      </c>
      <c r="E534" t="s">
        <v>24</v>
      </c>
      <c r="F534" t="s">
        <v>1199</v>
      </c>
      <c r="G534" t="str">
        <f>"00285898"</f>
        <v>00285898</v>
      </c>
      <c r="H534" t="s">
        <v>175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30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1200</v>
      </c>
    </row>
    <row r="535" spans="1:30" x14ac:dyDescent="0.25">
      <c r="H535" t="s">
        <v>863</v>
      </c>
    </row>
    <row r="536" spans="1:30" x14ac:dyDescent="0.25">
      <c r="A536">
        <v>265</v>
      </c>
      <c r="B536">
        <v>980</v>
      </c>
      <c r="C536" t="s">
        <v>1201</v>
      </c>
      <c r="D536" t="s">
        <v>761</v>
      </c>
      <c r="E536" t="s">
        <v>34</v>
      </c>
      <c r="F536" t="s">
        <v>1202</v>
      </c>
      <c r="G536" t="str">
        <f>"201406009788"</f>
        <v>201406009788</v>
      </c>
      <c r="H536">
        <v>759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1377</v>
      </c>
    </row>
    <row r="537" spans="1:30" x14ac:dyDescent="0.25">
      <c r="H537" t="s">
        <v>1203</v>
      </c>
    </row>
    <row r="538" spans="1:30" x14ac:dyDescent="0.25">
      <c r="A538">
        <v>266</v>
      </c>
      <c r="B538">
        <v>122</v>
      </c>
      <c r="C538" t="s">
        <v>1204</v>
      </c>
      <c r="D538" t="s">
        <v>154</v>
      </c>
      <c r="E538" t="s">
        <v>220</v>
      </c>
      <c r="F538" t="s">
        <v>1205</v>
      </c>
      <c r="G538" t="str">
        <f>"00222588"</f>
        <v>00222588</v>
      </c>
      <c r="H538">
        <v>759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1377</v>
      </c>
    </row>
    <row r="539" spans="1:30" x14ac:dyDescent="0.25">
      <c r="H539" t="s">
        <v>1206</v>
      </c>
    </row>
    <row r="540" spans="1:30" x14ac:dyDescent="0.25">
      <c r="A540">
        <v>267</v>
      </c>
      <c r="B540">
        <v>3138</v>
      </c>
      <c r="C540" t="s">
        <v>1207</v>
      </c>
      <c r="D540" t="s">
        <v>69</v>
      </c>
      <c r="E540" t="s">
        <v>549</v>
      </c>
      <c r="F540" t="s">
        <v>1208</v>
      </c>
      <c r="G540" t="str">
        <f>"00202893"</f>
        <v>00202893</v>
      </c>
      <c r="H540">
        <v>759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1377</v>
      </c>
    </row>
    <row r="541" spans="1:30" x14ac:dyDescent="0.25">
      <c r="H541" t="s">
        <v>987</v>
      </c>
    </row>
    <row r="542" spans="1:30" x14ac:dyDescent="0.25">
      <c r="A542">
        <v>268</v>
      </c>
      <c r="B542">
        <v>989</v>
      </c>
      <c r="C542" t="s">
        <v>1209</v>
      </c>
      <c r="D542" t="s">
        <v>146</v>
      </c>
      <c r="E542" t="s">
        <v>100</v>
      </c>
      <c r="F542" t="s">
        <v>1210</v>
      </c>
      <c r="G542" t="str">
        <f>"00147873"</f>
        <v>00147873</v>
      </c>
      <c r="H542">
        <v>759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>
        <v>1377</v>
      </c>
    </row>
    <row r="543" spans="1:30" x14ac:dyDescent="0.25">
      <c r="H543" t="s">
        <v>1211</v>
      </c>
    </row>
    <row r="544" spans="1:30" x14ac:dyDescent="0.25">
      <c r="A544">
        <v>269</v>
      </c>
      <c r="B544">
        <v>5988</v>
      </c>
      <c r="C544" t="s">
        <v>1212</v>
      </c>
      <c r="D544" t="s">
        <v>436</v>
      </c>
      <c r="E544" t="s">
        <v>107</v>
      </c>
      <c r="F544" t="s">
        <v>1213</v>
      </c>
      <c r="G544" t="str">
        <f>"00195002"</f>
        <v>00195002</v>
      </c>
      <c r="H544">
        <v>759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>
        <v>1377</v>
      </c>
    </row>
    <row r="545" spans="1:30" x14ac:dyDescent="0.25">
      <c r="H545" t="s">
        <v>1214</v>
      </c>
    </row>
    <row r="546" spans="1:30" x14ac:dyDescent="0.25">
      <c r="A546">
        <v>270</v>
      </c>
      <c r="B546">
        <v>1719</v>
      </c>
      <c r="C546" t="s">
        <v>1215</v>
      </c>
      <c r="D546" t="s">
        <v>92</v>
      </c>
      <c r="E546" t="s">
        <v>24</v>
      </c>
      <c r="F546" t="s">
        <v>1216</v>
      </c>
      <c r="G546" t="str">
        <f>"201511027219"</f>
        <v>201511027219</v>
      </c>
      <c r="H546">
        <v>759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>
        <v>1377</v>
      </c>
    </row>
    <row r="547" spans="1:30" x14ac:dyDescent="0.25">
      <c r="H547" t="s">
        <v>1217</v>
      </c>
    </row>
    <row r="548" spans="1:30" x14ac:dyDescent="0.25">
      <c r="A548">
        <v>271</v>
      </c>
      <c r="B548">
        <v>2040</v>
      </c>
      <c r="C548" t="s">
        <v>1218</v>
      </c>
      <c r="D548" t="s">
        <v>92</v>
      </c>
      <c r="E548" t="s">
        <v>34</v>
      </c>
      <c r="F548" t="s">
        <v>1219</v>
      </c>
      <c r="G548" t="str">
        <f>"00324531"</f>
        <v>00324531</v>
      </c>
      <c r="H548">
        <v>759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1377</v>
      </c>
    </row>
    <row r="549" spans="1:30" x14ac:dyDescent="0.25">
      <c r="H549" t="s">
        <v>1220</v>
      </c>
    </row>
    <row r="550" spans="1:30" x14ac:dyDescent="0.25">
      <c r="A550">
        <v>272</v>
      </c>
      <c r="B550">
        <v>4594</v>
      </c>
      <c r="C550" t="s">
        <v>1221</v>
      </c>
      <c r="D550" t="s">
        <v>363</v>
      </c>
      <c r="E550" t="s">
        <v>55</v>
      </c>
      <c r="F550" t="s">
        <v>1222</v>
      </c>
      <c r="G550" t="str">
        <f>"201005000090"</f>
        <v>201005000090</v>
      </c>
      <c r="H550">
        <v>759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1377</v>
      </c>
    </row>
    <row r="551" spans="1:30" x14ac:dyDescent="0.25">
      <c r="H551" t="s">
        <v>1223</v>
      </c>
    </row>
    <row r="552" spans="1:30" x14ac:dyDescent="0.25">
      <c r="A552">
        <v>273</v>
      </c>
      <c r="B552">
        <v>2892</v>
      </c>
      <c r="C552" t="s">
        <v>1224</v>
      </c>
      <c r="D552" t="s">
        <v>1225</v>
      </c>
      <c r="E552" t="s">
        <v>107</v>
      </c>
      <c r="F552" t="s">
        <v>1226</v>
      </c>
      <c r="G552" t="str">
        <f>"201402002700"</f>
        <v>201402002700</v>
      </c>
      <c r="H552">
        <v>737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50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1375</v>
      </c>
    </row>
    <row r="553" spans="1:30" x14ac:dyDescent="0.25">
      <c r="H553" t="s">
        <v>1227</v>
      </c>
    </row>
    <row r="554" spans="1:30" x14ac:dyDescent="0.25">
      <c r="A554">
        <v>274</v>
      </c>
      <c r="B554">
        <v>1933</v>
      </c>
      <c r="C554" t="s">
        <v>1228</v>
      </c>
      <c r="D554" t="s">
        <v>44</v>
      </c>
      <c r="E554" t="s">
        <v>55</v>
      </c>
      <c r="F554" t="s">
        <v>1229</v>
      </c>
      <c r="G554" t="str">
        <f>"00164237"</f>
        <v>00164237</v>
      </c>
      <c r="H554">
        <v>726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30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1374</v>
      </c>
    </row>
    <row r="555" spans="1:30" x14ac:dyDescent="0.25">
      <c r="H555" t="s">
        <v>897</v>
      </c>
    </row>
    <row r="556" spans="1:30" x14ac:dyDescent="0.25">
      <c r="A556">
        <v>275</v>
      </c>
      <c r="B556">
        <v>892</v>
      </c>
      <c r="C556" t="s">
        <v>492</v>
      </c>
      <c r="D556" t="s">
        <v>107</v>
      </c>
      <c r="E556" t="s">
        <v>55</v>
      </c>
      <c r="F556" t="s">
        <v>1230</v>
      </c>
      <c r="G556" t="str">
        <f>"201511023232"</f>
        <v>201511023232</v>
      </c>
      <c r="H556" t="s">
        <v>717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1231</v>
      </c>
    </row>
    <row r="557" spans="1:30" x14ac:dyDescent="0.25">
      <c r="H557" t="s">
        <v>1232</v>
      </c>
    </row>
    <row r="558" spans="1:30" x14ac:dyDescent="0.25">
      <c r="A558">
        <v>276</v>
      </c>
      <c r="B558">
        <v>4983</v>
      </c>
      <c r="C558" t="s">
        <v>1233</v>
      </c>
      <c r="D558" t="s">
        <v>92</v>
      </c>
      <c r="E558" t="s">
        <v>1234</v>
      </c>
      <c r="F558" t="s">
        <v>1235</v>
      </c>
      <c r="G558" t="str">
        <f>"00242010"</f>
        <v>00242010</v>
      </c>
      <c r="H558">
        <v>715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1373</v>
      </c>
    </row>
    <row r="559" spans="1:30" x14ac:dyDescent="0.25">
      <c r="H559" t="s">
        <v>1236</v>
      </c>
    </row>
    <row r="560" spans="1:30" x14ac:dyDescent="0.25">
      <c r="A560">
        <v>277</v>
      </c>
      <c r="B560">
        <v>2061</v>
      </c>
      <c r="C560" t="s">
        <v>1237</v>
      </c>
      <c r="D560" t="s">
        <v>76</v>
      </c>
      <c r="E560" t="s">
        <v>24</v>
      </c>
      <c r="F560" t="s">
        <v>1238</v>
      </c>
      <c r="G560" t="str">
        <f>"201406002802"</f>
        <v>201406002802</v>
      </c>
      <c r="H560" t="s">
        <v>248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73</v>
      </c>
      <c r="W560">
        <v>511</v>
      </c>
      <c r="X560">
        <v>0</v>
      </c>
      <c r="Z560">
        <v>0</v>
      </c>
      <c r="AA560">
        <v>0</v>
      </c>
      <c r="AB560">
        <v>6</v>
      </c>
      <c r="AC560">
        <v>102</v>
      </c>
      <c r="AD560" t="s">
        <v>1239</v>
      </c>
    </row>
    <row r="561" spans="1:30" x14ac:dyDescent="0.25">
      <c r="H561" t="s">
        <v>1240</v>
      </c>
    </row>
    <row r="562" spans="1:30" x14ac:dyDescent="0.25">
      <c r="A562">
        <v>278</v>
      </c>
      <c r="B562">
        <v>422</v>
      </c>
      <c r="C562" t="s">
        <v>1241</v>
      </c>
      <c r="D562" t="s">
        <v>377</v>
      </c>
      <c r="E562" t="s">
        <v>150</v>
      </c>
      <c r="F562" t="s">
        <v>1242</v>
      </c>
      <c r="G562" t="str">
        <f>"200802003747"</f>
        <v>200802003747</v>
      </c>
      <c r="H562">
        <v>737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50</v>
      </c>
      <c r="O562">
        <v>0</v>
      </c>
      <c r="P562">
        <v>0</v>
      </c>
      <c r="Q562">
        <v>30</v>
      </c>
      <c r="R562">
        <v>0</v>
      </c>
      <c r="S562">
        <v>0</v>
      </c>
      <c r="T562">
        <v>0</v>
      </c>
      <c r="U562">
        <v>0</v>
      </c>
      <c r="V562">
        <v>79</v>
      </c>
      <c r="W562">
        <v>553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1370</v>
      </c>
    </row>
    <row r="563" spans="1:30" x14ac:dyDescent="0.25">
      <c r="H563" t="s">
        <v>1243</v>
      </c>
    </row>
    <row r="564" spans="1:30" x14ac:dyDescent="0.25">
      <c r="A564">
        <v>279</v>
      </c>
      <c r="B564">
        <v>1910</v>
      </c>
      <c r="C564" t="s">
        <v>1244</v>
      </c>
      <c r="D564" t="s">
        <v>185</v>
      </c>
      <c r="E564" t="s">
        <v>24</v>
      </c>
      <c r="F564" t="s">
        <v>1245</v>
      </c>
      <c r="G564" t="str">
        <f>"200901000597"</f>
        <v>200901000597</v>
      </c>
      <c r="H564">
        <v>748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1366</v>
      </c>
    </row>
    <row r="565" spans="1:30" x14ac:dyDescent="0.25">
      <c r="H565" t="s">
        <v>1246</v>
      </c>
    </row>
    <row r="566" spans="1:30" x14ac:dyDescent="0.25">
      <c r="A566">
        <v>280</v>
      </c>
      <c r="B566">
        <v>2650</v>
      </c>
      <c r="C566" t="s">
        <v>1247</v>
      </c>
      <c r="D566" t="s">
        <v>28</v>
      </c>
      <c r="E566" t="s">
        <v>834</v>
      </c>
      <c r="F566" t="s">
        <v>1248</v>
      </c>
      <c r="G566" t="str">
        <f>"201405000493"</f>
        <v>201405000493</v>
      </c>
      <c r="H566">
        <v>748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1</v>
      </c>
      <c r="AA566">
        <v>0</v>
      </c>
      <c r="AB566">
        <v>0</v>
      </c>
      <c r="AC566">
        <v>0</v>
      </c>
      <c r="AD566">
        <v>1366</v>
      </c>
    </row>
    <row r="567" spans="1:30" x14ac:dyDescent="0.25">
      <c r="H567" t="s">
        <v>1249</v>
      </c>
    </row>
    <row r="568" spans="1:30" x14ac:dyDescent="0.25">
      <c r="A568">
        <v>281</v>
      </c>
      <c r="B568">
        <v>5775</v>
      </c>
      <c r="C568" t="s">
        <v>1250</v>
      </c>
      <c r="D568" t="s">
        <v>806</v>
      </c>
      <c r="E568" t="s">
        <v>44</v>
      </c>
      <c r="F568" t="s">
        <v>1251</v>
      </c>
      <c r="G568" t="str">
        <f>"201511034476"</f>
        <v>201511034476</v>
      </c>
      <c r="H568" t="s">
        <v>1252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2</v>
      </c>
      <c r="AA568">
        <v>0</v>
      </c>
      <c r="AB568">
        <v>0</v>
      </c>
      <c r="AC568">
        <v>0</v>
      </c>
      <c r="AD568" t="s">
        <v>1253</v>
      </c>
    </row>
    <row r="569" spans="1:30" x14ac:dyDescent="0.25">
      <c r="H569" t="s">
        <v>1254</v>
      </c>
    </row>
    <row r="570" spans="1:30" x14ac:dyDescent="0.25">
      <c r="A570">
        <v>282</v>
      </c>
      <c r="B570">
        <v>3456</v>
      </c>
      <c r="C570" t="s">
        <v>1255</v>
      </c>
      <c r="D570" t="s">
        <v>69</v>
      </c>
      <c r="E570" t="s">
        <v>1176</v>
      </c>
      <c r="F570" t="s">
        <v>1256</v>
      </c>
      <c r="G570" t="str">
        <f>"00363501"</f>
        <v>00363501</v>
      </c>
      <c r="H570">
        <v>726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1364</v>
      </c>
    </row>
    <row r="571" spans="1:30" x14ac:dyDescent="0.25">
      <c r="H571" t="s">
        <v>1257</v>
      </c>
    </row>
    <row r="572" spans="1:30" x14ac:dyDescent="0.25">
      <c r="A572">
        <v>283</v>
      </c>
      <c r="B572">
        <v>1758</v>
      </c>
      <c r="C572" t="s">
        <v>54</v>
      </c>
      <c r="D572" t="s">
        <v>1258</v>
      </c>
      <c r="E572" t="s">
        <v>24</v>
      </c>
      <c r="F572" t="s">
        <v>1259</v>
      </c>
      <c r="G572" t="str">
        <f>"200807000225"</f>
        <v>200807000225</v>
      </c>
      <c r="H572" t="s">
        <v>1260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50</v>
      </c>
      <c r="O572">
        <v>0</v>
      </c>
      <c r="P572">
        <v>0</v>
      </c>
      <c r="Q572">
        <v>70</v>
      </c>
      <c r="R572">
        <v>0</v>
      </c>
      <c r="S572">
        <v>0</v>
      </c>
      <c r="T572">
        <v>0</v>
      </c>
      <c r="U572">
        <v>0</v>
      </c>
      <c r="V572">
        <v>68</v>
      </c>
      <c r="W572">
        <v>476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1261</v>
      </c>
    </row>
    <row r="573" spans="1:30" x14ac:dyDescent="0.25">
      <c r="H573" t="s">
        <v>1262</v>
      </c>
    </row>
    <row r="574" spans="1:30" x14ac:dyDescent="0.25">
      <c r="A574">
        <v>284</v>
      </c>
      <c r="B574">
        <v>3348</v>
      </c>
      <c r="C574" t="s">
        <v>1263</v>
      </c>
      <c r="D574" t="s">
        <v>1264</v>
      </c>
      <c r="E574" t="s">
        <v>28</v>
      </c>
      <c r="F574" t="s">
        <v>1265</v>
      </c>
      <c r="G574" t="str">
        <f>"201405002226"</f>
        <v>201405002226</v>
      </c>
      <c r="H574" t="s">
        <v>1266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1267</v>
      </c>
    </row>
    <row r="575" spans="1:30" x14ac:dyDescent="0.25">
      <c r="H575" t="s">
        <v>1268</v>
      </c>
    </row>
    <row r="576" spans="1:30" x14ac:dyDescent="0.25">
      <c r="A576">
        <v>285</v>
      </c>
      <c r="B576">
        <v>5550</v>
      </c>
      <c r="C576" t="s">
        <v>1269</v>
      </c>
      <c r="D576" t="s">
        <v>1270</v>
      </c>
      <c r="E576" t="s">
        <v>86</v>
      </c>
      <c r="F576" t="s">
        <v>1271</v>
      </c>
      <c r="G576" t="str">
        <f>"00361412"</f>
        <v>00361412</v>
      </c>
      <c r="H576" t="s">
        <v>1272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1273</v>
      </c>
    </row>
    <row r="577" spans="1:30" x14ac:dyDescent="0.25">
      <c r="H577" t="s">
        <v>1274</v>
      </c>
    </row>
    <row r="578" spans="1:30" x14ac:dyDescent="0.25">
      <c r="A578">
        <v>286</v>
      </c>
      <c r="B578">
        <v>1820</v>
      </c>
      <c r="C578" t="s">
        <v>1275</v>
      </c>
      <c r="D578" t="s">
        <v>44</v>
      </c>
      <c r="E578" t="s">
        <v>511</v>
      </c>
      <c r="F578" t="s">
        <v>1276</v>
      </c>
      <c r="G578" t="str">
        <f>"200910000321"</f>
        <v>200910000321</v>
      </c>
      <c r="H578" t="s">
        <v>212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32</v>
      </c>
      <c r="W578">
        <v>224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1277</v>
      </c>
    </row>
    <row r="579" spans="1:30" x14ac:dyDescent="0.25">
      <c r="H579" t="s">
        <v>1278</v>
      </c>
    </row>
    <row r="580" spans="1:30" x14ac:dyDescent="0.25">
      <c r="A580">
        <v>287</v>
      </c>
      <c r="B580">
        <v>4295</v>
      </c>
      <c r="C580" t="s">
        <v>1279</v>
      </c>
      <c r="D580" t="s">
        <v>185</v>
      </c>
      <c r="E580" t="s">
        <v>44</v>
      </c>
      <c r="F580" t="s">
        <v>1280</v>
      </c>
      <c r="G580" t="str">
        <f>"201511005892"</f>
        <v>201511005892</v>
      </c>
      <c r="H580">
        <v>737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>
        <v>1355</v>
      </c>
    </row>
    <row r="581" spans="1:30" x14ac:dyDescent="0.25">
      <c r="H581" t="s">
        <v>1281</v>
      </c>
    </row>
    <row r="582" spans="1:30" x14ac:dyDescent="0.25">
      <c r="A582">
        <v>288</v>
      </c>
      <c r="B582">
        <v>2998</v>
      </c>
      <c r="C582" t="s">
        <v>1282</v>
      </c>
      <c r="D582" t="s">
        <v>92</v>
      </c>
      <c r="E582" t="s">
        <v>100</v>
      </c>
      <c r="F582" t="s">
        <v>1283</v>
      </c>
      <c r="G582" t="str">
        <f>"201406010207"</f>
        <v>201406010207</v>
      </c>
      <c r="H582">
        <v>737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>
        <v>1355</v>
      </c>
    </row>
    <row r="583" spans="1:30" x14ac:dyDescent="0.25">
      <c r="H583" t="s">
        <v>1284</v>
      </c>
    </row>
    <row r="584" spans="1:30" x14ac:dyDescent="0.25">
      <c r="A584">
        <v>289</v>
      </c>
      <c r="B584">
        <v>5534</v>
      </c>
      <c r="C584" t="s">
        <v>1285</v>
      </c>
      <c r="D584" t="s">
        <v>806</v>
      </c>
      <c r="E584" t="s">
        <v>28</v>
      </c>
      <c r="F584" t="s">
        <v>1286</v>
      </c>
      <c r="G584" t="str">
        <f>"200712000930"</f>
        <v>200712000930</v>
      </c>
      <c r="H584">
        <v>737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1355</v>
      </c>
    </row>
    <row r="585" spans="1:30" x14ac:dyDescent="0.25">
      <c r="H585" t="s">
        <v>1287</v>
      </c>
    </row>
    <row r="586" spans="1:30" x14ac:dyDescent="0.25">
      <c r="A586">
        <v>290</v>
      </c>
      <c r="B586">
        <v>2903</v>
      </c>
      <c r="C586" t="s">
        <v>1288</v>
      </c>
      <c r="D586" t="s">
        <v>107</v>
      </c>
      <c r="E586" t="s">
        <v>24</v>
      </c>
      <c r="F586" t="s">
        <v>1289</v>
      </c>
      <c r="G586" t="str">
        <f>"201405000558"</f>
        <v>201405000558</v>
      </c>
      <c r="H586">
        <v>737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>
        <v>1355</v>
      </c>
    </row>
    <row r="587" spans="1:30" x14ac:dyDescent="0.25">
      <c r="H587" t="s">
        <v>1290</v>
      </c>
    </row>
    <row r="588" spans="1:30" x14ac:dyDescent="0.25">
      <c r="A588">
        <v>291</v>
      </c>
      <c r="B588">
        <v>3530</v>
      </c>
      <c r="C588" t="s">
        <v>1291</v>
      </c>
      <c r="D588" t="s">
        <v>122</v>
      </c>
      <c r="E588" t="s">
        <v>55</v>
      </c>
      <c r="F588" t="s">
        <v>1292</v>
      </c>
      <c r="G588" t="str">
        <f>"201511025382"</f>
        <v>201511025382</v>
      </c>
      <c r="H588">
        <v>737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>
        <v>1355</v>
      </c>
    </row>
    <row r="589" spans="1:30" x14ac:dyDescent="0.25">
      <c r="H589" t="s">
        <v>1293</v>
      </c>
    </row>
    <row r="590" spans="1:30" x14ac:dyDescent="0.25">
      <c r="A590">
        <v>292</v>
      </c>
      <c r="B590">
        <v>2708</v>
      </c>
      <c r="C590" t="s">
        <v>1294</v>
      </c>
      <c r="D590" t="s">
        <v>1182</v>
      </c>
      <c r="E590" t="s">
        <v>220</v>
      </c>
      <c r="F590" t="s">
        <v>1295</v>
      </c>
      <c r="G590" t="str">
        <f>"00300982"</f>
        <v>00300982</v>
      </c>
      <c r="H590" t="s">
        <v>1260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2</v>
      </c>
      <c r="AA590">
        <v>0</v>
      </c>
      <c r="AB590">
        <v>0</v>
      </c>
      <c r="AC590">
        <v>0</v>
      </c>
      <c r="AD590" t="s">
        <v>1296</v>
      </c>
    </row>
    <row r="591" spans="1:30" x14ac:dyDescent="0.25">
      <c r="H591" t="s">
        <v>1297</v>
      </c>
    </row>
    <row r="592" spans="1:30" x14ac:dyDescent="0.25">
      <c r="A592">
        <v>293</v>
      </c>
      <c r="B592">
        <v>4082</v>
      </c>
      <c r="C592" t="s">
        <v>1298</v>
      </c>
      <c r="D592" t="s">
        <v>15</v>
      </c>
      <c r="E592" t="s">
        <v>34</v>
      </c>
      <c r="F592" t="s">
        <v>1299</v>
      </c>
      <c r="G592" t="str">
        <f>"201412002603"</f>
        <v>201412002603</v>
      </c>
      <c r="H592">
        <v>715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>
        <v>1353</v>
      </c>
    </row>
    <row r="593" spans="1:30" x14ac:dyDescent="0.25">
      <c r="H593" t="s">
        <v>1300</v>
      </c>
    </row>
    <row r="594" spans="1:30" x14ac:dyDescent="0.25">
      <c r="A594">
        <v>294</v>
      </c>
      <c r="B594">
        <v>389</v>
      </c>
      <c r="C594" t="s">
        <v>1301</v>
      </c>
      <c r="D594" t="s">
        <v>566</v>
      </c>
      <c r="E594" t="s">
        <v>55</v>
      </c>
      <c r="F594" t="s">
        <v>1302</v>
      </c>
      <c r="G594" t="str">
        <f>"00201672"</f>
        <v>00201672</v>
      </c>
      <c r="H594" t="s">
        <v>827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1303</v>
      </c>
    </row>
    <row r="595" spans="1:30" x14ac:dyDescent="0.25">
      <c r="H595" t="s">
        <v>1304</v>
      </c>
    </row>
    <row r="596" spans="1:30" x14ac:dyDescent="0.25">
      <c r="A596">
        <v>295</v>
      </c>
      <c r="B596">
        <v>1005</v>
      </c>
      <c r="C596" t="s">
        <v>1305</v>
      </c>
      <c r="D596" t="s">
        <v>761</v>
      </c>
      <c r="E596" t="s">
        <v>107</v>
      </c>
      <c r="F596" t="s">
        <v>1306</v>
      </c>
      <c r="G596" t="str">
        <f>"00030164"</f>
        <v>00030164</v>
      </c>
      <c r="H596" t="s">
        <v>827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1303</v>
      </c>
    </row>
    <row r="597" spans="1:30" x14ac:dyDescent="0.25">
      <c r="H597" t="s">
        <v>1307</v>
      </c>
    </row>
    <row r="598" spans="1:30" x14ac:dyDescent="0.25">
      <c r="A598">
        <v>296</v>
      </c>
      <c r="B598">
        <v>6199</v>
      </c>
      <c r="C598" t="s">
        <v>1308</v>
      </c>
      <c r="D598" t="s">
        <v>158</v>
      </c>
      <c r="E598" t="s">
        <v>28</v>
      </c>
      <c r="F598" t="s">
        <v>1309</v>
      </c>
      <c r="G598" t="str">
        <f>"200806000999"</f>
        <v>200806000999</v>
      </c>
      <c r="H598" t="s">
        <v>1310</v>
      </c>
      <c r="I598">
        <v>150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53</v>
      </c>
      <c r="W598">
        <v>371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1311</v>
      </c>
    </row>
    <row r="599" spans="1:30" x14ac:dyDescent="0.25">
      <c r="H599" t="s">
        <v>1312</v>
      </c>
    </row>
    <row r="600" spans="1:30" x14ac:dyDescent="0.25">
      <c r="A600">
        <v>297</v>
      </c>
      <c r="B600">
        <v>1881</v>
      </c>
      <c r="C600" t="s">
        <v>1313</v>
      </c>
      <c r="D600" t="s">
        <v>1314</v>
      </c>
      <c r="E600" t="s">
        <v>330</v>
      </c>
      <c r="F600" t="s">
        <v>1315</v>
      </c>
      <c r="G600" t="str">
        <f>"201502002820"</f>
        <v>201502002820</v>
      </c>
      <c r="H600" t="s">
        <v>388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1316</v>
      </c>
    </row>
    <row r="601" spans="1:30" x14ac:dyDescent="0.25">
      <c r="H601" t="s">
        <v>1317</v>
      </c>
    </row>
    <row r="602" spans="1:30" x14ac:dyDescent="0.25">
      <c r="A602">
        <v>298</v>
      </c>
      <c r="B602">
        <v>1941</v>
      </c>
      <c r="C602" t="s">
        <v>1318</v>
      </c>
      <c r="D602" t="s">
        <v>210</v>
      </c>
      <c r="E602" t="s">
        <v>262</v>
      </c>
      <c r="F602" t="s">
        <v>1319</v>
      </c>
      <c r="G602" t="str">
        <f>"00255361"</f>
        <v>00255361</v>
      </c>
      <c r="H602">
        <v>913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0</v>
      </c>
      <c r="AB602">
        <v>24</v>
      </c>
      <c r="AC602">
        <v>408</v>
      </c>
      <c r="AD602">
        <v>1351</v>
      </c>
    </row>
    <row r="603" spans="1:30" x14ac:dyDescent="0.25">
      <c r="H603" t="s">
        <v>1320</v>
      </c>
    </row>
    <row r="604" spans="1:30" x14ac:dyDescent="0.25">
      <c r="A604">
        <v>299</v>
      </c>
      <c r="B604">
        <v>2803</v>
      </c>
      <c r="C604" t="s">
        <v>1321</v>
      </c>
      <c r="D604" t="s">
        <v>1322</v>
      </c>
      <c r="E604" t="s">
        <v>100</v>
      </c>
      <c r="F604" t="s">
        <v>1323</v>
      </c>
      <c r="G604" t="str">
        <f>"200712003088"</f>
        <v>200712003088</v>
      </c>
      <c r="H604">
        <v>693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>
        <v>1351</v>
      </c>
    </row>
    <row r="605" spans="1:30" x14ac:dyDescent="0.25">
      <c r="H605" t="s">
        <v>1324</v>
      </c>
    </row>
    <row r="606" spans="1:30" x14ac:dyDescent="0.25">
      <c r="A606">
        <v>300</v>
      </c>
      <c r="B606">
        <v>3486</v>
      </c>
      <c r="C606" t="s">
        <v>1325</v>
      </c>
      <c r="D606" t="s">
        <v>76</v>
      </c>
      <c r="E606" t="s">
        <v>24</v>
      </c>
      <c r="F606" t="s">
        <v>1326</v>
      </c>
      <c r="G606" t="str">
        <f>"201604001634"</f>
        <v>201604001634</v>
      </c>
      <c r="H606">
        <v>693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>
        <v>1351</v>
      </c>
    </row>
    <row r="607" spans="1:30" x14ac:dyDescent="0.25">
      <c r="H607" t="s">
        <v>1327</v>
      </c>
    </row>
    <row r="608" spans="1:30" x14ac:dyDescent="0.25">
      <c r="A608">
        <v>301</v>
      </c>
      <c r="B608">
        <v>1679</v>
      </c>
      <c r="C608" t="s">
        <v>1328</v>
      </c>
      <c r="D608" t="s">
        <v>107</v>
      </c>
      <c r="E608" t="s">
        <v>24</v>
      </c>
      <c r="F608" t="s">
        <v>1329</v>
      </c>
      <c r="G608" t="str">
        <f>"00110608"</f>
        <v>00110608</v>
      </c>
      <c r="H608" t="s">
        <v>1330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76</v>
      </c>
      <c r="W608">
        <v>532</v>
      </c>
      <c r="X608">
        <v>0</v>
      </c>
      <c r="Z608">
        <v>0</v>
      </c>
      <c r="AA608">
        <v>0</v>
      </c>
      <c r="AB608">
        <v>8</v>
      </c>
      <c r="AC608">
        <v>136</v>
      </c>
      <c r="AD608" t="s">
        <v>1331</v>
      </c>
    </row>
    <row r="609" spans="1:30" x14ac:dyDescent="0.25">
      <c r="H609" t="s">
        <v>1332</v>
      </c>
    </row>
    <row r="610" spans="1:30" x14ac:dyDescent="0.25">
      <c r="A610">
        <v>302</v>
      </c>
      <c r="B610">
        <v>2441</v>
      </c>
      <c r="C610" t="s">
        <v>1333</v>
      </c>
      <c r="D610" t="s">
        <v>158</v>
      </c>
      <c r="E610" t="s">
        <v>28</v>
      </c>
      <c r="F610" t="s">
        <v>1334</v>
      </c>
      <c r="G610" t="str">
        <f>"200901000679"</f>
        <v>200901000679</v>
      </c>
      <c r="H610" t="s">
        <v>1335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80</v>
      </c>
      <c r="W610">
        <v>560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1336</v>
      </c>
    </row>
    <row r="611" spans="1:30" x14ac:dyDescent="0.25">
      <c r="H611" t="s">
        <v>1337</v>
      </c>
    </row>
    <row r="612" spans="1:30" x14ac:dyDescent="0.25">
      <c r="A612">
        <v>303</v>
      </c>
      <c r="B612">
        <v>4438</v>
      </c>
      <c r="C612" t="s">
        <v>1338</v>
      </c>
      <c r="D612" t="s">
        <v>644</v>
      </c>
      <c r="E612" t="s">
        <v>55</v>
      </c>
      <c r="F612" t="s">
        <v>1339</v>
      </c>
      <c r="G612" t="str">
        <f>"201401001910"</f>
        <v>201401001910</v>
      </c>
      <c r="H612" t="s">
        <v>664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30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50</v>
      </c>
      <c r="W612">
        <v>350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1340</v>
      </c>
    </row>
    <row r="613" spans="1:30" x14ac:dyDescent="0.25">
      <c r="H613" t="s">
        <v>1341</v>
      </c>
    </row>
    <row r="614" spans="1:30" x14ac:dyDescent="0.25">
      <c r="A614">
        <v>304</v>
      </c>
      <c r="B614">
        <v>4061</v>
      </c>
      <c r="C614" t="s">
        <v>1342</v>
      </c>
      <c r="D614" t="s">
        <v>92</v>
      </c>
      <c r="E614" t="s">
        <v>34</v>
      </c>
      <c r="F614" t="s">
        <v>1343</v>
      </c>
      <c r="G614" t="str">
        <f>"200805000833"</f>
        <v>200805000833</v>
      </c>
      <c r="H614" t="s">
        <v>309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50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43</v>
      </c>
      <c r="W614">
        <v>301</v>
      </c>
      <c r="X614">
        <v>0</v>
      </c>
      <c r="Z614">
        <v>0</v>
      </c>
      <c r="AA614">
        <v>0</v>
      </c>
      <c r="AB614">
        <v>11</v>
      </c>
      <c r="AC614">
        <v>187</v>
      </c>
      <c r="AD614" t="s">
        <v>1344</v>
      </c>
    </row>
    <row r="615" spans="1:30" x14ac:dyDescent="0.25">
      <c r="H615" t="s">
        <v>1345</v>
      </c>
    </row>
    <row r="616" spans="1:30" x14ac:dyDescent="0.25">
      <c r="A616">
        <v>305</v>
      </c>
      <c r="B616">
        <v>6208</v>
      </c>
      <c r="C616" t="s">
        <v>1346</v>
      </c>
      <c r="D616" t="s">
        <v>1347</v>
      </c>
      <c r="E616" t="s">
        <v>34</v>
      </c>
      <c r="F616" t="s">
        <v>1348</v>
      </c>
      <c r="G616" t="str">
        <f>"00028958"</f>
        <v>00028958</v>
      </c>
      <c r="H616" t="s">
        <v>175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1349</v>
      </c>
    </row>
    <row r="617" spans="1:30" x14ac:dyDescent="0.25">
      <c r="H617" t="s">
        <v>1350</v>
      </c>
    </row>
    <row r="618" spans="1:30" x14ac:dyDescent="0.25">
      <c r="A618">
        <v>306</v>
      </c>
      <c r="B618">
        <v>393</v>
      </c>
      <c r="C618" t="s">
        <v>1351</v>
      </c>
      <c r="D618" t="s">
        <v>185</v>
      </c>
      <c r="E618" t="s">
        <v>24</v>
      </c>
      <c r="F618" t="s">
        <v>1352</v>
      </c>
      <c r="G618" t="str">
        <f>"201412005326"</f>
        <v>201412005326</v>
      </c>
      <c r="H618" t="s">
        <v>875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34</v>
      </c>
      <c r="W618">
        <v>238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1353</v>
      </c>
    </row>
    <row r="619" spans="1:30" x14ac:dyDescent="0.25">
      <c r="H619" t="s">
        <v>1354</v>
      </c>
    </row>
    <row r="620" spans="1:30" x14ac:dyDescent="0.25">
      <c r="A620">
        <v>307</v>
      </c>
      <c r="B620">
        <v>3760</v>
      </c>
      <c r="C620" t="s">
        <v>1355</v>
      </c>
      <c r="D620" t="s">
        <v>771</v>
      </c>
      <c r="E620" t="s">
        <v>28</v>
      </c>
      <c r="F620" t="s">
        <v>1356</v>
      </c>
      <c r="G620" t="str">
        <f>"200802007282"</f>
        <v>200802007282</v>
      </c>
      <c r="H620" t="s">
        <v>1357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1353</v>
      </c>
    </row>
    <row r="621" spans="1:30" x14ac:dyDescent="0.25">
      <c r="H621" t="s">
        <v>1358</v>
      </c>
    </row>
    <row r="622" spans="1:30" x14ac:dyDescent="0.25">
      <c r="A622">
        <v>308</v>
      </c>
      <c r="B622">
        <v>2836</v>
      </c>
      <c r="C622" t="s">
        <v>1359</v>
      </c>
      <c r="D622" t="s">
        <v>1270</v>
      </c>
      <c r="E622" t="s">
        <v>121</v>
      </c>
      <c r="F622" t="s">
        <v>1360</v>
      </c>
      <c r="G622" t="str">
        <f>"00118057"</f>
        <v>00118057</v>
      </c>
      <c r="H622">
        <v>726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>
        <v>0</v>
      </c>
      <c r="AB622">
        <v>0</v>
      </c>
      <c r="AC622">
        <v>0</v>
      </c>
      <c r="AD622">
        <v>1344</v>
      </c>
    </row>
    <row r="623" spans="1:30" x14ac:dyDescent="0.25">
      <c r="H623" t="s">
        <v>1361</v>
      </c>
    </row>
    <row r="624" spans="1:30" x14ac:dyDescent="0.25">
      <c r="A624">
        <v>309</v>
      </c>
      <c r="B624">
        <v>3552</v>
      </c>
      <c r="C624" t="s">
        <v>1362</v>
      </c>
      <c r="D624" t="s">
        <v>44</v>
      </c>
      <c r="E624" t="s">
        <v>56</v>
      </c>
      <c r="F624" t="s">
        <v>1363</v>
      </c>
      <c r="G624" t="str">
        <f>"200801010760"</f>
        <v>200801010760</v>
      </c>
      <c r="H624">
        <v>726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1344</v>
      </c>
    </row>
    <row r="625" spans="1:30" x14ac:dyDescent="0.25">
      <c r="H625" t="s">
        <v>1364</v>
      </c>
    </row>
    <row r="626" spans="1:30" x14ac:dyDescent="0.25">
      <c r="A626">
        <v>310</v>
      </c>
      <c r="B626">
        <v>5279</v>
      </c>
      <c r="C626" t="s">
        <v>1365</v>
      </c>
      <c r="D626" t="s">
        <v>1270</v>
      </c>
      <c r="E626" t="s">
        <v>1366</v>
      </c>
      <c r="F626" t="s">
        <v>1367</v>
      </c>
      <c r="G626" t="str">
        <f>"00079117"</f>
        <v>00079117</v>
      </c>
      <c r="H626">
        <v>726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2</v>
      </c>
      <c r="AA626">
        <v>0</v>
      </c>
      <c r="AB626">
        <v>0</v>
      </c>
      <c r="AC626">
        <v>0</v>
      </c>
      <c r="AD626">
        <v>1344</v>
      </c>
    </row>
    <row r="627" spans="1:30" x14ac:dyDescent="0.25">
      <c r="H627" t="s">
        <v>1368</v>
      </c>
    </row>
    <row r="628" spans="1:30" x14ac:dyDescent="0.25">
      <c r="A628">
        <v>311</v>
      </c>
      <c r="B628">
        <v>5566</v>
      </c>
      <c r="C628" t="s">
        <v>1369</v>
      </c>
      <c r="D628" t="s">
        <v>700</v>
      </c>
      <c r="E628" t="s">
        <v>86</v>
      </c>
      <c r="F628" t="s">
        <v>1370</v>
      </c>
      <c r="G628" t="str">
        <f>"201511020740"</f>
        <v>201511020740</v>
      </c>
      <c r="H628">
        <v>726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>
        <v>1344</v>
      </c>
    </row>
    <row r="629" spans="1:30" x14ac:dyDescent="0.25">
      <c r="H629" t="s">
        <v>1371</v>
      </c>
    </row>
    <row r="630" spans="1:30" x14ac:dyDescent="0.25">
      <c r="A630">
        <v>312</v>
      </c>
      <c r="B630">
        <v>2715</v>
      </c>
      <c r="C630" t="s">
        <v>1372</v>
      </c>
      <c r="D630" t="s">
        <v>168</v>
      </c>
      <c r="E630" t="s">
        <v>220</v>
      </c>
      <c r="F630" t="s">
        <v>1373</v>
      </c>
      <c r="G630" t="str">
        <f>"201411001709"</f>
        <v>201411001709</v>
      </c>
      <c r="H630">
        <v>726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1344</v>
      </c>
    </row>
    <row r="631" spans="1:30" x14ac:dyDescent="0.25">
      <c r="H631" t="s">
        <v>1374</v>
      </c>
    </row>
    <row r="632" spans="1:30" x14ac:dyDescent="0.25">
      <c r="A632">
        <v>313</v>
      </c>
      <c r="B632">
        <v>5434</v>
      </c>
      <c r="C632" t="s">
        <v>1375</v>
      </c>
      <c r="D632" t="s">
        <v>359</v>
      </c>
      <c r="E632" t="s">
        <v>220</v>
      </c>
      <c r="F632" t="s">
        <v>1376</v>
      </c>
      <c r="G632" t="str">
        <f>"00291397"</f>
        <v>00291397</v>
      </c>
      <c r="H632">
        <v>726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1344</v>
      </c>
    </row>
    <row r="633" spans="1:30" x14ac:dyDescent="0.25">
      <c r="H633" t="s">
        <v>1377</v>
      </c>
    </row>
    <row r="634" spans="1:30" x14ac:dyDescent="0.25">
      <c r="A634">
        <v>314</v>
      </c>
      <c r="B634">
        <v>5829</v>
      </c>
      <c r="C634" t="s">
        <v>1378</v>
      </c>
      <c r="D634" t="s">
        <v>55</v>
      </c>
      <c r="E634" t="s">
        <v>34</v>
      </c>
      <c r="F634" t="s">
        <v>1379</v>
      </c>
      <c r="G634" t="str">
        <f>"00359840"</f>
        <v>00359840</v>
      </c>
      <c r="H634">
        <v>726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1344</v>
      </c>
    </row>
    <row r="635" spans="1:30" x14ac:dyDescent="0.25">
      <c r="H635" t="s">
        <v>1380</v>
      </c>
    </row>
    <row r="636" spans="1:30" x14ac:dyDescent="0.25">
      <c r="A636">
        <v>315</v>
      </c>
      <c r="B636">
        <v>905</v>
      </c>
      <c r="C636" t="s">
        <v>1381</v>
      </c>
      <c r="D636" t="s">
        <v>436</v>
      </c>
      <c r="E636" t="s">
        <v>1382</v>
      </c>
      <c r="F636" t="s">
        <v>1383</v>
      </c>
      <c r="G636" t="str">
        <f>"200808000099"</f>
        <v>200808000099</v>
      </c>
      <c r="H636">
        <v>726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1344</v>
      </c>
    </row>
    <row r="637" spans="1:30" x14ac:dyDescent="0.25">
      <c r="H637" t="s">
        <v>1384</v>
      </c>
    </row>
    <row r="638" spans="1:30" x14ac:dyDescent="0.25">
      <c r="A638">
        <v>316</v>
      </c>
      <c r="B638">
        <v>3288</v>
      </c>
      <c r="C638" t="s">
        <v>1385</v>
      </c>
      <c r="D638" t="s">
        <v>69</v>
      </c>
      <c r="E638" t="s">
        <v>34</v>
      </c>
      <c r="F638" t="s">
        <v>1386</v>
      </c>
      <c r="G638" t="str">
        <f>"00195592"</f>
        <v>00195592</v>
      </c>
      <c r="H638" t="s">
        <v>1387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74</v>
      </c>
      <c r="W638">
        <v>518</v>
      </c>
      <c r="X638">
        <v>0</v>
      </c>
      <c r="Z638">
        <v>1</v>
      </c>
      <c r="AA638">
        <v>0</v>
      </c>
      <c r="AB638">
        <v>0</v>
      </c>
      <c r="AC638">
        <v>0</v>
      </c>
      <c r="AD638" t="s">
        <v>1388</v>
      </c>
    </row>
    <row r="639" spans="1:30" x14ac:dyDescent="0.25">
      <c r="H639" t="s">
        <v>1389</v>
      </c>
    </row>
    <row r="640" spans="1:30" x14ac:dyDescent="0.25">
      <c r="A640">
        <v>317</v>
      </c>
      <c r="B640">
        <v>4444</v>
      </c>
      <c r="C640" t="s">
        <v>1390</v>
      </c>
      <c r="D640" t="s">
        <v>1391</v>
      </c>
      <c r="E640" t="s">
        <v>146</v>
      </c>
      <c r="F640" t="s">
        <v>1392</v>
      </c>
      <c r="G640" t="str">
        <f>"00361075"</f>
        <v>00361075</v>
      </c>
      <c r="H640" t="s">
        <v>1393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50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80</v>
      </c>
      <c r="W640">
        <v>560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1394</v>
      </c>
    </row>
    <row r="641" spans="1:30" x14ac:dyDescent="0.25">
      <c r="H641" t="s">
        <v>1395</v>
      </c>
    </row>
    <row r="642" spans="1:30" x14ac:dyDescent="0.25">
      <c r="A642">
        <v>318</v>
      </c>
      <c r="B642">
        <v>548</v>
      </c>
      <c r="C642" t="s">
        <v>1396</v>
      </c>
      <c r="D642" t="s">
        <v>158</v>
      </c>
      <c r="E642" t="s">
        <v>278</v>
      </c>
      <c r="F642" t="s">
        <v>1397</v>
      </c>
      <c r="G642" t="str">
        <f>"00222320"</f>
        <v>00222320</v>
      </c>
      <c r="H642" t="s">
        <v>405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1</v>
      </c>
      <c r="AA642">
        <v>0</v>
      </c>
      <c r="AB642">
        <v>0</v>
      </c>
      <c r="AC642">
        <v>0</v>
      </c>
      <c r="AD642" t="s">
        <v>1398</v>
      </c>
    </row>
    <row r="643" spans="1:30" x14ac:dyDescent="0.25">
      <c r="H643" t="s">
        <v>1399</v>
      </c>
    </row>
    <row r="644" spans="1:30" x14ac:dyDescent="0.25">
      <c r="A644">
        <v>319</v>
      </c>
      <c r="B644">
        <v>921</v>
      </c>
      <c r="C644" t="s">
        <v>1400</v>
      </c>
      <c r="D644" t="s">
        <v>604</v>
      </c>
      <c r="E644" t="s">
        <v>44</v>
      </c>
      <c r="F644" t="s">
        <v>1401</v>
      </c>
      <c r="G644" t="str">
        <f>"00161417"</f>
        <v>00161417</v>
      </c>
      <c r="H644">
        <v>693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30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1341</v>
      </c>
    </row>
    <row r="645" spans="1:30" x14ac:dyDescent="0.25">
      <c r="H645" t="s">
        <v>1402</v>
      </c>
    </row>
    <row r="646" spans="1:30" x14ac:dyDescent="0.25">
      <c r="A646">
        <v>320</v>
      </c>
      <c r="B646">
        <v>3400</v>
      </c>
      <c r="C646" t="s">
        <v>1403</v>
      </c>
      <c r="D646" t="s">
        <v>761</v>
      </c>
      <c r="E646" t="s">
        <v>93</v>
      </c>
      <c r="F646" t="s">
        <v>1404</v>
      </c>
      <c r="G646" t="str">
        <f>"00203156"</f>
        <v>00203156</v>
      </c>
      <c r="H646">
        <v>693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30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1341</v>
      </c>
    </row>
    <row r="647" spans="1:30" x14ac:dyDescent="0.25">
      <c r="H647" t="s">
        <v>1405</v>
      </c>
    </row>
    <row r="648" spans="1:30" x14ac:dyDescent="0.25">
      <c r="A648">
        <v>321</v>
      </c>
      <c r="B648">
        <v>4127</v>
      </c>
      <c r="C648" t="s">
        <v>1406</v>
      </c>
      <c r="D648" t="s">
        <v>70</v>
      </c>
      <c r="E648" t="s">
        <v>1407</v>
      </c>
      <c r="F648" t="s">
        <v>1408</v>
      </c>
      <c r="G648" t="str">
        <f>"00089475"</f>
        <v>00089475</v>
      </c>
      <c r="H648" t="s">
        <v>1409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51</v>
      </c>
      <c r="W648">
        <v>357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1410</v>
      </c>
    </row>
    <row r="649" spans="1:30" x14ac:dyDescent="0.25">
      <c r="H649" t="s">
        <v>1411</v>
      </c>
    </row>
    <row r="650" spans="1:30" x14ac:dyDescent="0.25">
      <c r="A650">
        <v>322</v>
      </c>
      <c r="B650">
        <v>2275</v>
      </c>
      <c r="C650" t="s">
        <v>1412</v>
      </c>
      <c r="D650" t="s">
        <v>69</v>
      </c>
      <c r="E650" t="s">
        <v>34</v>
      </c>
      <c r="F650" t="s">
        <v>1413</v>
      </c>
      <c r="G650" t="str">
        <f>"201406003727"</f>
        <v>201406003727</v>
      </c>
      <c r="H650" t="s">
        <v>1414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1415</v>
      </c>
    </row>
    <row r="651" spans="1:30" x14ac:dyDescent="0.25">
      <c r="H651" t="s">
        <v>1416</v>
      </c>
    </row>
    <row r="652" spans="1:30" x14ac:dyDescent="0.25">
      <c r="A652">
        <v>323</v>
      </c>
      <c r="B652">
        <v>4662</v>
      </c>
      <c r="C652" t="s">
        <v>1417</v>
      </c>
      <c r="D652" t="s">
        <v>898</v>
      </c>
      <c r="E652" t="s">
        <v>34</v>
      </c>
      <c r="F652" t="s">
        <v>1418</v>
      </c>
      <c r="G652" t="str">
        <f>"201406010821"</f>
        <v>201406010821</v>
      </c>
      <c r="H652" t="s">
        <v>1419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1420</v>
      </c>
    </row>
    <row r="653" spans="1:30" x14ac:dyDescent="0.25">
      <c r="H653" t="s">
        <v>1421</v>
      </c>
    </row>
    <row r="654" spans="1:30" x14ac:dyDescent="0.25">
      <c r="A654">
        <v>324</v>
      </c>
      <c r="B654">
        <v>3995</v>
      </c>
      <c r="C654" t="s">
        <v>1422</v>
      </c>
      <c r="D654" t="s">
        <v>879</v>
      </c>
      <c r="E654" t="s">
        <v>107</v>
      </c>
      <c r="F654" t="s">
        <v>1423</v>
      </c>
      <c r="G654" t="str">
        <f>"00327608"</f>
        <v>00327608</v>
      </c>
      <c r="H654" t="s">
        <v>117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1424</v>
      </c>
    </row>
    <row r="655" spans="1:30" x14ac:dyDescent="0.25">
      <c r="H655" t="s">
        <v>1425</v>
      </c>
    </row>
    <row r="656" spans="1:30" x14ac:dyDescent="0.25">
      <c r="A656">
        <v>325</v>
      </c>
      <c r="B656">
        <v>5135</v>
      </c>
      <c r="C656" t="s">
        <v>1426</v>
      </c>
      <c r="D656" t="s">
        <v>55</v>
      </c>
      <c r="E656" t="s">
        <v>278</v>
      </c>
      <c r="F656" t="s">
        <v>1427</v>
      </c>
      <c r="G656" t="str">
        <f>"00015993"</f>
        <v>00015993</v>
      </c>
      <c r="H656" t="s">
        <v>481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1428</v>
      </c>
    </row>
    <row r="657" spans="1:30" x14ac:dyDescent="0.25">
      <c r="H657" t="s">
        <v>1429</v>
      </c>
    </row>
    <row r="658" spans="1:30" x14ac:dyDescent="0.25">
      <c r="A658">
        <v>326</v>
      </c>
      <c r="B658">
        <v>2866</v>
      </c>
      <c r="C658" t="s">
        <v>1430</v>
      </c>
      <c r="D658" t="s">
        <v>24</v>
      </c>
      <c r="E658" t="s">
        <v>289</v>
      </c>
      <c r="F658" t="s">
        <v>1431</v>
      </c>
      <c r="G658" t="str">
        <f>"00312139"</f>
        <v>00312139</v>
      </c>
      <c r="H658" t="s">
        <v>481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1428</v>
      </c>
    </row>
    <row r="659" spans="1:30" x14ac:dyDescent="0.25">
      <c r="H659" t="s">
        <v>1432</v>
      </c>
    </row>
    <row r="660" spans="1:30" x14ac:dyDescent="0.25">
      <c r="A660">
        <v>327</v>
      </c>
      <c r="B660">
        <v>13</v>
      </c>
      <c r="C660" t="s">
        <v>1433</v>
      </c>
      <c r="D660" t="s">
        <v>1434</v>
      </c>
      <c r="E660" t="s">
        <v>107</v>
      </c>
      <c r="F660" t="s">
        <v>1435</v>
      </c>
      <c r="G660" t="str">
        <f>"00250302"</f>
        <v>00250302</v>
      </c>
      <c r="H660">
        <v>770</v>
      </c>
      <c r="I660">
        <v>0</v>
      </c>
      <c r="J660">
        <v>0</v>
      </c>
      <c r="K660">
        <v>0</v>
      </c>
      <c r="L660">
        <v>0</v>
      </c>
      <c r="M660">
        <v>100</v>
      </c>
      <c r="N660">
        <v>30</v>
      </c>
      <c r="O660">
        <v>0</v>
      </c>
      <c r="P660">
        <v>0</v>
      </c>
      <c r="Q660">
        <v>0</v>
      </c>
      <c r="R660">
        <v>30</v>
      </c>
      <c r="S660">
        <v>0</v>
      </c>
      <c r="T660">
        <v>0</v>
      </c>
      <c r="U660">
        <v>0</v>
      </c>
      <c r="V660">
        <v>58</v>
      </c>
      <c r="W660">
        <v>406</v>
      </c>
      <c r="X660">
        <v>0</v>
      </c>
      <c r="Z660">
        <v>0</v>
      </c>
      <c r="AA660">
        <v>0</v>
      </c>
      <c r="AB660">
        <v>0</v>
      </c>
      <c r="AC660">
        <v>0</v>
      </c>
      <c r="AD660">
        <v>1336</v>
      </c>
    </row>
    <row r="661" spans="1:30" x14ac:dyDescent="0.25">
      <c r="H661" t="s">
        <v>1436</v>
      </c>
    </row>
    <row r="662" spans="1:30" x14ac:dyDescent="0.25">
      <c r="A662">
        <v>328</v>
      </c>
      <c r="B662">
        <v>5811</v>
      </c>
      <c r="C662" t="s">
        <v>1437</v>
      </c>
      <c r="D662" t="s">
        <v>185</v>
      </c>
      <c r="E662" t="s">
        <v>86</v>
      </c>
      <c r="F662" t="s">
        <v>1438</v>
      </c>
      <c r="G662" t="str">
        <f>"200805000584"</f>
        <v>200805000584</v>
      </c>
      <c r="H662" t="s">
        <v>1439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80</v>
      </c>
      <c r="W662">
        <v>560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1440</v>
      </c>
    </row>
    <row r="663" spans="1:30" x14ac:dyDescent="0.25">
      <c r="H663" t="s">
        <v>1441</v>
      </c>
    </row>
    <row r="664" spans="1:30" x14ac:dyDescent="0.25">
      <c r="A664">
        <v>329</v>
      </c>
      <c r="B664">
        <v>3731</v>
      </c>
      <c r="C664" t="s">
        <v>1442</v>
      </c>
      <c r="D664" t="s">
        <v>416</v>
      </c>
      <c r="E664" t="s">
        <v>24</v>
      </c>
      <c r="F664" t="s">
        <v>1443</v>
      </c>
      <c r="G664" t="str">
        <f>"201504003718"</f>
        <v>201504003718</v>
      </c>
      <c r="H664" t="s">
        <v>1444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24</v>
      </c>
      <c r="W664">
        <v>168</v>
      </c>
      <c r="X664">
        <v>0</v>
      </c>
      <c r="Z664">
        <v>0</v>
      </c>
      <c r="AA664">
        <v>0</v>
      </c>
      <c r="AB664">
        <v>24</v>
      </c>
      <c r="AC664">
        <v>408</v>
      </c>
      <c r="AD664" t="s">
        <v>1445</v>
      </c>
    </row>
    <row r="665" spans="1:30" x14ac:dyDescent="0.25">
      <c r="H665">
        <v>1201</v>
      </c>
    </row>
    <row r="666" spans="1:30" x14ac:dyDescent="0.25">
      <c r="A666">
        <v>330</v>
      </c>
      <c r="B666">
        <v>1458</v>
      </c>
      <c r="C666" t="s">
        <v>1446</v>
      </c>
      <c r="D666" t="s">
        <v>246</v>
      </c>
      <c r="E666" t="s">
        <v>330</v>
      </c>
      <c r="F666" t="s">
        <v>1447</v>
      </c>
      <c r="G666" t="str">
        <f>"201411001185"</f>
        <v>201411001185</v>
      </c>
      <c r="H666" t="s">
        <v>226</v>
      </c>
      <c r="I666">
        <v>150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15</v>
      </c>
      <c r="W666">
        <v>105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1448</v>
      </c>
    </row>
    <row r="667" spans="1:30" x14ac:dyDescent="0.25">
      <c r="H667" t="s">
        <v>1449</v>
      </c>
    </row>
    <row r="668" spans="1:30" x14ac:dyDescent="0.25">
      <c r="A668">
        <v>331</v>
      </c>
      <c r="B668">
        <v>1972</v>
      </c>
      <c r="C668" t="s">
        <v>1450</v>
      </c>
      <c r="D668" t="s">
        <v>1451</v>
      </c>
      <c r="E668" t="s">
        <v>1452</v>
      </c>
      <c r="F668" t="s">
        <v>1453</v>
      </c>
      <c r="G668" t="str">
        <f>"00101660"</f>
        <v>00101660</v>
      </c>
      <c r="H668" t="s">
        <v>142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45</v>
      </c>
      <c r="W668">
        <v>315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1454</v>
      </c>
    </row>
    <row r="669" spans="1:30" x14ac:dyDescent="0.25">
      <c r="H669" t="s">
        <v>1455</v>
      </c>
    </row>
    <row r="670" spans="1:30" x14ac:dyDescent="0.25">
      <c r="A670">
        <v>332</v>
      </c>
      <c r="B670">
        <v>2374</v>
      </c>
      <c r="C670" t="s">
        <v>1456</v>
      </c>
      <c r="D670" t="s">
        <v>1457</v>
      </c>
      <c r="E670" t="s">
        <v>1458</v>
      </c>
      <c r="F670" t="s">
        <v>1459</v>
      </c>
      <c r="G670" t="str">
        <f>"201511035531"</f>
        <v>201511035531</v>
      </c>
      <c r="H670" t="s">
        <v>1460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69</v>
      </c>
      <c r="W670">
        <v>483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1461</v>
      </c>
    </row>
    <row r="671" spans="1:30" x14ac:dyDescent="0.25">
      <c r="H671" t="s">
        <v>1462</v>
      </c>
    </row>
    <row r="672" spans="1:30" x14ac:dyDescent="0.25">
      <c r="A672">
        <v>333</v>
      </c>
      <c r="B672">
        <v>4617</v>
      </c>
      <c r="C672" t="s">
        <v>1463</v>
      </c>
      <c r="D672" t="s">
        <v>479</v>
      </c>
      <c r="E672" t="s">
        <v>268</v>
      </c>
      <c r="F672" t="s">
        <v>1464</v>
      </c>
      <c r="G672" t="str">
        <f>"00318682"</f>
        <v>00318682</v>
      </c>
      <c r="H672">
        <v>715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1333</v>
      </c>
    </row>
    <row r="673" spans="1:30" x14ac:dyDescent="0.25">
      <c r="H673" t="s">
        <v>1465</v>
      </c>
    </row>
    <row r="674" spans="1:30" x14ac:dyDescent="0.25">
      <c r="A674">
        <v>334</v>
      </c>
      <c r="B674">
        <v>5141</v>
      </c>
      <c r="C674" t="s">
        <v>1466</v>
      </c>
      <c r="D674" t="s">
        <v>1467</v>
      </c>
      <c r="E674" t="s">
        <v>93</v>
      </c>
      <c r="F674" t="s">
        <v>1468</v>
      </c>
      <c r="G674" t="str">
        <f>"00186318"</f>
        <v>00186318</v>
      </c>
      <c r="H674">
        <v>715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1333</v>
      </c>
    </row>
    <row r="675" spans="1:30" x14ac:dyDescent="0.25">
      <c r="H675" t="s">
        <v>1469</v>
      </c>
    </row>
    <row r="676" spans="1:30" x14ac:dyDescent="0.25">
      <c r="A676">
        <v>335</v>
      </c>
      <c r="B676">
        <v>2494</v>
      </c>
      <c r="C676" t="s">
        <v>1470</v>
      </c>
      <c r="D676" t="s">
        <v>246</v>
      </c>
      <c r="E676" t="s">
        <v>721</v>
      </c>
      <c r="F676" t="s">
        <v>1471</v>
      </c>
      <c r="G676" t="str">
        <f>"201406001742"</f>
        <v>201406001742</v>
      </c>
      <c r="H676" t="s">
        <v>1472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30</v>
      </c>
      <c r="W676">
        <v>210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1473</v>
      </c>
    </row>
    <row r="677" spans="1:30" x14ac:dyDescent="0.25">
      <c r="H677" t="s">
        <v>1474</v>
      </c>
    </row>
    <row r="678" spans="1:30" x14ac:dyDescent="0.25">
      <c r="A678">
        <v>336</v>
      </c>
      <c r="B678">
        <v>2268</v>
      </c>
      <c r="C678" t="s">
        <v>1475</v>
      </c>
      <c r="D678" t="s">
        <v>358</v>
      </c>
      <c r="E678" t="s">
        <v>1476</v>
      </c>
      <c r="F678" t="s">
        <v>1477</v>
      </c>
      <c r="G678" t="str">
        <f>"00323969"</f>
        <v>00323969</v>
      </c>
      <c r="H678">
        <v>682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30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>
        <v>1330</v>
      </c>
    </row>
    <row r="679" spans="1:30" x14ac:dyDescent="0.25">
      <c r="H679" t="s">
        <v>1478</v>
      </c>
    </row>
    <row r="680" spans="1:30" x14ac:dyDescent="0.25">
      <c r="A680">
        <v>337</v>
      </c>
      <c r="B680">
        <v>1321</v>
      </c>
      <c r="C680" t="s">
        <v>1479</v>
      </c>
      <c r="D680" t="s">
        <v>220</v>
      </c>
      <c r="E680" t="s">
        <v>100</v>
      </c>
      <c r="F680" t="s">
        <v>1480</v>
      </c>
      <c r="G680" t="str">
        <f>"201406016100"</f>
        <v>201406016100</v>
      </c>
      <c r="H680" t="s">
        <v>1260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73</v>
      </c>
      <c r="W680">
        <v>511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1481</v>
      </c>
    </row>
    <row r="681" spans="1:30" x14ac:dyDescent="0.25">
      <c r="H681" t="s">
        <v>1482</v>
      </c>
    </row>
    <row r="682" spans="1:30" x14ac:dyDescent="0.25">
      <c r="A682">
        <v>338</v>
      </c>
      <c r="B682">
        <v>4183</v>
      </c>
      <c r="C682" t="s">
        <v>1483</v>
      </c>
      <c r="D682" t="s">
        <v>210</v>
      </c>
      <c r="E682" t="s">
        <v>55</v>
      </c>
      <c r="F682" t="s">
        <v>1484</v>
      </c>
      <c r="G682" t="str">
        <f>"00363536"</f>
        <v>00363536</v>
      </c>
      <c r="H682">
        <v>737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80</v>
      </c>
      <c r="W682">
        <v>560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1327</v>
      </c>
    </row>
    <row r="683" spans="1:30" x14ac:dyDescent="0.25">
      <c r="H683" t="s">
        <v>1485</v>
      </c>
    </row>
    <row r="684" spans="1:30" x14ac:dyDescent="0.25">
      <c r="A684">
        <v>339</v>
      </c>
      <c r="B684">
        <v>5955</v>
      </c>
      <c r="C684" t="s">
        <v>1486</v>
      </c>
      <c r="D684" t="s">
        <v>246</v>
      </c>
      <c r="E684" t="s">
        <v>86</v>
      </c>
      <c r="F684" t="s">
        <v>1487</v>
      </c>
      <c r="G684" t="str">
        <f>"00222051"</f>
        <v>00222051</v>
      </c>
      <c r="H684" t="s">
        <v>895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45</v>
      </c>
      <c r="W684">
        <v>315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1488</v>
      </c>
    </row>
    <row r="685" spans="1:30" x14ac:dyDescent="0.25">
      <c r="H685" t="s">
        <v>1489</v>
      </c>
    </row>
    <row r="686" spans="1:30" x14ac:dyDescent="0.25">
      <c r="A686">
        <v>340</v>
      </c>
      <c r="B686">
        <v>6290</v>
      </c>
      <c r="C686" t="s">
        <v>843</v>
      </c>
      <c r="D686" t="s">
        <v>23</v>
      </c>
      <c r="E686" t="s">
        <v>34</v>
      </c>
      <c r="F686" t="s">
        <v>1490</v>
      </c>
      <c r="G686" t="str">
        <f>"00194066"</f>
        <v>00194066</v>
      </c>
      <c r="H686">
        <v>715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83</v>
      </c>
      <c r="W686">
        <v>581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1326</v>
      </c>
    </row>
    <row r="687" spans="1:30" x14ac:dyDescent="0.25">
      <c r="H687" t="s">
        <v>1491</v>
      </c>
    </row>
    <row r="688" spans="1:30" x14ac:dyDescent="0.25">
      <c r="A688">
        <v>341</v>
      </c>
      <c r="B688">
        <v>3249</v>
      </c>
      <c r="C688" t="s">
        <v>1492</v>
      </c>
      <c r="D688" t="s">
        <v>168</v>
      </c>
      <c r="E688" t="s">
        <v>107</v>
      </c>
      <c r="F688" t="s">
        <v>1493</v>
      </c>
      <c r="G688" t="str">
        <f>"00221791"</f>
        <v>00221791</v>
      </c>
      <c r="H688" t="s">
        <v>1494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1495</v>
      </c>
    </row>
    <row r="689" spans="1:30" x14ac:dyDescent="0.25">
      <c r="H689" t="s">
        <v>1496</v>
      </c>
    </row>
    <row r="690" spans="1:30" x14ac:dyDescent="0.25">
      <c r="A690">
        <v>342</v>
      </c>
      <c r="B690">
        <v>3173</v>
      </c>
      <c r="C690" t="s">
        <v>1497</v>
      </c>
      <c r="D690" t="s">
        <v>688</v>
      </c>
      <c r="E690" t="s">
        <v>55</v>
      </c>
      <c r="F690" t="s">
        <v>1498</v>
      </c>
      <c r="G690" t="str">
        <f>"00200317"</f>
        <v>00200317</v>
      </c>
      <c r="H690">
        <v>704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>
        <v>1322</v>
      </c>
    </row>
    <row r="691" spans="1:30" x14ac:dyDescent="0.25">
      <c r="H691" t="s">
        <v>1499</v>
      </c>
    </row>
    <row r="692" spans="1:30" x14ac:dyDescent="0.25">
      <c r="A692">
        <v>343</v>
      </c>
      <c r="B692">
        <v>3618</v>
      </c>
      <c r="C692" t="s">
        <v>1500</v>
      </c>
      <c r="D692" t="s">
        <v>761</v>
      </c>
      <c r="E692" t="s">
        <v>28</v>
      </c>
      <c r="F692" t="s">
        <v>1501</v>
      </c>
      <c r="G692" t="str">
        <f>"00019351"</f>
        <v>00019351</v>
      </c>
      <c r="H692">
        <v>704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1322</v>
      </c>
    </row>
    <row r="693" spans="1:30" x14ac:dyDescent="0.25">
      <c r="H693" t="s">
        <v>1502</v>
      </c>
    </row>
    <row r="694" spans="1:30" x14ac:dyDescent="0.25">
      <c r="A694">
        <v>344</v>
      </c>
      <c r="B694">
        <v>2533</v>
      </c>
      <c r="C694" t="s">
        <v>1503</v>
      </c>
      <c r="D694" t="s">
        <v>107</v>
      </c>
      <c r="E694" t="s">
        <v>55</v>
      </c>
      <c r="F694" t="s">
        <v>1504</v>
      </c>
      <c r="G694" t="str">
        <f>"00323752"</f>
        <v>00323752</v>
      </c>
      <c r="H694">
        <v>704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>
        <v>0</v>
      </c>
      <c r="AB694">
        <v>0</v>
      </c>
      <c r="AC694">
        <v>0</v>
      </c>
      <c r="AD694">
        <v>1322</v>
      </c>
    </row>
    <row r="695" spans="1:30" x14ac:dyDescent="0.25">
      <c r="H695" t="s">
        <v>1058</v>
      </c>
    </row>
    <row r="696" spans="1:30" x14ac:dyDescent="0.25">
      <c r="A696">
        <v>345</v>
      </c>
      <c r="B696">
        <v>4960</v>
      </c>
      <c r="C696" t="s">
        <v>1505</v>
      </c>
      <c r="D696" t="s">
        <v>185</v>
      </c>
      <c r="E696" t="s">
        <v>55</v>
      </c>
      <c r="F696" t="s">
        <v>1506</v>
      </c>
      <c r="G696" t="str">
        <f>"00035870"</f>
        <v>00035870</v>
      </c>
      <c r="H696">
        <v>704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1322</v>
      </c>
    </row>
    <row r="697" spans="1:30" x14ac:dyDescent="0.25">
      <c r="H697" t="s">
        <v>1507</v>
      </c>
    </row>
    <row r="698" spans="1:30" x14ac:dyDescent="0.25">
      <c r="A698">
        <v>346</v>
      </c>
      <c r="B698">
        <v>1992</v>
      </c>
      <c r="C698" t="s">
        <v>1508</v>
      </c>
      <c r="D698" t="s">
        <v>1509</v>
      </c>
      <c r="E698" t="s">
        <v>220</v>
      </c>
      <c r="F698" t="s">
        <v>1510</v>
      </c>
      <c r="G698" t="str">
        <f>"200804000547"</f>
        <v>200804000547</v>
      </c>
      <c r="H698">
        <v>704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1322</v>
      </c>
    </row>
    <row r="699" spans="1:30" x14ac:dyDescent="0.25">
      <c r="H699" t="s">
        <v>1511</v>
      </c>
    </row>
    <row r="700" spans="1:30" x14ac:dyDescent="0.25">
      <c r="A700">
        <v>347</v>
      </c>
      <c r="B700">
        <v>5932</v>
      </c>
      <c r="C700" t="s">
        <v>1512</v>
      </c>
      <c r="D700" t="s">
        <v>1513</v>
      </c>
      <c r="E700" t="s">
        <v>1514</v>
      </c>
      <c r="F700">
        <v>151424</v>
      </c>
      <c r="G700" t="str">
        <f>"201402010871"</f>
        <v>201402010871</v>
      </c>
      <c r="H700" t="s">
        <v>576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1515</v>
      </c>
    </row>
    <row r="701" spans="1:30" x14ac:dyDescent="0.25">
      <c r="H701" t="s">
        <v>1516</v>
      </c>
    </row>
    <row r="702" spans="1:30" x14ac:dyDescent="0.25">
      <c r="A702">
        <v>348</v>
      </c>
      <c r="B702">
        <v>6110</v>
      </c>
      <c r="C702" t="s">
        <v>1517</v>
      </c>
      <c r="D702" t="s">
        <v>28</v>
      </c>
      <c r="E702" t="s">
        <v>34</v>
      </c>
      <c r="F702" t="s">
        <v>1518</v>
      </c>
      <c r="G702" t="str">
        <f>"00363448"</f>
        <v>00363448</v>
      </c>
      <c r="H702" t="s">
        <v>576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1515</v>
      </c>
    </row>
    <row r="703" spans="1:30" x14ac:dyDescent="0.25">
      <c r="H703" t="s">
        <v>1519</v>
      </c>
    </row>
    <row r="704" spans="1:30" x14ac:dyDescent="0.25">
      <c r="A704">
        <v>349</v>
      </c>
      <c r="B704">
        <v>3420</v>
      </c>
      <c r="C704" t="s">
        <v>1520</v>
      </c>
      <c r="D704" t="s">
        <v>1521</v>
      </c>
      <c r="E704" t="s">
        <v>220</v>
      </c>
      <c r="F704" t="s">
        <v>1522</v>
      </c>
      <c r="G704" t="str">
        <f>"00363196"</f>
        <v>00363196</v>
      </c>
      <c r="H704" t="s">
        <v>1523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71</v>
      </c>
      <c r="W704">
        <v>497</v>
      </c>
      <c r="X704">
        <v>0</v>
      </c>
      <c r="Z704">
        <v>0</v>
      </c>
      <c r="AA704">
        <v>0</v>
      </c>
      <c r="AB704">
        <v>5</v>
      </c>
      <c r="AC704">
        <v>85</v>
      </c>
      <c r="AD704" t="s">
        <v>1524</v>
      </c>
    </row>
    <row r="705" spans="1:30" x14ac:dyDescent="0.25">
      <c r="H705" t="s">
        <v>1525</v>
      </c>
    </row>
    <row r="706" spans="1:30" x14ac:dyDescent="0.25">
      <c r="A706">
        <v>350</v>
      </c>
      <c r="B706">
        <v>3984</v>
      </c>
      <c r="C706" t="s">
        <v>1526</v>
      </c>
      <c r="D706" t="s">
        <v>210</v>
      </c>
      <c r="E706" t="s">
        <v>1527</v>
      </c>
      <c r="F706" t="s">
        <v>1528</v>
      </c>
      <c r="G706" t="str">
        <f>"00367632"</f>
        <v>00367632</v>
      </c>
      <c r="H706" t="s">
        <v>1529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1530</v>
      </c>
    </row>
    <row r="707" spans="1:30" x14ac:dyDescent="0.25">
      <c r="H707" t="s">
        <v>1531</v>
      </c>
    </row>
    <row r="708" spans="1:30" x14ac:dyDescent="0.25">
      <c r="A708">
        <v>351</v>
      </c>
      <c r="B708">
        <v>3141</v>
      </c>
      <c r="C708" t="s">
        <v>1532</v>
      </c>
      <c r="D708" t="s">
        <v>92</v>
      </c>
      <c r="E708" t="s">
        <v>86</v>
      </c>
      <c r="F708" t="s">
        <v>1533</v>
      </c>
      <c r="G708" t="str">
        <f>"201406011845"</f>
        <v>201406011845</v>
      </c>
      <c r="H708" t="s">
        <v>231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1534</v>
      </c>
    </row>
    <row r="709" spans="1:30" x14ac:dyDescent="0.25">
      <c r="H709" t="s">
        <v>1535</v>
      </c>
    </row>
    <row r="710" spans="1:30" x14ac:dyDescent="0.25">
      <c r="A710">
        <v>352</v>
      </c>
      <c r="B710">
        <v>2872</v>
      </c>
      <c r="C710" t="s">
        <v>1536</v>
      </c>
      <c r="D710" t="s">
        <v>154</v>
      </c>
      <c r="E710" t="s">
        <v>100</v>
      </c>
      <c r="F710" t="s">
        <v>1537</v>
      </c>
      <c r="G710" t="str">
        <f>"201405000287"</f>
        <v>201405000287</v>
      </c>
      <c r="H710" t="s">
        <v>1538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50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63</v>
      </c>
      <c r="W710">
        <v>441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1539</v>
      </c>
    </row>
    <row r="711" spans="1:30" x14ac:dyDescent="0.25">
      <c r="H711" t="s">
        <v>1540</v>
      </c>
    </row>
    <row r="712" spans="1:30" x14ac:dyDescent="0.25">
      <c r="A712">
        <v>353</v>
      </c>
      <c r="B712">
        <v>3570</v>
      </c>
      <c r="C712" t="s">
        <v>1063</v>
      </c>
      <c r="D712" t="s">
        <v>358</v>
      </c>
      <c r="E712" t="s">
        <v>107</v>
      </c>
      <c r="F712" t="s">
        <v>1541</v>
      </c>
      <c r="G712" t="str">
        <f>"00158906"</f>
        <v>00158906</v>
      </c>
      <c r="H712">
        <v>748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77</v>
      </c>
      <c r="W712">
        <v>539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1317</v>
      </c>
    </row>
    <row r="713" spans="1:30" x14ac:dyDescent="0.25">
      <c r="H713" t="s">
        <v>1542</v>
      </c>
    </row>
    <row r="714" spans="1:30" x14ac:dyDescent="0.25">
      <c r="A714">
        <v>354</v>
      </c>
      <c r="B714">
        <v>5582</v>
      </c>
      <c r="C714" t="s">
        <v>1532</v>
      </c>
      <c r="D714" t="s">
        <v>34</v>
      </c>
      <c r="E714" t="s">
        <v>29</v>
      </c>
      <c r="F714" t="s">
        <v>1543</v>
      </c>
      <c r="G714" t="str">
        <f>"201405000419"</f>
        <v>201405000419</v>
      </c>
      <c r="H714">
        <v>627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60</v>
      </c>
      <c r="W714">
        <v>420</v>
      </c>
      <c r="X714">
        <v>0</v>
      </c>
      <c r="Z714">
        <v>0</v>
      </c>
      <c r="AA714">
        <v>0</v>
      </c>
      <c r="AB714">
        <v>0</v>
      </c>
      <c r="AC714">
        <v>0</v>
      </c>
      <c r="AD714">
        <v>1317</v>
      </c>
    </row>
    <row r="715" spans="1:30" x14ac:dyDescent="0.25">
      <c r="H715" t="s">
        <v>1544</v>
      </c>
    </row>
    <row r="716" spans="1:30" x14ac:dyDescent="0.25">
      <c r="A716">
        <v>355</v>
      </c>
      <c r="B716">
        <v>4117</v>
      </c>
      <c r="C716" t="s">
        <v>1545</v>
      </c>
      <c r="D716" t="s">
        <v>44</v>
      </c>
      <c r="E716" t="s">
        <v>834</v>
      </c>
      <c r="F716" t="s">
        <v>1546</v>
      </c>
      <c r="G716" t="str">
        <f>"201401000555"</f>
        <v>201401000555</v>
      </c>
      <c r="H716" t="s">
        <v>1157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1547</v>
      </c>
    </row>
    <row r="717" spans="1:30" x14ac:dyDescent="0.25">
      <c r="H717" t="s">
        <v>1548</v>
      </c>
    </row>
    <row r="718" spans="1:30" x14ac:dyDescent="0.25">
      <c r="A718">
        <v>356</v>
      </c>
      <c r="B718">
        <v>5198</v>
      </c>
      <c r="C718" t="s">
        <v>1549</v>
      </c>
      <c r="D718" t="s">
        <v>185</v>
      </c>
      <c r="E718" t="s">
        <v>34</v>
      </c>
      <c r="F718" t="s">
        <v>1550</v>
      </c>
      <c r="G718" t="str">
        <f>"00142613"</f>
        <v>00142613</v>
      </c>
      <c r="H718">
        <v>803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10</v>
      </c>
      <c r="W718">
        <v>70</v>
      </c>
      <c r="X718">
        <v>0</v>
      </c>
      <c r="Z718">
        <v>0</v>
      </c>
      <c r="AA718">
        <v>0</v>
      </c>
      <c r="AB718">
        <v>24</v>
      </c>
      <c r="AC718">
        <v>408</v>
      </c>
      <c r="AD718">
        <v>1311</v>
      </c>
    </row>
    <row r="719" spans="1:30" x14ac:dyDescent="0.25">
      <c r="H719" t="s">
        <v>1551</v>
      </c>
    </row>
    <row r="720" spans="1:30" x14ac:dyDescent="0.25">
      <c r="A720">
        <v>357</v>
      </c>
      <c r="B720">
        <v>3912</v>
      </c>
      <c r="C720" t="s">
        <v>1552</v>
      </c>
      <c r="D720" t="s">
        <v>784</v>
      </c>
      <c r="E720" t="s">
        <v>402</v>
      </c>
      <c r="F720" t="s">
        <v>1553</v>
      </c>
      <c r="G720" t="str">
        <f>"00200313"</f>
        <v>00200313</v>
      </c>
      <c r="H720">
        <v>693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1311</v>
      </c>
    </row>
    <row r="721" spans="1:30" x14ac:dyDescent="0.25">
      <c r="H721" t="s">
        <v>1554</v>
      </c>
    </row>
    <row r="722" spans="1:30" x14ac:dyDescent="0.25">
      <c r="A722">
        <v>358</v>
      </c>
      <c r="B722">
        <v>2734</v>
      </c>
      <c r="C722" t="s">
        <v>1555</v>
      </c>
      <c r="D722" t="s">
        <v>107</v>
      </c>
      <c r="E722" t="s">
        <v>55</v>
      </c>
      <c r="F722" t="s">
        <v>1556</v>
      </c>
      <c r="G722" t="str">
        <f>"200805000799"</f>
        <v>200805000799</v>
      </c>
      <c r="H722">
        <v>693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>
        <v>1311</v>
      </c>
    </row>
    <row r="723" spans="1:30" x14ac:dyDescent="0.25">
      <c r="H723" t="s">
        <v>1557</v>
      </c>
    </row>
    <row r="724" spans="1:30" x14ac:dyDescent="0.25">
      <c r="A724">
        <v>359</v>
      </c>
      <c r="B724">
        <v>216</v>
      </c>
      <c r="C724" t="s">
        <v>1558</v>
      </c>
      <c r="D724" t="s">
        <v>28</v>
      </c>
      <c r="E724" t="s">
        <v>93</v>
      </c>
      <c r="F724" t="s">
        <v>1559</v>
      </c>
      <c r="G724" t="str">
        <f>"200802007615"</f>
        <v>200802007615</v>
      </c>
      <c r="H724">
        <v>693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1311</v>
      </c>
    </row>
    <row r="725" spans="1:30" x14ac:dyDescent="0.25">
      <c r="H725" t="s">
        <v>1560</v>
      </c>
    </row>
    <row r="726" spans="1:30" x14ac:dyDescent="0.25">
      <c r="A726">
        <v>360</v>
      </c>
      <c r="B726">
        <v>3850</v>
      </c>
      <c r="C726" t="s">
        <v>358</v>
      </c>
      <c r="D726" t="s">
        <v>1561</v>
      </c>
      <c r="E726" t="s">
        <v>63</v>
      </c>
      <c r="F726" t="s">
        <v>1562</v>
      </c>
      <c r="G726" t="str">
        <f>"00210252"</f>
        <v>00210252</v>
      </c>
      <c r="H726">
        <v>693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1311</v>
      </c>
    </row>
    <row r="727" spans="1:30" x14ac:dyDescent="0.25">
      <c r="H727" t="s">
        <v>1563</v>
      </c>
    </row>
    <row r="728" spans="1:30" x14ac:dyDescent="0.25">
      <c r="A728">
        <v>361</v>
      </c>
      <c r="B728">
        <v>5332</v>
      </c>
      <c r="C728" t="s">
        <v>1564</v>
      </c>
      <c r="D728" t="s">
        <v>412</v>
      </c>
      <c r="E728" t="s">
        <v>121</v>
      </c>
      <c r="F728" t="s">
        <v>1565</v>
      </c>
      <c r="G728" t="str">
        <f>"00361316"</f>
        <v>00361316</v>
      </c>
      <c r="H728">
        <v>693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1311</v>
      </c>
    </row>
    <row r="729" spans="1:30" x14ac:dyDescent="0.25">
      <c r="H729" t="s">
        <v>1566</v>
      </c>
    </row>
    <row r="730" spans="1:30" x14ac:dyDescent="0.25">
      <c r="A730">
        <v>362</v>
      </c>
      <c r="B730">
        <v>5380</v>
      </c>
      <c r="C730" t="s">
        <v>1567</v>
      </c>
      <c r="D730" t="s">
        <v>757</v>
      </c>
      <c r="E730" t="s">
        <v>303</v>
      </c>
      <c r="F730" t="s">
        <v>1568</v>
      </c>
      <c r="G730" t="str">
        <f>"00356458"</f>
        <v>00356458</v>
      </c>
      <c r="H730">
        <v>693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2</v>
      </c>
      <c r="AA730">
        <v>0</v>
      </c>
      <c r="AB730">
        <v>0</v>
      </c>
      <c r="AC730">
        <v>0</v>
      </c>
      <c r="AD730">
        <v>1311</v>
      </c>
    </row>
    <row r="731" spans="1:30" x14ac:dyDescent="0.25">
      <c r="H731" t="s">
        <v>1569</v>
      </c>
    </row>
    <row r="732" spans="1:30" x14ac:dyDescent="0.25">
      <c r="A732">
        <v>363</v>
      </c>
      <c r="B732">
        <v>4036</v>
      </c>
      <c r="C732" t="s">
        <v>1570</v>
      </c>
      <c r="D732" t="s">
        <v>685</v>
      </c>
      <c r="E732" t="s">
        <v>107</v>
      </c>
      <c r="F732" t="s">
        <v>1571</v>
      </c>
      <c r="G732" t="str">
        <f>"201406011934"</f>
        <v>201406011934</v>
      </c>
      <c r="H732" t="s">
        <v>72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50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72</v>
      </c>
      <c r="W732">
        <v>504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1572</v>
      </c>
    </row>
    <row r="733" spans="1:30" x14ac:dyDescent="0.25">
      <c r="H733" t="s">
        <v>1573</v>
      </c>
    </row>
    <row r="734" spans="1:30" x14ac:dyDescent="0.25">
      <c r="A734">
        <v>364</v>
      </c>
      <c r="B734">
        <v>2112</v>
      </c>
      <c r="C734" t="s">
        <v>1574</v>
      </c>
      <c r="D734" t="s">
        <v>282</v>
      </c>
      <c r="E734" t="s">
        <v>220</v>
      </c>
      <c r="F734" t="s">
        <v>1575</v>
      </c>
      <c r="G734" t="str">
        <f>"201406000404"</f>
        <v>201406000404</v>
      </c>
      <c r="H734">
        <v>693</v>
      </c>
      <c r="I734">
        <v>150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4</v>
      </c>
      <c r="W734">
        <v>28</v>
      </c>
      <c r="X734">
        <v>0</v>
      </c>
      <c r="Z734">
        <v>1</v>
      </c>
      <c r="AA734">
        <v>0</v>
      </c>
      <c r="AB734">
        <v>24</v>
      </c>
      <c r="AC734">
        <v>408</v>
      </c>
      <c r="AD734">
        <v>1309</v>
      </c>
    </row>
    <row r="735" spans="1:30" x14ac:dyDescent="0.25">
      <c r="H735" t="s">
        <v>1576</v>
      </c>
    </row>
    <row r="736" spans="1:30" x14ac:dyDescent="0.25">
      <c r="A736">
        <v>365</v>
      </c>
      <c r="B736">
        <v>5037</v>
      </c>
      <c r="C736" t="s">
        <v>1577</v>
      </c>
      <c r="D736" t="s">
        <v>1578</v>
      </c>
      <c r="E736" t="s">
        <v>1579</v>
      </c>
      <c r="F736" t="s">
        <v>1580</v>
      </c>
      <c r="G736" t="str">
        <f>"00166174"</f>
        <v>00166174</v>
      </c>
      <c r="H736" t="s">
        <v>507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51</v>
      </c>
      <c r="W736">
        <v>357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1581</v>
      </c>
    </row>
    <row r="737" spans="1:30" x14ac:dyDescent="0.25">
      <c r="H737" t="s">
        <v>1582</v>
      </c>
    </row>
    <row r="738" spans="1:30" x14ac:dyDescent="0.25">
      <c r="A738">
        <v>366</v>
      </c>
      <c r="B738">
        <v>2016</v>
      </c>
      <c r="C738" t="s">
        <v>1583</v>
      </c>
      <c r="D738" t="s">
        <v>1584</v>
      </c>
      <c r="E738" t="s">
        <v>34</v>
      </c>
      <c r="F738" t="s">
        <v>1585</v>
      </c>
      <c r="G738" t="str">
        <f>"00146560"</f>
        <v>00146560</v>
      </c>
      <c r="H738" t="s">
        <v>1586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1</v>
      </c>
      <c r="AA738">
        <v>0</v>
      </c>
      <c r="AB738">
        <v>0</v>
      </c>
      <c r="AC738">
        <v>0</v>
      </c>
      <c r="AD738" t="s">
        <v>1587</v>
      </c>
    </row>
    <row r="739" spans="1:30" x14ac:dyDescent="0.25">
      <c r="H739" t="s">
        <v>1588</v>
      </c>
    </row>
    <row r="740" spans="1:30" x14ac:dyDescent="0.25">
      <c r="A740">
        <v>367</v>
      </c>
      <c r="B740">
        <v>1020</v>
      </c>
      <c r="C740" t="s">
        <v>1589</v>
      </c>
      <c r="D740" t="s">
        <v>392</v>
      </c>
      <c r="E740" t="s">
        <v>107</v>
      </c>
      <c r="F740" t="s">
        <v>1590</v>
      </c>
      <c r="G740" t="str">
        <f>"201406007806"</f>
        <v>201406007806</v>
      </c>
      <c r="H740" t="s">
        <v>142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38</v>
      </c>
      <c r="W740">
        <v>266</v>
      </c>
      <c r="X740">
        <v>0</v>
      </c>
      <c r="Z740">
        <v>0</v>
      </c>
      <c r="AA740">
        <v>0</v>
      </c>
      <c r="AB740">
        <v>13</v>
      </c>
      <c r="AC740">
        <v>221</v>
      </c>
      <c r="AD740" t="s">
        <v>1591</v>
      </c>
    </row>
    <row r="741" spans="1:30" x14ac:dyDescent="0.25">
      <c r="H741" t="s">
        <v>1592</v>
      </c>
    </row>
    <row r="742" spans="1:30" x14ac:dyDescent="0.25">
      <c r="A742">
        <v>368</v>
      </c>
      <c r="B742">
        <v>5660</v>
      </c>
      <c r="C742" t="s">
        <v>1593</v>
      </c>
      <c r="D742" t="s">
        <v>92</v>
      </c>
      <c r="E742" t="s">
        <v>24</v>
      </c>
      <c r="F742" t="s">
        <v>1594</v>
      </c>
      <c r="G742" t="str">
        <f>"200802010794"</f>
        <v>200802010794</v>
      </c>
      <c r="H742" t="s">
        <v>1595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69</v>
      </c>
      <c r="W742">
        <v>483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1596</v>
      </c>
    </row>
    <row r="743" spans="1:30" x14ac:dyDescent="0.25">
      <c r="H743" t="s">
        <v>1597</v>
      </c>
    </row>
    <row r="744" spans="1:30" x14ac:dyDescent="0.25">
      <c r="A744">
        <v>369</v>
      </c>
      <c r="B744">
        <v>3158</v>
      </c>
      <c r="C744" t="s">
        <v>1598</v>
      </c>
      <c r="D744" t="s">
        <v>92</v>
      </c>
      <c r="E744" t="s">
        <v>44</v>
      </c>
      <c r="F744" t="s">
        <v>1599</v>
      </c>
      <c r="G744" t="str">
        <f>"00232014"</f>
        <v>00232014</v>
      </c>
      <c r="H744" t="s">
        <v>1419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79</v>
      </c>
      <c r="W744">
        <v>553</v>
      </c>
      <c r="X744">
        <v>0</v>
      </c>
      <c r="Z744">
        <v>2</v>
      </c>
      <c r="AA744">
        <v>0</v>
      </c>
      <c r="AB744">
        <v>0</v>
      </c>
      <c r="AC744">
        <v>0</v>
      </c>
      <c r="AD744" t="s">
        <v>1600</v>
      </c>
    </row>
    <row r="745" spans="1:30" x14ac:dyDescent="0.25">
      <c r="H745" t="s">
        <v>1601</v>
      </c>
    </row>
    <row r="746" spans="1:30" x14ac:dyDescent="0.25">
      <c r="A746">
        <v>370</v>
      </c>
      <c r="B746">
        <v>2340</v>
      </c>
      <c r="C746" t="s">
        <v>1602</v>
      </c>
      <c r="D746" t="s">
        <v>1603</v>
      </c>
      <c r="E746" t="s">
        <v>55</v>
      </c>
      <c r="F746" t="s">
        <v>1604</v>
      </c>
      <c r="G746" t="str">
        <f>"201406007684"</f>
        <v>201406007684</v>
      </c>
      <c r="H746" t="s">
        <v>951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81</v>
      </c>
      <c r="W746">
        <v>567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1605</v>
      </c>
    </row>
    <row r="747" spans="1:30" x14ac:dyDescent="0.25">
      <c r="H747" t="s">
        <v>1606</v>
      </c>
    </row>
    <row r="748" spans="1:30" x14ac:dyDescent="0.25">
      <c r="A748">
        <v>371</v>
      </c>
      <c r="B748">
        <v>3293</v>
      </c>
      <c r="C748" t="s">
        <v>1607</v>
      </c>
      <c r="D748" t="s">
        <v>185</v>
      </c>
      <c r="E748" t="s">
        <v>1608</v>
      </c>
      <c r="F748" t="s">
        <v>1609</v>
      </c>
      <c r="G748" t="str">
        <f>"00346821"</f>
        <v>00346821</v>
      </c>
      <c r="H748" t="s">
        <v>1610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1611</v>
      </c>
    </row>
    <row r="749" spans="1:30" x14ac:dyDescent="0.25">
      <c r="H749" t="s">
        <v>1612</v>
      </c>
    </row>
    <row r="750" spans="1:30" x14ac:dyDescent="0.25">
      <c r="A750">
        <v>372</v>
      </c>
      <c r="B750">
        <v>2932</v>
      </c>
      <c r="C750" t="s">
        <v>1613</v>
      </c>
      <c r="D750" t="s">
        <v>700</v>
      </c>
      <c r="E750" t="s">
        <v>100</v>
      </c>
      <c r="F750" t="s">
        <v>1614</v>
      </c>
      <c r="G750" t="str">
        <f>"201511010758"</f>
        <v>201511010758</v>
      </c>
      <c r="H750" t="s">
        <v>1147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72</v>
      </c>
      <c r="W750">
        <v>504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1615</v>
      </c>
    </row>
    <row r="751" spans="1:30" x14ac:dyDescent="0.25">
      <c r="H751" t="s">
        <v>1616</v>
      </c>
    </row>
    <row r="752" spans="1:30" x14ac:dyDescent="0.25">
      <c r="A752">
        <v>373</v>
      </c>
      <c r="B752">
        <v>2385</v>
      </c>
      <c r="C752" t="s">
        <v>1617</v>
      </c>
      <c r="D752" t="s">
        <v>34</v>
      </c>
      <c r="E752" t="s">
        <v>44</v>
      </c>
      <c r="F752" t="s">
        <v>1618</v>
      </c>
      <c r="G752" t="str">
        <f>"201510003687"</f>
        <v>201510003687</v>
      </c>
      <c r="H752" t="s">
        <v>1619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2</v>
      </c>
      <c r="AA752">
        <v>0</v>
      </c>
      <c r="AB752">
        <v>0</v>
      </c>
      <c r="AC752">
        <v>0</v>
      </c>
      <c r="AD752" t="s">
        <v>1620</v>
      </c>
    </row>
    <row r="753" spans="1:30" x14ac:dyDescent="0.25">
      <c r="H753" t="s">
        <v>1621</v>
      </c>
    </row>
    <row r="754" spans="1:30" x14ac:dyDescent="0.25">
      <c r="A754">
        <v>374</v>
      </c>
      <c r="B754">
        <v>2235</v>
      </c>
      <c r="C754" t="s">
        <v>1622</v>
      </c>
      <c r="D754" t="s">
        <v>1623</v>
      </c>
      <c r="E754" t="s">
        <v>1624</v>
      </c>
      <c r="F754" t="s">
        <v>1625</v>
      </c>
      <c r="G754" t="str">
        <f>"201510000761"</f>
        <v>201510000761</v>
      </c>
      <c r="H754" t="s">
        <v>314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1626</v>
      </c>
    </row>
    <row r="755" spans="1:30" x14ac:dyDescent="0.25">
      <c r="H755" t="s">
        <v>1627</v>
      </c>
    </row>
    <row r="756" spans="1:30" x14ac:dyDescent="0.25">
      <c r="A756">
        <v>375</v>
      </c>
      <c r="B756">
        <v>2635</v>
      </c>
      <c r="C756" t="s">
        <v>1628</v>
      </c>
      <c r="D756" t="s">
        <v>185</v>
      </c>
      <c r="E756" t="s">
        <v>15</v>
      </c>
      <c r="F756" t="s">
        <v>1629</v>
      </c>
      <c r="G756" t="str">
        <f>"201405000464"</f>
        <v>201405000464</v>
      </c>
      <c r="H756">
        <v>682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1300</v>
      </c>
    </row>
    <row r="757" spans="1:30" x14ac:dyDescent="0.25">
      <c r="H757" t="s">
        <v>1630</v>
      </c>
    </row>
    <row r="758" spans="1:30" x14ac:dyDescent="0.25">
      <c r="A758">
        <v>376</v>
      </c>
      <c r="B758">
        <v>5113</v>
      </c>
      <c r="C758" t="s">
        <v>1555</v>
      </c>
      <c r="D758" t="s">
        <v>100</v>
      </c>
      <c r="E758" t="s">
        <v>107</v>
      </c>
      <c r="F758" t="s">
        <v>1631</v>
      </c>
      <c r="G758" t="str">
        <f>"00357310"</f>
        <v>00357310</v>
      </c>
      <c r="H758">
        <v>682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1300</v>
      </c>
    </row>
    <row r="759" spans="1:30" x14ac:dyDescent="0.25">
      <c r="H759" t="s">
        <v>1632</v>
      </c>
    </row>
    <row r="760" spans="1:30" x14ac:dyDescent="0.25">
      <c r="A760">
        <v>377</v>
      </c>
      <c r="B760">
        <v>4259</v>
      </c>
      <c r="C760" t="s">
        <v>1633</v>
      </c>
      <c r="D760" t="s">
        <v>158</v>
      </c>
      <c r="E760" t="s">
        <v>721</v>
      </c>
      <c r="F760" t="s">
        <v>1634</v>
      </c>
      <c r="G760" t="str">
        <f>"201504005137"</f>
        <v>201504005137</v>
      </c>
      <c r="H760" t="s">
        <v>1586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80</v>
      </c>
      <c r="W760">
        <v>560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1635</v>
      </c>
    </row>
    <row r="761" spans="1:30" x14ac:dyDescent="0.25">
      <c r="H761" t="s">
        <v>1636</v>
      </c>
    </row>
    <row r="762" spans="1:30" x14ac:dyDescent="0.25">
      <c r="A762">
        <v>378</v>
      </c>
      <c r="B762">
        <v>259</v>
      </c>
      <c r="C762" t="s">
        <v>1637</v>
      </c>
      <c r="D762" t="s">
        <v>436</v>
      </c>
      <c r="E762" t="s">
        <v>689</v>
      </c>
      <c r="F762" t="s">
        <v>1638</v>
      </c>
      <c r="G762" t="str">
        <f>"00148227"</f>
        <v>00148227</v>
      </c>
      <c r="H762" t="s">
        <v>1639</v>
      </c>
      <c r="I762">
        <v>150</v>
      </c>
      <c r="J762">
        <v>0</v>
      </c>
      <c r="K762">
        <v>0</v>
      </c>
      <c r="L762">
        <v>200</v>
      </c>
      <c r="M762">
        <v>30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6</v>
      </c>
      <c r="W762">
        <v>42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1640</v>
      </c>
    </row>
    <row r="763" spans="1:30" x14ac:dyDescent="0.25">
      <c r="H763" t="s">
        <v>1641</v>
      </c>
    </row>
    <row r="764" spans="1:30" x14ac:dyDescent="0.25">
      <c r="A764">
        <v>379</v>
      </c>
      <c r="B764">
        <v>779</v>
      </c>
      <c r="C764" t="s">
        <v>1642</v>
      </c>
      <c r="D764" t="s">
        <v>757</v>
      </c>
      <c r="E764" t="s">
        <v>146</v>
      </c>
      <c r="F764" t="s">
        <v>1643</v>
      </c>
      <c r="G764" t="str">
        <f>"00187084"</f>
        <v>00187084</v>
      </c>
      <c r="H764" t="s">
        <v>1644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1645</v>
      </c>
    </row>
    <row r="765" spans="1:30" x14ac:dyDescent="0.25">
      <c r="H765" t="s">
        <v>1646</v>
      </c>
    </row>
    <row r="766" spans="1:30" x14ac:dyDescent="0.25">
      <c r="A766">
        <v>380</v>
      </c>
      <c r="B766">
        <v>684</v>
      </c>
      <c r="C766" t="s">
        <v>1647</v>
      </c>
      <c r="D766" t="s">
        <v>1648</v>
      </c>
      <c r="E766" t="s">
        <v>1649</v>
      </c>
      <c r="F766" t="s">
        <v>1650</v>
      </c>
      <c r="G766" t="str">
        <f>"00251519"</f>
        <v>00251519</v>
      </c>
      <c r="H766" t="s">
        <v>1651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30</v>
      </c>
      <c r="W766">
        <v>210</v>
      </c>
      <c r="X766">
        <v>0</v>
      </c>
      <c r="Z766">
        <v>0</v>
      </c>
      <c r="AA766">
        <v>0</v>
      </c>
      <c r="AB766">
        <v>24</v>
      </c>
      <c r="AC766">
        <v>408</v>
      </c>
      <c r="AD766" t="s">
        <v>1652</v>
      </c>
    </row>
    <row r="767" spans="1:30" x14ac:dyDescent="0.25">
      <c r="H767" t="s">
        <v>1653</v>
      </c>
    </row>
    <row r="768" spans="1:30" x14ac:dyDescent="0.25">
      <c r="A768">
        <v>381</v>
      </c>
      <c r="B768">
        <v>2130</v>
      </c>
      <c r="C768" t="s">
        <v>1654</v>
      </c>
      <c r="D768" t="s">
        <v>761</v>
      </c>
      <c r="E768" t="s">
        <v>93</v>
      </c>
      <c r="F768" t="s">
        <v>1655</v>
      </c>
      <c r="G768" t="str">
        <f>"201304004496"</f>
        <v>201304004496</v>
      </c>
      <c r="H768" t="s">
        <v>1439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46</v>
      </c>
      <c r="W768">
        <v>322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1656</v>
      </c>
    </row>
    <row r="769" spans="1:30" x14ac:dyDescent="0.25">
      <c r="H769" t="s">
        <v>1657</v>
      </c>
    </row>
    <row r="770" spans="1:30" x14ac:dyDescent="0.25">
      <c r="A770">
        <v>382</v>
      </c>
      <c r="B770">
        <v>2117</v>
      </c>
      <c r="C770" t="s">
        <v>1658</v>
      </c>
      <c r="D770" t="s">
        <v>392</v>
      </c>
      <c r="E770" t="s">
        <v>1659</v>
      </c>
      <c r="F770" t="s">
        <v>1660</v>
      </c>
      <c r="G770" t="str">
        <f>"00323027"</f>
        <v>00323027</v>
      </c>
      <c r="H770">
        <v>693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82</v>
      </c>
      <c r="W770">
        <v>574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1297</v>
      </c>
    </row>
    <row r="771" spans="1:30" x14ac:dyDescent="0.25">
      <c r="H771" t="s">
        <v>1661</v>
      </c>
    </row>
    <row r="772" spans="1:30" x14ac:dyDescent="0.25">
      <c r="A772">
        <v>383</v>
      </c>
      <c r="B772">
        <v>1448</v>
      </c>
      <c r="C772" t="s">
        <v>50</v>
      </c>
      <c r="D772" t="s">
        <v>140</v>
      </c>
      <c r="E772" t="s">
        <v>100</v>
      </c>
      <c r="F772" t="s">
        <v>1662</v>
      </c>
      <c r="G772" t="str">
        <f>"00202814"</f>
        <v>00202814</v>
      </c>
      <c r="H772">
        <v>649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>
        <v>1297</v>
      </c>
    </row>
    <row r="773" spans="1:30" x14ac:dyDescent="0.25">
      <c r="H773" t="s">
        <v>1663</v>
      </c>
    </row>
    <row r="774" spans="1:30" x14ac:dyDescent="0.25">
      <c r="A774">
        <v>384</v>
      </c>
      <c r="B774">
        <v>5491</v>
      </c>
      <c r="C774" t="s">
        <v>1664</v>
      </c>
      <c r="D774" t="s">
        <v>24</v>
      </c>
      <c r="E774" t="s">
        <v>283</v>
      </c>
      <c r="F774" t="s">
        <v>1665</v>
      </c>
      <c r="G774" t="str">
        <f>"201406000588"</f>
        <v>201406000588</v>
      </c>
      <c r="H774">
        <v>748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74</v>
      </c>
      <c r="W774">
        <v>518</v>
      </c>
      <c r="X774">
        <v>0</v>
      </c>
      <c r="Z774">
        <v>2</v>
      </c>
      <c r="AA774">
        <v>0</v>
      </c>
      <c r="AB774">
        <v>0</v>
      </c>
      <c r="AC774">
        <v>0</v>
      </c>
      <c r="AD774">
        <v>1296</v>
      </c>
    </row>
    <row r="775" spans="1:30" x14ac:dyDescent="0.25">
      <c r="H775" t="s">
        <v>1666</v>
      </c>
    </row>
    <row r="776" spans="1:30" x14ac:dyDescent="0.25">
      <c r="A776">
        <v>385</v>
      </c>
      <c r="B776">
        <v>3582</v>
      </c>
      <c r="C776" t="s">
        <v>1667</v>
      </c>
      <c r="D776" t="s">
        <v>24</v>
      </c>
      <c r="E776" t="s">
        <v>34</v>
      </c>
      <c r="F776" t="s">
        <v>1668</v>
      </c>
      <c r="G776" t="str">
        <f>"00005179"</f>
        <v>00005179</v>
      </c>
      <c r="H776" t="s">
        <v>1669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50</v>
      </c>
      <c r="O776">
        <v>0</v>
      </c>
      <c r="P776">
        <v>30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18</v>
      </c>
      <c r="W776">
        <v>126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1670</v>
      </c>
    </row>
    <row r="777" spans="1:30" x14ac:dyDescent="0.25">
      <c r="H777" t="s">
        <v>1671</v>
      </c>
    </row>
    <row r="778" spans="1:30" x14ac:dyDescent="0.25">
      <c r="A778">
        <v>386</v>
      </c>
      <c r="B778">
        <v>4322</v>
      </c>
      <c r="C778" t="s">
        <v>1672</v>
      </c>
      <c r="D778" t="s">
        <v>363</v>
      </c>
      <c r="E778" t="s">
        <v>1673</v>
      </c>
      <c r="F778" t="s">
        <v>1674</v>
      </c>
      <c r="G778" t="str">
        <f>"00333828"</f>
        <v>00333828</v>
      </c>
      <c r="H778" t="s">
        <v>1675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50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81</v>
      </c>
      <c r="W778">
        <v>567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1676</v>
      </c>
    </row>
    <row r="779" spans="1:30" x14ac:dyDescent="0.25">
      <c r="H779" t="s">
        <v>1677</v>
      </c>
    </row>
    <row r="780" spans="1:30" x14ac:dyDescent="0.25">
      <c r="A780">
        <v>387</v>
      </c>
      <c r="B780">
        <v>428</v>
      </c>
      <c r="C780" t="s">
        <v>1678</v>
      </c>
      <c r="D780" t="s">
        <v>185</v>
      </c>
      <c r="E780" t="s">
        <v>24</v>
      </c>
      <c r="F780" t="s">
        <v>1679</v>
      </c>
      <c r="G780" t="str">
        <f>"201405000753"</f>
        <v>201405000753</v>
      </c>
      <c r="H780" t="s">
        <v>1680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26</v>
      </c>
      <c r="W780">
        <v>182</v>
      </c>
      <c r="X780">
        <v>0</v>
      </c>
      <c r="Z780">
        <v>1</v>
      </c>
      <c r="AA780">
        <v>0</v>
      </c>
      <c r="AB780">
        <v>0</v>
      </c>
      <c r="AC780">
        <v>0</v>
      </c>
      <c r="AD780" t="s">
        <v>1681</v>
      </c>
    </row>
    <row r="781" spans="1:30" x14ac:dyDescent="0.25">
      <c r="H781" t="s">
        <v>1682</v>
      </c>
    </row>
    <row r="782" spans="1:30" x14ac:dyDescent="0.25">
      <c r="A782">
        <v>388</v>
      </c>
      <c r="B782">
        <v>3869</v>
      </c>
      <c r="C782" t="s">
        <v>935</v>
      </c>
      <c r="D782" t="s">
        <v>1683</v>
      </c>
      <c r="E782" t="s">
        <v>24</v>
      </c>
      <c r="F782" t="s">
        <v>1684</v>
      </c>
      <c r="G782" t="str">
        <f>"00362138"</f>
        <v>00362138</v>
      </c>
      <c r="H782" t="s">
        <v>1685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78</v>
      </c>
      <c r="W782">
        <v>546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1686</v>
      </c>
    </row>
    <row r="783" spans="1:30" x14ac:dyDescent="0.25">
      <c r="H783" t="s">
        <v>1687</v>
      </c>
    </row>
    <row r="784" spans="1:30" x14ac:dyDescent="0.25">
      <c r="A784">
        <v>389</v>
      </c>
      <c r="B784">
        <v>6131</v>
      </c>
      <c r="C784" t="s">
        <v>1688</v>
      </c>
      <c r="D784" t="s">
        <v>70</v>
      </c>
      <c r="E784" t="s">
        <v>416</v>
      </c>
      <c r="F784" t="s">
        <v>1689</v>
      </c>
      <c r="G784" t="str">
        <f>"00369835"</f>
        <v>00369835</v>
      </c>
      <c r="H784">
        <v>737</v>
      </c>
      <c r="I784">
        <v>150</v>
      </c>
      <c r="J784">
        <v>0</v>
      </c>
      <c r="K784">
        <v>0</v>
      </c>
      <c r="L784">
        <v>200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Z784">
        <v>0</v>
      </c>
      <c r="AA784">
        <v>0</v>
      </c>
      <c r="AB784">
        <v>8</v>
      </c>
      <c r="AC784">
        <v>136</v>
      </c>
      <c r="AD784">
        <v>1293</v>
      </c>
    </row>
    <row r="785" spans="1:30" x14ac:dyDescent="0.25">
      <c r="H785" t="s">
        <v>1690</v>
      </c>
    </row>
    <row r="786" spans="1:30" x14ac:dyDescent="0.25">
      <c r="A786">
        <v>390</v>
      </c>
      <c r="B786">
        <v>4226</v>
      </c>
      <c r="C786" t="s">
        <v>1691</v>
      </c>
      <c r="D786" t="s">
        <v>121</v>
      </c>
      <c r="E786" t="s">
        <v>122</v>
      </c>
      <c r="F786" t="s">
        <v>1692</v>
      </c>
      <c r="G786" t="str">
        <f>"00228317"</f>
        <v>00228317</v>
      </c>
      <c r="H786" t="s">
        <v>1330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70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77</v>
      </c>
      <c r="W786">
        <v>539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1693</v>
      </c>
    </row>
    <row r="787" spans="1:30" x14ac:dyDescent="0.25">
      <c r="H787" t="s">
        <v>1694</v>
      </c>
    </row>
    <row r="788" spans="1:30" x14ac:dyDescent="0.25">
      <c r="A788">
        <v>391</v>
      </c>
      <c r="B788">
        <v>281</v>
      </c>
      <c r="C788" t="s">
        <v>1695</v>
      </c>
      <c r="D788" t="s">
        <v>1696</v>
      </c>
      <c r="E788" t="s">
        <v>530</v>
      </c>
      <c r="F788" t="s">
        <v>1697</v>
      </c>
      <c r="G788" t="str">
        <f>"200806000604"</f>
        <v>200806000604</v>
      </c>
      <c r="H788" t="s">
        <v>681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1698</v>
      </c>
    </row>
    <row r="789" spans="1:30" x14ac:dyDescent="0.25">
      <c r="H789" t="s">
        <v>1699</v>
      </c>
    </row>
    <row r="790" spans="1:30" x14ac:dyDescent="0.25">
      <c r="A790">
        <v>392</v>
      </c>
      <c r="B790">
        <v>2886</v>
      </c>
      <c r="C790" t="s">
        <v>1700</v>
      </c>
      <c r="D790" t="s">
        <v>1701</v>
      </c>
      <c r="E790" t="s">
        <v>530</v>
      </c>
      <c r="F790" t="s">
        <v>1702</v>
      </c>
      <c r="G790" t="str">
        <f>"201510002460"</f>
        <v>201510002460</v>
      </c>
      <c r="H790">
        <v>759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66</v>
      </c>
      <c r="W790">
        <v>462</v>
      </c>
      <c r="X790">
        <v>0</v>
      </c>
      <c r="Z790">
        <v>2</v>
      </c>
      <c r="AA790">
        <v>0</v>
      </c>
      <c r="AB790">
        <v>0</v>
      </c>
      <c r="AC790">
        <v>0</v>
      </c>
      <c r="AD790">
        <v>1291</v>
      </c>
    </row>
    <row r="791" spans="1:30" x14ac:dyDescent="0.25">
      <c r="H791" t="s">
        <v>1703</v>
      </c>
    </row>
    <row r="792" spans="1:30" x14ac:dyDescent="0.25">
      <c r="A792">
        <v>393</v>
      </c>
      <c r="B792">
        <v>815</v>
      </c>
      <c r="C792" t="s">
        <v>1704</v>
      </c>
      <c r="D792" t="s">
        <v>1705</v>
      </c>
      <c r="E792" t="s">
        <v>186</v>
      </c>
      <c r="F792" t="s">
        <v>1706</v>
      </c>
      <c r="G792" t="str">
        <f>"201402007188"</f>
        <v>201402007188</v>
      </c>
      <c r="H792">
        <v>671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0</v>
      </c>
      <c r="AA792">
        <v>0</v>
      </c>
      <c r="AB792">
        <v>0</v>
      </c>
      <c r="AC792">
        <v>0</v>
      </c>
      <c r="AD792">
        <v>1289</v>
      </c>
    </row>
    <row r="793" spans="1:30" x14ac:dyDescent="0.25">
      <c r="H793" t="s">
        <v>1707</v>
      </c>
    </row>
    <row r="794" spans="1:30" x14ac:dyDescent="0.25">
      <c r="A794">
        <v>394</v>
      </c>
      <c r="B794">
        <v>3715</v>
      </c>
      <c r="C794" t="s">
        <v>1708</v>
      </c>
      <c r="D794" t="s">
        <v>86</v>
      </c>
      <c r="E794" t="s">
        <v>24</v>
      </c>
      <c r="F794" t="s">
        <v>1709</v>
      </c>
      <c r="G794" t="str">
        <f>"201401000491"</f>
        <v>201401000491</v>
      </c>
      <c r="H794">
        <v>671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>
        <v>1289</v>
      </c>
    </row>
    <row r="795" spans="1:30" x14ac:dyDescent="0.25">
      <c r="H795" t="s">
        <v>1710</v>
      </c>
    </row>
    <row r="796" spans="1:30" x14ac:dyDescent="0.25">
      <c r="A796">
        <v>395</v>
      </c>
      <c r="B796">
        <v>4727</v>
      </c>
      <c r="C796" t="s">
        <v>1711</v>
      </c>
      <c r="D796" t="s">
        <v>33</v>
      </c>
      <c r="E796" t="s">
        <v>359</v>
      </c>
      <c r="F796" t="s">
        <v>1712</v>
      </c>
      <c r="G796" t="str">
        <f>"200712002490"</f>
        <v>200712002490</v>
      </c>
      <c r="H796">
        <v>671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2</v>
      </c>
      <c r="AA796">
        <v>0</v>
      </c>
      <c r="AB796">
        <v>0</v>
      </c>
      <c r="AC796">
        <v>0</v>
      </c>
      <c r="AD796">
        <v>1289</v>
      </c>
    </row>
    <row r="797" spans="1:30" x14ac:dyDescent="0.25">
      <c r="H797" t="s">
        <v>1713</v>
      </c>
    </row>
    <row r="798" spans="1:30" x14ac:dyDescent="0.25">
      <c r="A798">
        <v>396</v>
      </c>
      <c r="B798">
        <v>2726</v>
      </c>
      <c r="C798" t="s">
        <v>1714</v>
      </c>
      <c r="D798" t="s">
        <v>325</v>
      </c>
      <c r="E798" t="s">
        <v>34</v>
      </c>
      <c r="F798" t="s">
        <v>1715</v>
      </c>
      <c r="G798" t="str">
        <f>"00347427"</f>
        <v>00347427</v>
      </c>
      <c r="H798" t="s">
        <v>1716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1717</v>
      </c>
    </row>
    <row r="799" spans="1:30" x14ac:dyDescent="0.25">
      <c r="H799" t="s">
        <v>1718</v>
      </c>
    </row>
    <row r="800" spans="1:30" x14ac:dyDescent="0.25">
      <c r="A800">
        <v>397</v>
      </c>
      <c r="B800">
        <v>6125</v>
      </c>
      <c r="C800" t="s">
        <v>50</v>
      </c>
      <c r="D800" t="s">
        <v>200</v>
      </c>
      <c r="E800" t="s">
        <v>505</v>
      </c>
      <c r="F800" t="s">
        <v>1719</v>
      </c>
      <c r="G800" t="str">
        <f>"00184116"</f>
        <v>00184116</v>
      </c>
      <c r="H800" t="s">
        <v>1720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2</v>
      </c>
      <c r="AA800">
        <v>0</v>
      </c>
      <c r="AB800">
        <v>0</v>
      </c>
      <c r="AC800">
        <v>0</v>
      </c>
      <c r="AD800" t="s">
        <v>1721</v>
      </c>
    </row>
    <row r="801" spans="1:30" x14ac:dyDescent="0.25">
      <c r="H801" t="s">
        <v>1722</v>
      </c>
    </row>
    <row r="802" spans="1:30" x14ac:dyDescent="0.25">
      <c r="A802">
        <v>398</v>
      </c>
      <c r="B802">
        <v>5243</v>
      </c>
      <c r="C802" t="s">
        <v>1723</v>
      </c>
      <c r="D802" t="s">
        <v>1724</v>
      </c>
      <c r="E802" t="s">
        <v>319</v>
      </c>
      <c r="F802" t="s">
        <v>1725</v>
      </c>
      <c r="G802" t="str">
        <f>"00126037"</f>
        <v>00126037</v>
      </c>
      <c r="H802">
        <v>715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30</v>
      </c>
      <c r="R802">
        <v>0</v>
      </c>
      <c r="S802">
        <v>0</v>
      </c>
      <c r="T802">
        <v>0</v>
      </c>
      <c r="U802">
        <v>0</v>
      </c>
      <c r="V802">
        <v>67</v>
      </c>
      <c r="W802">
        <v>469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1284</v>
      </c>
    </row>
    <row r="803" spans="1:30" x14ac:dyDescent="0.25">
      <c r="H803" t="s">
        <v>1206</v>
      </c>
    </row>
    <row r="804" spans="1:30" x14ac:dyDescent="0.25">
      <c r="A804">
        <v>399</v>
      </c>
      <c r="B804">
        <v>649</v>
      </c>
      <c r="C804" t="s">
        <v>1726</v>
      </c>
      <c r="D804" t="s">
        <v>1727</v>
      </c>
      <c r="E804" t="s">
        <v>34</v>
      </c>
      <c r="F804" t="s">
        <v>1728</v>
      </c>
      <c r="G804" t="str">
        <f>"00007114"</f>
        <v>00007114</v>
      </c>
      <c r="H804" t="s">
        <v>1414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66</v>
      </c>
      <c r="W804">
        <v>462</v>
      </c>
      <c r="X804">
        <v>0</v>
      </c>
      <c r="Z804">
        <v>0</v>
      </c>
      <c r="AA804">
        <v>0</v>
      </c>
      <c r="AB804">
        <v>4</v>
      </c>
      <c r="AC804">
        <v>68</v>
      </c>
      <c r="AD804" t="s">
        <v>1729</v>
      </c>
    </row>
    <row r="805" spans="1:30" x14ac:dyDescent="0.25">
      <c r="H805" t="s">
        <v>1730</v>
      </c>
    </row>
    <row r="806" spans="1:30" x14ac:dyDescent="0.25">
      <c r="A806">
        <v>400</v>
      </c>
      <c r="B806">
        <v>5262</v>
      </c>
      <c r="C806" t="s">
        <v>1731</v>
      </c>
      <c r="D806" t="s">
        <v>210</v>
      </c>
      <c r="E806" t="s">
        <v>24</v>
      </c>
      <c r="F806" t="s">
        <v>1732</v>
      </c>
      <c r="G806" t="str">
        <f>"00229647"</f>
        <v>00229647</v>
      </c>
      <c r="H806" t="s">
        <v>637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1733</v>
      </c>
    </row>
    <row r="807" spans="1:30" x14ac:dyDescent="0.25">
      <c r="H807" t="s">
        <v>1734</v>
      </c>
    </row>
    <row r="808" spans="1:30" x14ac:dyDescent="0.25">
      <c r="A808">
        <v>401</v>
      </c>
      <c r="B808">
        <v>1864</v>
      </c>
      <c r="C808" t="s">
        <v>1735</v>
      </c>
      <c r="D808" t="s">
        <v>44</v>
      </c>
      <c r="E808" t="s">
        <v>29</v>
      </c>
      <c r="F808" t="s">
        <v>1736</v>
      </c>
      <c r="G808" t="str">
        <f>"201411001925"</f>
        <v>201411001925</v>
      </c>
      <c r="H808">
        <v>693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30</v>
      </c>
      <c r="S808">
        <v>0</v>
      </c>
      <c r="T808">
        <v>0</v>
      </c>
      <c r="U808">
        <v>0</v>
      </c>
      <c r="V808">
        <v>75</v>
      </c>
      <c r="W808">
        <v>525</v>
      </c>
      <c r="X808">
        <v>0</v>
      </c>
      <c r="Z808">
        <v>0</v>
      </c>
      <c r="AA808">
        <v>0</v>
      </c>
      <c r="AB808">
        <v>0</v>
      </c>
      <c r="AC808">
        <v>0</v>
      </c>
      <c r="AD808">
        <v>1278</v>
      </c>
    </row>
    <row r="809" spans="1:30" x14ac:dyDescent="0.25">
      <c r="H809" t="s">
        <v>1737</v>
      </c>
    </row>
    <row r="810" spans="1:30" x14ac:dyDescent="0.25">
      <c r="A810">
        <v>402</v>
      </c>
      <c r="B810">
        <v>993</v>
      </c>
      <c r="C810" t="s">
        <v>1738</v>
      </c>
      <c r="D810" t="s">
        <v>185</v>
      </c>
      <c r="E810" t="s">
        <v>1739</v>
      </c>
      <c r="F810" t="s">
        <v>1740</v>
      </c>
      <c r="G810" t="str">
        <f>"201406004251"</f>
        <v>201406004251</v>
      </c>
      <c r="H810" t="s">
        <v>551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50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40</v>
      </c>
      <c r="W810">
        <v>280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1741</v>
      </c>
    </row>
    <row r="811" spans="1:30" x14ac:dyDescent="0.25">
      <c r="H811" t="s">
        <v>1742</v>
      </c>
    </row>
    <row r="812" spans="1:30" x14ac:dyDescent="0.25">
      <c r="A812">
        <v>403</v>
      </c>
      <c r="B812">
        <v>1085</v>
      </c>
      <c r="C812" t="s">
        <v>1743</v>
      </c>
      <c r="D812" t="s">
        <v>220</v>
      </c>
      <c r="E812" t="s">
        <v>146</v>
      </c>
      <c r="F812" t="s">
        <v>1744</v>
      </c>
      <c r="G812" t="str">
        <f>"201412000088"</f>
        <v>201412000088</v>
      </c>
      <c r="H812" t="s">
        <v>1745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74</v>
      </c>
      <c r="W812">
        <v>518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1746</v>
      </c>
    </row>
    <row r="813" spans="1:30" x14ac:dyDescent="0.25">
      <c r="H813" t="s">
        <v>1747</v>
      </c>
    </row>
    <row r="814" spans="1:30" x14ac:dyDescent="0.25">
      <c r="A814">
        <v>404</v>
      </c>
      <c r="B814">
        <v>4593</v>
      </c>
      <c r="C814" t="s">
        <v>1748</v>
      </c>
      <c r="D814" t="s">
        <v>282</v>
      </c>
      <c r="E814" t="s">
        <v>1382</v>
      </c>
      <c r="F814" t="s">
        <v>1749</v>
      </c>
      <c r="G814" t="str">
        <f>"00298055"</f>
        <v>00298055</v>
      </c>
      <c r="H814" t="s">
        <v>995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63</v>
      </c>
      <c r="W814">
        <v>441</v>
      </c>
      <c r="X814">
        <v>0</v>
      </c>
      <c r="Z814">
        <v>1</v>
      </c>
      <c r="AA814">
        <v>0</v>
      </c>
      <c r="AB814">
        <v>0</v>
      </c>
      <c r="AC814">
        <v>0</v>
      </c>
      <c r="AD814" t="s">
        <v>1750</v>
      </c>
    </row>
    <row r="815" spans="1:30" x14ac:dyDescent="0.25">
      <c r="H815" t="s">
        <v>1751</v>
      </c>
    </row>
    <row r="816" spans="1:30" x14ac:dyDescent="0.25">
      <c r="A816">
        <v>405</v>
      </c>
      <c r="B816">
        <v>261</v>
      </c>
      <c r="C816" t="s">
        <v>1752</v>
      </c>
      <c r="D816" t="s">
        <v>44</v>
      </c>
      <c r="E816" t="s">
        <v>107</v>
      </c>
      <c r="F816" t="s">
        <v>1753</v>
      </c>
      <c r="G816" t="str">
        <f>"00269051"</f>
        <v>00269051</v>
      </c>
      <c r="H816" t="s">
        <v>1754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80</v>
      </c>
      <c r="W816">
        <v>560</v>
      </c>
      <c r="X816">
        <v>0</v>
      </c>
      <c r="Z816">
        <v>0</v>
      </c>
      <c r="AA816">
        <v>0</v>
      </c>
      <c r="AB816">
        <v>4</v>
      </c>
      <c r="AC816">
        <v>68</v>
      </c>
      <c r="AD816" t="s">
        <v>1750</v>
      </c>
    </row>
    <row r="817" spans="1:30" x14ac:dyDescent="0.25">
      <c r="H817" t="s">
        <v>1755</v>
      </c>
    </row>
    <row r="818" spans="1:30" x14ac:dyDescent="0.25">
      <c r="A818">
        <v>406</v>
      </c>
      <c r="B818">
        <v>611</v>
      </c>
      <c r="C818" t="s">
        <v>1756</v>
      </c>
      <c r="D818" t="s">
        <v>1509</v>
      </c>
      <c r="E818" t="s">
        <v>28</v>
      </c>
      <c r="F818" t="s">
        <v>1757</v>
      </c>
      <c r="G818" t="str">
        <f>"200812000797"</f>
        <v>200812000797</v>
      </c>
      <c r="H818" t="s">
        <v>1758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23</v>
      </c>
      <c r="W818">
        <v>161</v>
      </c>
      <c r="X818">
        <v>0</v>
      </c>
      <c r="Z818">
        <v>0</v>
      </c>
      <c r="AA818">
        <v>0</v>
      </c>
      <c r="AB818">
        <v>24</v>
      </c>
      <c r="AC818">
        <v>408</v>
      </c>
      <c r="AD818" t="s">
        <v>1759</v>
      </c>
    </row>
    <row r="819" spans="1:30" x14ac:dyDescent="0.25">
      <c r="H819" t="s">
        <v>1760</v>
      </c>
    </row>
    <row r="820" spans="1:30" x14ac:dyDescent="0.25">
      <c r="A820">
        <v>407</v>
      </c>
      <c r="B820">
        <v>4515</v>
      </c>
      <c r="C820" t="s">
        <v>1761</v>
      </c>
      <c r="D820" t="s">
        <v>107</v>
      </c>
      <c r="E820" t="s">
        <v>220</v>
      </c>
      <c r="F820" t="s">
        <v>1762</v>
      </c>
      <c r="G820" t="str">
        <f>"201406004390"</f>
        <v>201406004390</v>
      </c>
      <c r="H820" t="s">
        <v>1763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19</v>
      </c>
      <c r="W820">
        <v>133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1764</v>
      </c>
    </row>
    <row r="821" spans="1:30" x14ac:dyDescent="0.25">
      <c r="H821" t="s">
        <v>1765</v>
      </c>
    </row>
    <row r="822" spans="1:30" x14ac:dyDescent="0.25">
      <c r="A822">
        <v>408</v>
      </c>
      <c r="B822">
        <v>6056</v>
      </c>
      <c r="C822" t="s">
        <v>1766</v>
      </c>
      <c r="D822" t="s">
        <v>185</v>
      </c>
      <c r="E822" t="s">
        <v>44</v>
      </c>
      <c r="F822" t="s">
        <v>1767</v>
      </c>
      <c r="G822" t="str">
        <f>"201406001167"</f>
        <v>201406001167</v>
      </c>
      <c r="H822" t="s">
        <v>1260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39</v>
      </c>
      <c r="W822">
        <v>273</v>
      </c>
      <c r="X822">
        <v>0</v>
      </c>
      <c r="Z822">
        <v>1</v>
      </c>
      <c r="AA822">
        <v>0</v>
      </c>
      <c r="AB822">
        <v>0</v>
      </c>
      <c r="AC822">
        <v>0</v>
      </c>
      <c r="AD822" t="s">
        <v>1768</v>
      </c>
    </row>
    <row r="823" spans="1:30" x14ac:dyDescent="0.25">
      <c r="H823" t="s">
        <v>1769</v>
      </c>
    </row>
    <row r="824" spans="1:30" x14ac:dyDescent="0.25">
      <c r="A824">
        <v>409</v>
      </c>
      <c r="B824">
        <v>2174</v>
      </c>
      <c r="C824" t="s">
        <v>1770</v>
      </c>
      <c r="D824" t="s">
        <v>185</v>
      </c>
      <c r="E824" t="s">
        <v>416</v>
      </c>
      <c r="F824" t="s">
        <v>1771</v>
      </c>
      <c r="G824" t="str">
        <f>"00271064"</f>
        <v>00271064</v>
      </c>
      <c r="H824">
        <v>825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59</v>
      </c>
      <c r="W824">
        <v>413</v>
      </c>
      <c r="X824">
        <v>0</v>
      </c>
      <c r="Z824">
        <v>2</v>
      </c>
      <c r="AA824">
        <v>0</v>
      </c>
      <c r="AB824">
        <v>0</v>
      </c>
      <c r="AC824">
        <v>0</v>
      </c>
      <c r="AD824">
        <v>1268</v>
      </c>
    </row>
    <row r="825" spans="1:30" x14ac:dyDescent="0.25">
      <c r="H825" t="s">
        <v>1772</v>
      </c>
    </row>
    <row r="826" spans="1:30" x14ac:dyDescent="0.25">
      <c r="A826">
        <v>410</v>
      </c>
      <c r="B826">
        <v>1405</v>
      </c>
      <c r="C826" t="s">
        <v>1773</v>
      </c>
      <c r="D826" t="s">
        <v>1774</v>
      </c>
      <c r="E826" t="s">
        <v>1452</v>
      </c>
      <c r="F826" t="s">
        <v>1775</v>
      </c>
      <c r="G826" t="str">
        <f>"201511013032"</f>
        <v>201511013032</v>
      </c>
      <c r="H826">
        <v>649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1267</v>
      </c>
    </row>
    <row r="827" spans="1:30" x14ac:dyDescent="0.25">
      <c r="H827" t="s">
        <v>1776</v>
      </c>
    </row>
    <row r="828" spans="1:30" x14ac:dyDescent="0.25">
      <c r="A828">
        <v>411</v>
      </c>
      <c r="B828">
        <v>5595</v>
      </c>
      <c r="C828" t="s">
        <v>1777</v>
      </c>
      <c r="D828" t="s">
        <v>274</v>
      </c>
      <c r="E828" t="s">
        <v>93</v>
      </c>
      <c r="F828" t="s">
        <v>1778</v>
      </c>
      <c r="G828" t="str">
        <f>"00264326"</f>
        <v>00264326</v>
      </c>
      <c r="H828">
        <v>649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2</v>
      </c>
      <c r="AA828">
        <v>0</v>
      </c>
      <c r="AB828">
        <v>0</v>
      </c>
      <c r="AC828">
        <v>0</v>
      </c>
      <c r="AD828">
        <v>1267</v>
      </c>
    </row>
    <row r="829" spans="1:30" x14ac:dyDescent="0.25">
      <c r="H829" t="s">
        <v>1779</v>
      </c>
    </row>
    <row r="830" spans="1:30" x14ac:dyDescent="0.25">
      <c r="A830">
        <v>412</v>
      </c>
      <c r="B830">
        <v>4147</v>
      </c>
      <c r="C830" t="s">
        <v>1780</v>
      </c>
      <c r="D830" t="s">
        <v>1781</v>
      </c>
      <c r="E830" t="s">
        <v>63</v>
      </c>
      <c r="F830" t="s">
        <v>1782</v>
      </c>
      <c r="G830" t="str">
        <f>"201406004754"</f>
        <v>201406004754</v>
      </c>
      <c r="H830">
        <v>660</v>
      </c>
      <c r="I830">
        <v>150</v>
      </c>
      <c r="J830">
        <v>0</v>
      </c>
      <c r="K830">
        <v>0</v>
      </c>
      <c r="L830">
        <v>0</v>
      </c>
      <c r="M830">
        <v>100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27</v>
      </c>
      <c r="W830">
        <v>189</v>
      </c>
      <c r="X830">
        <v>0</v>
      </c>
      <c r="Z830">
        <v>0</v>
      </c>
      <c r="AA830">
        <v>0</v>
      </c>
      <c r="AB830">
        <v>8</v>
      </c>
      <c r="AC830">
        <v>136</v>
      </c>
      <c r="AD830">
        <v>1265</v>
      </c>
    </row>
    <row r="831" spans="1:30" x14ac:dyDescent="0.25">
      <c r="H831" t="s">
        <v>1783</v>
      </c>
    </row>
    <row r="832" spans="1:30" x14ac:dyDescent="0.25">
      <c r="A832">
        <v>413</v>
      </c>
      <c r="B832">
        <v>936</v>
      </c>
      <c r="C832" t="s">
        <v>1784</v>
      </c>
      <c r="D832" t="s">
        <v>761</v>
      </c>
      <c r="E832" t="s">
        <v>1458</v>
      </c>
      <c r="F832" t="s">
        <v>1785</v>
      </c>
      <c r="G832" t="str">
        <f>"201402008298"</f>
        <v>201402008298</v>
      </c>
      <c r="H832">
        <v>616</v>
      </c>
      <c r="I832">
        <v>0</v>
      </c>
      <c r="J832">
        <v>0</v>
      </c>
      <c r="K832">
        <v>0</v>
      </c>
      <c r="L832">
        <v>0</v>
      </c>
      <c r="M832">
        <v>130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64</v>
      </c>
      <c r="W832">
        <v>448</v>
      </c>
      <c r="X832">
        <v>0</v>
      </c>
      <c r="Z832">
        <v>2</v>
      </c>
      <c r="AA832">
        <v>0</v>
      </c>
      <c r="AB832">
        <v>0</v>
      </c>
      <c r="AC832">
        <v>0</v>
      </c>
      <c r="AD832">
        <v>1264</v>
      </c>
    </row>
    <row r="833" spans="1:30" x14ac:dyDescent="0.25">
      <c r="H833" t="s">
        <v>1786</v>
      </c>
    </row>
    <row r="834" spans="1:30" x14ac:dyDescent="0.25">
      <c r="A834">
        <v>414</v>
      </c>
      <c r="B834">
        <v>3514</v>
      </c>
      <c r="C834" t="s">
        <v>1787</v>
      </c>
      <c r="D834" t="s">
        <v>115</v>
      </c>
      <c r="E834" t="s">
        <v>107</v>
      </c>
      <c r="F834" t="s">
        <v>1788</v>
      </c>
      <c r="G834" t="str">
        <f>"00361421"</f>
        <v>00361421</v>
      </c>
      <c r="H834">
        <v>792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63</v>
      </c>
      <c r="W834">
        <v>441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1263</v>
      </c>
    </row>
    <row r="835" spans="1:30" x14ac:dyDescent="0.25">
      <c r="H835" t="s">
        <v>1789</v>
      </c>
    </row>
    <row r="836" spans="1:30" x14ac:dyDescent="0.25">
      <c r="A836">
        <v>415</v>
      </c>
      <c r="B836">
        <v>324</v>
      </c>
      <c r="C836" t="s">
        <v>1790</v>
      </c>
      <c r="D836" t="s">
        <v>1791</v>
      </c>
      <c r="E836" t="s">
        <v>307</v>
      </c>
      <c r="F836" t="s">
        <v>1792</v>
      </c>
      <c r="G836" t="str">
        <f>"00301004"</f>
        <v>00301004</v>
      </c>
      <c r="H836" t="s">
        <v>1793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64</v>
      </c>
      <c r="W836">
        <v>448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1794</v>
      </c>
    </row>
    <row r="837" spans="1:30" x14ac:dyDescent="0.25">
      <c r="H837" t="s">
        <v>1795</v>
      </c>
    </row>
    <row r="838" spans="1:30" x14ac:dyDescent="0.25">
      <c r="A838">
        <v>416</v>
      </c>
      <c r="B838">
        <v>1618</v>
      </c>
      <c r="C838" t="s">
        <v>1796</v>
      </c>
      <c r="D838" t="s">
        <v>246</v>
      </c>
      <c r="E838" t="s">
        <v>107</v>
      </c>
      <c r="F838" t="s">
        <v>1797</v>
      </c>
      <c r="G838" t="str">
        <f>"00226209"</f>
        <v>00226209</v>
      </c>
      <c r="H838">
        <v>814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59</v>
      </c>
      <c r="W838">
        <v>413</v>
      </c>
      <c r="X838">
        <v>0</v>
      </c>
      <c r="Z838">
        <v>1</v>
      </c>
      <c r="AA838">
        <v>0</v>
      </c>
      <c r="AB838">
        <v>0</v>
      </c>
      <c r="AC838">
        <v>0</v>
      </c>
      <c r="AD838">
        <v>1257</v>
      </c>
    </row>
    <row r="839" spans="1:30" x14ac:dyDescent="0.25">
      <c r="H839" t="s">
        <v>1798</v>
      </c>
    </row>
    <row r="840" spans="1:30" x14ac:dyDescent="0.25">
      <c r="A840">
        <v>417</v>
      </c>
      <c r="B840">
        <v>2786</v>
      </c>
      <c r="C840" t="s">
        <v>1446</v>
      </c>
      <c r="D840" t="s">
        <v>1799</v>
      </c>
      <c r="E840" t="s">
        <v>34</v>
      </c>
      <c r="F840" t="s">
        <v>1800</v>
      </c>
      <c r="G840" t="str">
        <f>"200802001170"</f>
        <v>200802001170</v>
      </c>
      <c r="H840">
        <v>693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30</v>
      </c>
      <c r="R840">
        <v>0</v>
      </c>
      <c r="S840">
        <v>0</v>
      </c>
      <c r="T840">
        <v>0</v>
      </c>
      <c r="U840">
        <v>0</v>
      </c>
      <c r="V840">
        <v>72</v>
      </c>
      <c r="W840">
        <v>504</v>
      </c>
      <c r="X840">
        <v>0</v>
      </c>
      <c r="Z840">
        <v>0</v>
      </c>
      <c r="AA840">
        <v>0</v>
      </c>
      <c r="AB840">
        <v>0</v>
      </c>
      <c r="AC840">
        <v>0</v>
      </c>
      <c r="AD840">
        <v>1257</v>
      </c>
    </row>
    <row r="841" spans="1:30" x14ac:dyDescent="0.25">
      <c r="H841" t="s">
        <v>1801</v>
      </c>
    </row>
    <row r="842" spans="1:30" x14ac:dyDescent="0.25">
      <c r="A842">
        <v>418</v>
      </c>
      <c r="B842">
        <v>278</v>
      </c>
      <c r="C842" t="s">
        <v>1802</v>
      </c>
      <c r="D842" t="s">
        <v>1803</v>
      </c>
      <c r="E842" t="s">
        <v>1804</v>
      </c>
      <c r="F842" t="s">
        <v>1805</v>
      </c>
      <c r="G842" t="str">
        <f>"00262692"</f>
        <v>00262692</v>
      </c>
      <c r="H842" t="s">
        <v>248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74</v>
      </c>
      <c r="W842">
        <v>518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1806</v>
      </c>
    </row>
    <row r="843" spans="1:30" x14ac:dyDescent="0.25">
      <c r="H843" t="s">
        <v>1807</v>
      </c>
    </row>
    <row r="844" spans="1:30" x14ac:dyDescent="0.25">
      <c r="A844">
        <v>419</v>
      </c>
      <c r="B844">
        <v>6069</v>
      </c>
      <c r="C844" t="s">
        <v>1808</v>
      </c>
      <c r="D844" t="s">
        <v>185</v>
      </c>
      <c r="E844" t="s">
        <v>55</v>
      </c>
      <c r="F844" t="s">
        <v>1809</v>
      </c>
      <c r="G844" t="str">
        <f>"00364350"</f>
        <v>00364350</v>
      </c>
      <c r="H844">
        <v>638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>
        <v>1256</v>
      </c>
    </row>
    <row r="845" spans="1:30" x14ac:dyDescent="0.25">
      <c r="H845" t="s">
        <v>1810</v>
      </c>
    </row>
    <row r="846" spans="1:30" x14ac:dyDescent="0.25">
      <c r="A846">
        <v>420</v>
      </c>
      <c r="B846">
        <v>4874</v>
      </c>
      <c r="C846" t="s">
        <v>1811</v>
      </c>
      <c r="D846" t="s">
        <v>1812</v>
      </c>
      <c r="E846" t="s">
        <v>24</v>
      </c>
      <c r="F846" t="s">
        <v>1813</v>
      </c>
      <c r="G846" t="str">
        <f>"201406013797"</f>
        <v>201406013797</v>
      </c>
      <c r="H846" t="s">
        <v>1814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1815</v>
      </c>
    </row>
    <row r="847" spans="1:30" x14ac:dyDescent="0.25">
      <c r="H847" t="s">
        <v>1816</v>
      </c>
    </row>
    <row r="848" spans="1:30" x14ac:dyDescent="0.25">
      <c r="A848">
        <v>421</v>
      </c>
      <c r="B848">
        <v>4806</v>
      </c>
      <c r="C848" t="s">
        <v>1817</v>
      </c>
      <c r="D848" t="s">
        <v>55</v>
      </c>
      <c r="E848" t="s">
        <v>289</v>
      </c>
      <c r="F848" t="s">
        <v>1818</v>
      </c>
      <c r="G848" t="str">
        <f>"00215283"</f>
        <v>00215283</v>
      </c>
      <c r="H848">
        <v>660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75</v>
      </c>
      <c r="W848">
        <v>525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1255</v>
      </c>
    </row>
    <row r="849" spans="1:30" x14ac:dyDescent="0.25">
      <c r="H849" t="s">
        <v>1819</v>
      </c>
    </row>
    <row r="850" spans="1:30" x14ac:dyDescent="0.25">
      <c r="A850">
        <v>422</v>
      </c>
      <c r="B850">
        <v>3403</v>
      </c>
      <c r="C850" t="s">
        <v>1820</v>
      </c>
      <c r="D850" t="s">
        <v>283</v>
      </c>
      <c r="E850" t="s">
        <v>107</v>
      </c>
      <c r="F850" t="s">
        <v>1821</v>
      </c>
      <c r="G850" t="str">
        <f>"00012410"</f>
        <v>00012410</v>
      </c>
      <c r="H850" t="s">
        <v>576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69</v>
      </c>
      <c r="W850">
        <v>483</v>
      </c>
      <c r="X850">
        <v>0</v>
      </c>
      <c r="Z850">
        <v>1</v>
      </c>
      <c r="AA850">
        <v>0</v>
      </c>
      <c r="AB850">
        <v>0</v>
      </c>
      <c r="AC850">
        <v>0</v>
      </c>
      <c r="AD850" t="s">
        <v>1822</v>
      </c>
    </row>
    <row r="851" spans="1:30" x14ac:dyDescent="0.25">
      <c r="H851" t="s">
        <v>1823</v>
      </c>
    </row>
    <row r="852" spans="1:30" x14ac:dyDescent="0.25">
      <c r="A852">
        <v>423</v>
      </c>
      <c r="B852">
        <v>4955</v>
      </c>
      <c r="C852" t="s">
        <v>1824</v>
      </c>
      <c r="D852" t="s">
        <v>1825</v>
      </c>
      <c r="E852" t="s">
        <v>1458</v>
      </c>
      <c r="F852" t="s">
        <v>1826</v>
      </c>
      <c r="G852" t="str">
        <f>"200801009122"</f>
        <v>200801009122</v>
      </c>
      <c r="H852">
        <v>825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57</v>
      </c>
      <c r="W852">
        <v>399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1254</v>
      </c>
    </row>
    <row r="853" spans="1:30" x14ac:dyDescent="0.25">
      <c r="H853" t="s">
        <v>1827</v>
      </c>
    </row>
    <row r="854" spans="1:30" x14ac:dyDescent="0.25">
      <c r="A854">
        <v>424</v>
      </c>
      <c r="B854">
        <v>5172</v>
      </c>
      <c r="C854" t="s">
        <v>1828</v>
      </c>
      <c r="D854" t="s">
        <v>1829</v>
      </c>
      <c r="E854" t="s">
        <v>100</v>
      </c>
      <c r="F854" t="s">
        <v>1830</v>
      </c>
      <c r="G854" t="str">
        <f>"201511035983"</f>
        <v>201511035983</v>
      </c>
      <c r="H854" t="s">
        <v>646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80</v>
      </c>
      <c r="W854">
        <v>560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1831</v>
      </c>
    </row>
    <row r="855" spans="1:30" x14ac:dyDescent="0.25">
      <c r="H855" t="s">
        <v>847</v>
      </c>
    </row>
    <row r="856" spans="1:30" x14ac:dyDescent="0.25">
      <c r="A856">
        <v>425</v>
      </c>
      <c r="B856">
        <v>3243</v>
      </c>
      <c r="C856" t="s">
        <v>1832</v>
      </c>
      <c r="D856" t="s">
        <v>771</v>
      </c>
      <c r="E856" t="s">
        <v>330</v>
      </c>
      <c r="F856" t="s">
        <v>1833</v>
      </c>
      <c r="G856" t="str">
        <f>"201305000040"</f>
        <v>201305000040</v>
      </c>
      <c r="H856" t="s">
        <v>521</v>
      </c>
      <c r="I856">
        <v>0</v>
      </c>
      <c r="J856">
        <v>0</v>
      </c>
      <c r="K856">
        <v>0</v>
      </c>
      <c r="L856">
        <v>0</v>
      </c>
      <c r="M856">
        <v>100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49</v>
      </c>
      <c r="W856">
        <v>343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1834</v>
      </c>
    </row>
    <row r="857" spans="1:30" x14ac:dyDescent="0.25">
      <c r="H857" t="s">
        <v>1835</v>
      </c>
    </row>
    <row r="858" spans="1:30" x14ac:dyDescent="0.25">
      <c r="A858">
        <v>426</v>
      </c>
      <c r="B858">
        <v>638</v>
      </c>
      <c r="C858" t="s">
        <v>1836</v>
      </c>
      <c r="D858" t="s">
        <v>326</v>
      </c>
      <c r="E858" t="s">
        <v>121</v>
      </c>
      <c r="F858" t="s">
        <v>1837</v>
      </c>
      <c r="G858" t="str">
        <f>"201403000109"</f>
        <v>201403000109</v>
      </c>
      <c r="H858" t="s">
        <v>1272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34</v>
      </c>
      <c r="W858">
        <v>238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1838</v>
      </c>
    </row>
    <row r="859" spans="1:30" x14ac:dyDescent="0.25">
      <c r="H859" t="s">
        <v>1839</v>
      </c>
    </row>
    <row r="860" spans="1:30" x14ac:dyDescent="0.25">
      <c r="A860">
        <v>427</v>
      </c>
      <c r="B860">
        <v>5219</v>
      </c>
      <c r="C860" t="s">
        <v>1840</v>
      </c>
      <c r="D860" t="s">
        <v>467</v>
      </c>
      <c r="E860" t="s">
        <v>28</v>
      </c>
      <c r="F860" t="s">
        <v>1841</v>
      </c>
      <c r="G860" t="str">
        <f>"00339171"</f>
        <v>00339171</v>
      </c>
      <c r="H860" t="s">
        <v>827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69</v>
      </c>
      <c r="W860">
        <v>483</v>
      </c>
      <c r="X860">
        <v>0</v>
      </c>
      <c r="Z860">
        <v>2</v>
      </c>
      <c r="AA860">
        <v>0</v>
      </c>
      <c r="AB860">
        <v>0</v>
      </c>
      <c r="AC860">
        <v>0</v>
      </c>
      <c r="AD860" t="s">
        <v>1842</v>
      </c>
    </row>
    <row r="861" spans="1:30" x14ac:dyDescent="0.25">
      <c r="H861" t="s">
        <v>1843</v>
      </c>
    </row>
    <row r="862" spans="1:30" x14ac:dyDescent="0.25">
      <c r="A862">
        <v>428</v>
      </c>
      <c r="B862">
        <v>464</v>
      </c>
      <c r="C862" t="s">
        <v>1844</v>
      </c>
      <c r="D862" t="s">
        <v>604</v>
      </c>
      <c r="E862" t="s">
        <v>34</v>
      </c>
      <c r="F862" t="s">
        <v>1845</v>
      </c>
      <c r="G862" t="str">
        <f>"200712005394"</f>
        <v>200712005394</v>
      </c>
      <c r="H862" t="s">
        <v>254</v>
      </c>
      <c r="I862">
        <v>150</v>
      </c>
      <c r="J862">
        <v>0</v>
      </c>
      <c r="K862">
        <v>0</v>
      </c>
      <c r="L862">
        <v>200</v>
      </c>
      <c r="M862">
        <v>0</v>
      </c>
      <c r="N862">
        <v>30</v>
      </c>
      <c r="O862">
        <v>0</v>
      </c>
      <c r="P862">
        <v>30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1846</v>
      </c>
    </row>
    <row r="863" spans="1:30" x14ac:dyDescent="0.25">
      <c r="H863" t="s">
        <v>1847</v>
      </c>
    </row>
    <row r="864" spans="1:30" x14ac:dyDescent="0.25">
      <c r="A864">
        <v>429</v>
      </c>
      <c r="B864">
        <v>4396</v>
      </c>
      <c r="C864" t="s">
        <v>1848</v>
      </c>
      <c r="D864" t="s">
        <v>158</v>
      </c>
      <c r="E864" t="s">
        <v>100</v>
      </c>
      <c r="F864" t="s">
        <v>1849</v>
      </c>
      <c r="G864" t="str">
        <f>"00190771"</f>
        <v>00190771</v>
      </c>
      <c r="H864">
        <v>748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67</v>
      </c>
      <c r="W864">
        <v>469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1247</v>
      </c>
    </row>
    <row r="865" spans="1:30" x14ac:dyDescent="0.25">
      <c r="H865" t="s">
        <v>1850</v>
      </c>
    </row>
    <row r="866" spans="1:30" x14ac:dyDescent="0.25">
      <c r="A866">
        <v>430</v>
      </c>
      <c r="B866">
        <v>1066</v>
      </c>
      <c r="C866" t="s">
        <v>1851</v>
      </c>
      <c r="D866" t="s">
        <v>566</v>
      </c>
      <c r="E866" t="s">
        <v>495</v>
      </c>
      <c r="F866" t="s">
        <v>1852</v>
      </c>
      <c r="G866" t="str">
        <f>"201402001544"</f>
        <v>201402001544</v>
      </c>
      <c r="H866">
        <v>748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67</v>
      </c>
      <c r="W866">
        <v>469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1247</v>
      </c>
    </row>
    <row r="867" spans="1:30" x14ac:dyDescent="0.25">
      <c r="H867" t="s">
        <v>1853</v>
      </c>
    </row>
    <row r="868" spans="1:30" x14ac:dyDescent="0.25">
      <c r="A868">
        <v>431</v>
      </c>
      <c r="B868">
        <v>5684</v>
      </c>
      <c r="C868" t="s">
        <v>1854</v>
      </c>
      <c r="D868" t="s">
        <v>1855</v>
      </c>
      <c r="E868" t="s">
        <v>44</v>
      </c>
      <c r="F868" t="s">
        <v>1856</v>
      </c>
      <c r="G868" t="str">
        <f>"00356353"</f>
        <v>00356353</v>
      </c>
      <c r="H868">
        <v>671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78</v>
      </c>
      <c r="W868">
        <v>546</v>
      </c>
      <c r="X868">
        <v>0</v>
      </c>
      <c r="Z868">
        <v>2</v>
      </c>
      <c r="AA868">
        <v>0</v>
      </c>
      <c r="AB868">
        <v>0</v>
      </c>
      <c r="AC868">
        <v>0</v>
      </c>
      <c r="AD868">
        <v>1247</v>
      </c>
    </row>
    <row r="869" spans="1:30" x14ac:dyDescent="0.25">
      <c r="H869" t="s">
        <v>1857</v>
      </c>
    </row>
    <row r="870" spans="1:30" x14ac:dyDescent="0.25">
      <c r="A870">
        <v>432</v>
      </c>
      <c r="B870">
        <v>4949</v>
      </c>
      <c r="C870" t="s">
        <v>1858</v>
      </c>
      <c r="D870" t="s">
        <v>62</v>
      </c>
      <c r="E870" t="s">
        <v>107</v>
      </c>
      <c r="F870" t="s">
        <v>1859</v>
      </c>
      <c r="G870" t="str">
        <f>"201604006029"</f>
        <v>201604006029</v>
      </c>
      <c r="H870" t="s">
        <v>970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30</v>
      </c>
      <c r="W870">
        <v>210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1860</v>
      </c>
    </row>
    <row r="871" spans="1:30" x14ac:dyDescent="0.25">
      <c r="H871" t="s">
        <v>1765</v>
      </c>
    </row>
    <row r="872" spans="1:30" x14ac:dyDescent="0.25">
      <c r="A872">
        <v>433</v>
      </c>
      <c r="B872">
        <v>2327</v>
      </c>
      <c r="C872" t="s">
        <v>1861</v>
      </c>
      <c r="D872" t="s">
        <v>1862</v>
      </c>
      <c r="E872" t="s">
        <v>1863</v>
      </c>
      <c r="F872" t="s">
        <v>1864</v>
      </c>
      <c r="G872" t="str">
        <f>"00198658"</f>
        <v>00198658</v>
      </c>
      <c r="H872" t="s">
        <v>314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76</v>
      </c>
      <c r="W872">
        <v>532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1865</v>
      </c>
    </row>
    <row r="873" spans="1:30" x14ac:dyDescent="0.25">
      <c r="H873" t="s">
        <v>1866</v>
      </c>
    </row>
    <row r="874" spans="1:30" x14ac:dyDescent="0.25">
      <c r="A874">
        <v>434</v>
      </c>
      <c r="B874">
        <v>4069</v>
      </c>
      <c r="C874" t="s">
        <v>1867</v>
      </c>
      <c r="D874" t="s">
        <v>92</v>
      </c>
      <c r="E874" t="s">
        <v>93</v>
      </c>
      <c r="F874" t="s">
        <v>1868</v>
      </c>
      <c r="G874" t="str">
        <f>"00185705"</f>
        <v>00185705</v>
      </c>
      <c r="H874">
        <v>891</v>
      </c>
      <c r="I874">
        <v>0</v>
      </c>
      <c r="J874">
        <v>0</v>
      </c>
      <c r="K874">
        <v>0</v>
      </c>
      <c r="L874">
        <v>200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12</v>
      </c>
      <c r="W874">
        <v>84</v>
      </c>
      <c r="X874">
        <v>0</v>
      </c>
      <c r="Z874">
        <v>0</v>
      </c>
      <c r="AA874">
        <v>0</v>
      </c>
      <c r="AB874">
        <v>0</v>
      </c>
      <c r="AC874">
        <v>0</v>
      </c>
      <c r="AD874">
        <v>1245</v>
      </c>
    </row>
    <row r="875" spans="1:30" x14ac:dyDescent="0.25">
      <c r="H875" t="s">
        <v>1869</v>
      </c>
    </row>
    <row r="876" spans="1:30" x14ac:dyDescent="0.25">
      <c r="A876">
        <v>435</v>
      </c>
      <c r="B876">
        <v>4197</v>
      </c>
      <c r="C876" t="s">
        <v>1870</v>
      </c>
      <c r="D876" t="s">
        <v>185</v>
      </c>
      <c r="E876" t="s">
        <v>220</v>
      </c>
      <c r="F876" t="s">
        <v>1871</v>
      </c>
      <c r="G876" t="str">
        <f>"00339957"</f>
        <v>00339957</v>
      </c>
      <c r="H876">
        <v>847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52</v>
      </c>
      <c r="W876">
        <v>364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1241</v>
      </c>
    </row>
    <row r="877" spans="1:30" x14ac:dyDescent="0.25">
      <c r="H877" t="s">
        <v>1872</v>
      </c>
    </row>
    <row r="878" spans="1:30" x14ac:dyDescent="0.25">
      <c r="A878">
        <v>436</v>
      </c>
      <c r="B878">
        <v>1075</v>
      </c>
      <c r="C878" t="s">
        <v>199</v>
      </c>
      <c r="D878" t="s">
        <v>69</v>
      </c>
      <c r="E878" t="s">
        <v>29</v>
      </c>
      <c r="F878" t="s">
        <v>1873</v>
      </c>
      <c r="G878" t="str">
        <f>"00231497"</f>
        <v>00231497</v>
      </c>
      <c r="H878">
        <v>726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69</v>
      </c>
      <c r="W878">
        <v>483</v>
      </c>
      <c r="X878">
        <v>0</v>
      </c>
      <c r="Z878">
        <v>0</v>
      </c>
      <c r="AA878">
        <v>0</v>
      </c>
      <c r="AB878">
        <v>0</v>
      </c>
      <c r="AC878">
        <v>0</v>
      </c>
      <c r="AD878">
        <v>1239</v>
      </c>
    </row>
    <row r="879" spans="1:30" x14ac:dyDescent="0.25">
      <c r="H879" t="s">
        <v>1874</v>
      </c>
    </row>
    <row r="880" spans="1:30" x14ac:dyDescent="0.25">
      <c r="A880">
        <v>437</v>
      </c>
      <c r="B880">
        <v>266</v>
      </c>
      <c r="C880" t="s">
        <v>1875</v>
      </c>
      <c r="D880" t="s">
        <v>1876</v>
      </c>
      <c r="E880" t="s">
        <v>1877</v>
      </c>
      <c r="F880" t="s">
        <v>1878</v>
      </c>
      <c r="G880" t="str">
        <f>"200802001048"</f>
        <v>200802001048</v>
      </c>
      <c r="H880" t="s">
        <v>1879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50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12</v>
      </c>
      <c r="W880">
        <v>84</v>
      </c>
      <c r="X880">
        <v>0</v>
      </c>
      <c r="Z880">
        <v>0</v>
      </c>
      <c r="AA880">
        <v>0</v>
      </c>
      <c r="AB880">
        <v>24</v>
      </c>
      <c r="AC880">
        <v>408</v>
      </c>
      <c r="AD880" t="s">
        <v>1880</v>
      </c>
    </row>
    <row r="881" spans="1:30" x14ac:dyDescent="0.25">
      <c r="H881" t="s">
        <v>1881</v>
      </c>
    </row>
    <row r="882" spans="1:30" x14ac:dyDescent="0.25">
      <c r="A882">
        <v>438</v>
      </c>
      <c r="B882">
        <v>4232</v>
      </c>
      <c r="C882" t="s">
        <v>603</v>
      </c>
      <c r="D882" t="s">
        <v>44</v>
      </c>
      <c r="E882" t="s">
        <v>1882</v>
      </c>
      <c r="F882" t="s">
        <v>1883</v>
      </c>
      <c r="G882" t="str">
        <f>"201406012846"</f>
        <v>201406012846</v>
      </c>
      <c r="H882" t="s">
        <v>1610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69</v>
      </c>
      <c r="W882">
        <v>483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1880</v>
      </c>
    </row>
    <row r="883" spans="1:30" x14ac:dyDescent="0.25">
      <c r="H883" t="s">
        <v>1884</v>
      </c>
    </row>
    <row r="884" spans="1:30" x14ac:dyDescent="0.25">
      <c r="A884">
        <v>439</v>
      </c>
      <c r="B884">
        <v>610</v>
      </c>
      <c r="C884" t="s">
        <v>1885</v>
      </c>
      <c r="D884" t="s">
        <v>24</v>
      </c>
      <c r="E884" t="s">
        <v>34</v>
      </c>
      <c r="F884" t="s">
        <v>1886</v>
      </c>
      <c r="G884" t="str">
        <f>"201406006281"</f>
        <v>201406006281</v>
      </c>
      <c r="H884" t="s">
        <v>1887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12</v>
      </c>
      <c r="W884">
        <v>84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1888</v>
      </c>
    </row>
    <row r="885" spans="1:30" x14ac:dyDescent="0.25">
      <c r="H885" t="s">
        <v>1889</v>
      </c>
    </row>
    <row r="886" spans="1:30" x14ac:dyDescent="0.25">
      <c r="A886">
        <v>440</v>
      </c>
      <c r="B886">
        <v>212</v>
      </c>
      <c r="C886" t="s">
        <v>1890</v>
      </c>
      <c r="D886" t="s">
        <v>1891</v>
      </c>
      <c r="E886" t="s">
        <v>44</v>
      </c>
      <c r="F886" t="s">
        <v>1892</v>
      </c>
      <c r="G886" t="str">
        <f>"201402011092"</f>
        <v>201402011092</v>
      </c>
      <c r="H886">
        <v>693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73</v>
      </c>
      <c r="W886">
        <v>511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1234</v>
      </c>
    </row>
    <row r="887" spans="1:30" x14ac:dyDescent="0.25">
      <c r="H887" t="s">
        <v>1893</v>
      </c>
    </row>
    <row r="888" spans="1:30" x14ac:dyDescent="0.25">
      <c r="A888">
        <v>441</v>
      </c>
      <c r="B888">
        <v>5812</v>
      </c>
      <c r="C888" t="s">
        <v>1894</v>
      </c>
      <c r="D888" t="s">
        <v>154</v>
      </c>
      <c r="E888" t="s">
        <v>107</v>
      </c>
      <c r="F888" t="s">
        <v>1895</v>
      </c>
      <c r="G888" t="str">
        <f>"200801011128"</f>
        <v>200801011128</v>
      </c>
      <c r="H888" t="s">
        <v>1896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38</v>
      </c>
      <c r="W888">
        <v>266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1897</v>
      </c>
    </row>
    <row r="889" spans="1:30" x14ac:dyDescent="0.25">
      <c r="H889" t="s">
        <v>1898</v>
      </c>
    </row>
    <row r="890" spans="1:30" x14ac:dyDescent="0.25">
      <c r="A890">
        <v>442</v>
      </c>
      <c r="B890">
        <v>4907</v>
      </c>
      <c r="C890" t="s">
        <v>1899</v>
      </c>
      <c r="D890" t="s">
        <v>1701</v>
      </c>
      <c r="E890" t="s">
        <v>44</v>
      </c>
      <c r="F890" t="s">
        <v>1900</v>
      </c>
      <c r="G890" t="str">
        <f>"201405000632"</f>
        <v>201405000632</v>
      </c>
      <c r="H890" t="s">
        <v>1901</v>
      </c>
      <c r="I890">
        <v>150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30</v>
      </c>
      <c r="R890">
        <v>0</v>
      </c>
      <c r="S890">
        <v>0</v>
      </c>
      <c r="T890">
        <v>0</v>
      </c>
      <c r="U890">
        <v>0</v>
      </c>
      <c r="V890">
        <v>4</v>
      </c>
      <c r="W890">
        <v>28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1902</v>
      </c>
    </row>
    <row r="891" spans="1:30" x14ac:dyDescent="0.25">
      <c r="H891" t="s">
        <v>1903</v>
      </c>
    </row>
    <row r="892" spans="1:30" x14ac:dyDescent="0.25">
      <c r="A892">
        <v>443</v>
      </c>
      <c r="B892">
        <v>2519</v>
      </c>
      <c r="C892" t="s">
        <v>1904</v>
      </c>
      <c r="D892" t="s">
        <v>721</v>
      </c>
      <c r="E892" t="s">
        <v>28</v>
      </c>
      <c r="F892" t="s">
        <v>1905</v>
      </c>
      <c r="G892" t="str">
        <f>"201401000549"</f>
        <v>201401000549</v>
      </c>
      <c r="H892">
        <v>726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39</v>
      </c>
      <c r="W892">
        <v>273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1229</v>
      </c>
    </row>
    <row r="893" spans="1:30" x14ac:dyDescent="0.25">
      <c r="H893" t="s">
        <v>1906</v>
      </c>
    </row>
    <row r="894" spans="1:30" x14ac:dyDescent="0.25">
      <c r="A894">
        <v>444</v>
      </c>
      <c r="B894">
        <v>5444</v>
      </c>
      <c r="C894" t="s">
        <v>579</v>
      </c>
      <c r="D894" t="s">
        <v>1907</v>
      </c>
      <c r="E894" t="s">
        <v>34</v>
      </c>
      <c r="F894" t="s">
        <v>1908</v>
      </c>
      <c r="G894" t="str">
        <f>"00191284"</f>
        <v>00191284</v>
      </c>
      <c r="H894" t="s">
        <v>576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71</v>
      </c>
      <c r="W894">
        <v>497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1909</v>
      </c>
    </row>
    <row r="895" spans="1:30" x14ac:dyDescent="0.25">
      <c r="H895" t="s">
        <v>1910</v>
      </c>
    </row>
    <row r="896" spans="1:30" x14ac:dyDescent="0.25">
      <c r="A896">
        <v>445</v>
      </c>
      <c r="B896">
        <v>1582</v>
      </c>
      <c r="C896" t="s">
        <v>1911</v>
      </c>
      <c r="D896" t="s">
        <v>1701</v>
      </c>
      <c r="E896" t="s">
        <v>1005</v>
      </c>
      <c r="F896" t="s">
        <v>1912</v>
      </c>
      <c r="G896" t="str">
        <f>"201405002089"</f>
        <v>201405002089</v>
      </c>
      <c r="H896" t="s">
        <v>1745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50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39</v>
      </c>
      <c r="W896">
        <v>273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1913</v>
      </c>
    </row>
    <row r="897" spans="1:30" x14ac:dyDescent="0.25">
      <c r="H897" t="s">
        <v>1914</v>
      </c>
    </row>
    <row r="898" spans="1:30" x14ac:dyDescent="0.25">
      <c r="A898">
        <v>446</v>
      </c>
      <c r="B898">
        <v>3483</v>
      </c>
      <c r="C898" t="s">
        <v>1915</v>
      </c>
      <c r="D898" t="s">
        <v>1916</v>
      </c>
      <c r="E898" t="s">
        <v>55</v>
      </c>
      <c r="F898" t="s">
        <v>1917</v>
      </c>
      <c r="G898" t="str">
        <f>"00343947"</f>
        <v>00343947</v>
      </c>
      <c r="H898" t="s">
        <v>136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30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19</v>
      </c>
      <c r="W898">
        <v>133</v>
      </c>
      <c r="X898">
        <v>0</v>
      </c>
      <c r="Z898">
        <v>0</v>
      </c>
      <c r="AA898">
        <v>0</v>
      </c>
      <c r="AB898">
        <v>6</v>
      </c>
      <c r="AC898">
        <v>102</v>
      </c>
      <c r="AD898" t="s">
        <v>1918</v>
      </c>
    </row>
    <row r="899" spans="1:30" x14ac:dyDescent="0.25">
      <c r="H899">
        <v>1201</v>
      </c>
    </row>
    <row r="900" spans="1:30" x14ac:dyDescent="0.25">
      <c r="A900">
        <v>447</v>
      </c>
      <c r="B900">
        <v>1251</v>
      </c>
      <c r="C900" t="s">
        <v>1919</v>
      </c>
      <c r="D900" t="s">
        <v>168</v>
      </c>
      <c r="E900" t="s">
        <v>55</v>
      </c>
      <c r="F900" t="s">
        <v>1920</v>
      </c>
      <c r="G900" t="str">
        <f>"00272356"</f>
        <v>00272356</v>
      </c>
      <c r="H900" t="s">
        <v>1921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66</v>
      </c>
      <c r="W900">
        <v>462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1922</v>
      </c>
    </row>
    <row r="901" spans="1:30" x14ac:dyDescent="0.25">
      <c r="H901" t="s">
        <v>1923</v>
      </c>
    </row>
    <row r="902" spans="1:30" x14ac:dyDescent="0.25">
      <c r="A902">
        <v>448</v>
      </c>
      <c r="B902">
        <v>4945</v>
      </c>
      <c r="C902" t="s">
        <v>1924</v>
      </c>
      <c r="D902" t="s">
        <v>1925</v>
      </c>
      <c r="E902" t="s">
        <v>619</v>
      </c>
      <c r="F902" t="s">
        <v>1926</v>
      </c>
      <c r="G902" t="str">
        <f>"201511039232"</f>
        <v>201511039232</v>
      </c>
      <c r="H902" t="s">
        <v>588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9</v>
      </c>
      <c r="W902">
        <v>63</v>
      </c>
      <c r="X902">
        <v>0</v>
      </c>
      <c r="Z902">
        <v>0</v>
      </c>
      <c r="AA902">
        <v>0</v>
      </c>
      <c r="AB902">
        <v>23</v>
      </c>
      <c r="AC902">
        <v>391</v>
      </c>
      <c r="AD902" t="s">
        <v>1927</v>
      </c>
    </row>
    <row r="903" spans="1:30" x14ac:dyDescent="0.25">
      <c r="H903" t="s">
        <v>1928</v>
      </c>
    </row>
    <row r="904" spans="1:30" x14ac:dyDescent="0.25">
      <c r="A904">
        <v>449</v>
      </c>
      <c r="B904">
        <v>1178</v>
      </c>
      <c r="C904" t="s">
        <v>1929</v>
      </c>
      <c r="D904" t="s">
        <v>1225</v>
      </c>
      <c r="E904" t="s">
        <v>834</v>
      </c>
      <c r="F904" t="s">
        <v>1930</v>
      </c>
      <c r="G904" t="str">
        <f>"201411001165"</f>
        <v>201411001165</v>
      </c>
      <c r="H904" t="s">
        <v>321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61</v>
      </c>
      <c r="W904">
        <v>427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1931</v>
      </c>
    </row>
    <row r="905" spans="1:30" x14ac:dyDescent="0.25">
      <c r="H905" t="s">
        <v>1932</v>
      </c>
    </row>
    <row r="906" spans="1:30" x14ac:dyDescent="0.25">
      <c r="A906">
        <v>450</v>
      </c>
      <c r="B906">
        <v>4866</v>
      </c>
      <c r="C906" t="s">
        <v>1933</v>
      </c>
      <c r="D906" t="s">
        <v>1934</v>
      </c>
      <c r="E906" t="s">
        <v>56</v>
      </c>
      <c r="F906" t="s">
        <v>1935</v>
      </c>
      <c r="G906" t="str">
        <f>"00167808"</f>
        <v>00167808</v>
      </c>
      <c r="H906" t="s">
        <v>1936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52</v>
      </c>
      <c r="W906">
        <v>364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1937</v>
      </c>
    </row>
    <row r="907" spans="1:30" x14ac:dyDescent="0.25">
      <c r="H907" t="s">
        <v>1938</v>
      </c>
    </row>
    <row r="908" spans="1:30" x14ac:dyDescent="0.25">
      <c r="A908">
        <v>451</v>
      </c>
      <c r="B908">
        <v>2260</v>
      </c>
      <c r="C908" t="s">
        <v>1939</v>
      </c>
      <c r="D908" t="s">
        <v>134</v>
      </c>
      <c r="E908" t="s">
        <v>24</v>
      </c>
      <c r="F908" t="s">
        <v>1940</v>
      </c>
      <c r="G908" t="str">
        <f>"201402003066"</f>
        <v>201402003066</v>
      </c>
      <c r="H908" t="s">
        <v>1941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70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40</v>
      </c>
      <c r="W908">
        <v>280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1942</v>
      </c>
    </row>
    <row r="909" spans="1:30" x14ac:dyDescent="0.25">
      <c r="H909" t="s">
        <v>1943</v>
      </c>
    </row>
    <row r="910" spans="1:30" x14ac:dyDescent="0.25">
      <c r="A910">
        <v>452</v>
      </c>
      <c r="B910">
        <v>4918</v>
      </c>
      <c r="C910" t="s">
        <v>1944</v>
      </c>
      <c r="D910" t="s">
        <v>436</v>
      </c>
      <c r="E910" t="s">
        <v>24</v>
      </c>
      <c r="F910" t="s">
        <v>1945</v>
      </c>
      <c r="G910" t="str">
        <f>"00152706"</f>
        <v>00152706</v>
      </c>
      <c r="H910" t="s">
        <v>117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16</v>
      </c>
      <c r="W910">
        <v>112</v>
      </c>
      <c r="X910">
        <v>0</v>
      </c>
      <c r="Z910">
        <v>0</v>
      </c>
      <c r="AA910">
        <v>0</v>
      </c>
      <c r="AB910">
        <v>21</v>
      </c>
      <c r="AC910">
        <v>357</v>
      </c>
      <c r="AD910" t="s">
        <v>1946</v>
      </c>
    </row>
    <row r="911" spans="1:30" x14ac:dyDescent="0.25">
      <c r="H911" t="s">
        <v>1947</v>
      </c>
    </row>
    <row r="912" spans="1:30" x14ac:dyDescent="0.25">
      <c r="A912">
        <v>453</v>
      </c>
      <c r="B912">
        <v>5598</v>
      </c>
      <c r="C912" t="s">
        <v>1948</v>
      </c>
      <c r="D912" t="s">
        <v>221</v>
      </c>
      <c r="E912" t="s">
        <v>159</v>
      </c>
      <c r="F912" t="s">
        <v>1949</v>
      </c>
      <c r="G912" t="str">
        <f>"201303000203"</f>
        <v>201303000203</v>
      </c>
      <c r="H912" t="s">
        <v>1941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55</v>
      </c>
      <c r="W912">
        <v>385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1950</v>
      </c>
    </row>
    <row r="913" spans="1:30" x14ac:dyDescent="0.25">
      <c r="H913" t="s">
        <v>1951</v>
      </c>
    </row>
    <row r="914" spans="1:30" x14ac:dyDescent="0.25">
      <c r="A914">
        <v>454</v>
      </c>
      <c r="B914">
        <v>99</v>
      </c>
      <c r="C914" t="s">
        <v>1952</v>
      </c>
      <c r="D914" t="s">
        <v>69</v>
      </c>
      <c r="E914" t="s">
        <v>1098</v>
      </c>
      <c r="F914" t="s">
        <v>1953</v>
      </c>
      <c r="G914" t="str">
        <f>"201601000319"</f>
        <v>201601000319</v>
      </c>
      <c r="H914">
        <v>737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70</v>
      </c>
      <c r="O914">
        <v>0</v>
      </c>
      <c r="P914">
        <v>50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51</v>
      </c>
      <c r="W914">
        <v>357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1214</v>
      </c>
    </row>
    <row r="915" spans="1:30" x14ac:dyDescent="0.25">
      <c r="H915" t="s">
        <v>1954</v>
      </c>
    </row>
    <row r="916" spans="1:30" x14ac:dyDescent="0.25">
      <c r="A916">
        <v>455</v>
      </c>
      <c r="B916">
        <v>4423</v>
      </c>
      <c r="C916" t="s">
        <v>1955</v>
      </c>
      <c r="D916" t="s">
        <v>1956</v>
      </c>
      <c r="E916" t="s">
        <v>34</v>
      </c>
      <c r="F916" t="s">
        <v>1957</v>
      </c>
      <c r="G916" t="str">
        <f>"201410003193"</f>
        <v>201410003193</v>
      </c>
      <c r="H916" t="s">
        <v>1958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70</v>
      </c>
      <c r="O916">
        <v>0</v>
      </c>
      <c r="P916">
        <v>0</v>
      </c>
      <c r="Q916">
        <v>0</v>
      </c>
      <c r="R916">
        <v>30</v>
      </c>
      <c r="S916">
        <v>0</v>
      </c>
      <c r="T916">
        <v>0</v>
      </c>
      <c r="U916">
        <v>0</v>
      </c>
      <c r="V916">
        <v>52</v>
      </c>
      <c r="W916">
        <v>364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1959</v>
      </c>
    </row>
    <row r="917" spans="1:30" x14ac:dyDescent="0.25">
      <c r="H917" t="s">
        <v>1960</v>
      </c>
    </row>
    <row r="918" spans="1:30" x14ac:dyDescent="0.25">
      <c r="A918">
        <v>456</v>
      </c>
      <c r="B918">
        <v>2725</v>
      </c>
      <c r="C918" t="s">
        <v>1961</v>
      </c>
      <c r="D918" t="s">
        <v>76</v>
      </c>
      <c r="E918" t="s">
        <v>24</v>
      </c>
      <c r="F918" t="s">
        <v>1962</v>
      </c>
      <c r="G918" t="str">
        <f>"00334454"</f>
        <v>00334454</v>
      </c>
      <c r="H918">
        <v>836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28</v>
      </c>
      <c r="W918">
        <v>196</v>
      </c>
      <c r="X918">
        <v>0</v>
      </c>
      <c r="Z918">
        <v>0</v>
      </c>
      <c r="AA918">
        <v>0</v>
      </c>
      <c r="AB918">
        <v>0</v>
      </c>
      <c r="AC918">
        <v>0</v>
      </c>
      <c r="AD918">
        <v>1212</v>
      </c>
    </row>
    <row r="919" spans="1:30" x14ac:dyDescent="0.25">
      <c r="H919" t="s">
        <v>1963</v>
      </c>
    </row>
    <row r="920" spans="1:30" x14ac:dyDescent="0.25">
      <c r="A920">
        <v>457</v>
      </c>
      <c r="B920">
        <v>2529</v>
      </c>
      <c r="C920" t="s">
        <v>1964</v>
      </c>
      <c r="D920" t="s">
        <v>392</v>
      </c>
      <c r="E920" t="s">
        <v>359</v>
      </c>
      <c r="F920" t="s">
        <v>1965</v>
      </c>
      <c r="G920" t="str">
        <f>"201406018180"</f>
        <v>201406018180</v>
      </c>
      <c r="H920" t="s">
        <v>117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30</v>
      </c>
      <c r="S920">
        <v>0</v>
      </c>
      <c r="T920">
        <v>0</v>
      </c>
      <c r="U920">
        <v>0</v>
      </c>
      <c r="V920">
        <v>27</v>
      </c>
      <c r="W920">
        <v>189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1966</v>
      </c>
    </row>
    <row r="921" spans="1:30" x14ac:dyDescent="0.25">
      <c r="H921" t="s">
        <v>1967</v>
      </c>
    </row>
    <row r="922" spans="1:30" x14ac:dyDescent="0.25">
      <c r="A922">
        <v>458</v>
      </c>
      <c r="B922">
        <v>5662</v>
      </c>
      <c r="C922" t="s">
        <v>1968</v>
      </c>
      <c r="D922" t="s">
        <v>359</v>
      </c>
      <c r="E922" t="s">
        <v>24</v>
      </c>
      <c r="F922" t="s">
        <v>1969</v>
      </c>
      <c r="G922" t="str">
        <f>"201405000141"</f>
        <v>201405000141</v>
      </c>
      <c r="H922" t="s">
        <v>1330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75</v>
      </c>
      <c r="W922">
        <v>525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1970</v>
      </c>
    </row>
    <row r="923" spans="1:30" x14ac:dyDescent="0.25">
      <c r="H923" t="s">
        <v>1971</v>
      </c>
    </row>
    <row r="924" spans="1:30" x14ac:dyDescent="0.25">
      <c r="A924">
        <v>459</v>
      </c>
      <c r="B924">
        <v>1748</v>
      </c>
      <c r="C924" t="s">
        <v>913</v>
      </c>
      <c r="D924" t="s">
        <v>210</v>
      </c>
      <c r="E924" t="s">
        <v>24</v>
      </c>
      <c r="F924" t="s">
        <v>1972</v>
      </c>
      <c r="G924" t="str">
        <f>"201412005201"</f>
        <v>201412005201</v>
      </c>
      <c r="H924">
        <v>803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53</v>
      </c>
      <c r="W924">
        <v>371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1204</v>
      </c>
    </row>
    <row r="925" spans="1:30" x14ac:dyDescent="0.25">
      <c r="H925" t="s">
        <v>1973</v>
      </c>
    </row>
    <row r="926" spans="1:30" x14ac:dyDescent="0.25">
      <c r="A926">
        <v>460</v>
      </c>
      <c r="B926">
        <v>2823</v>
      </c>
      <c r="C926" t="s">
        <v>1974</v>
      </c>
      <c r="D926" t="s">
        <v>24</v>
      </c>
      <c r="E926" t="s">
        <v>1975</v>
      </c>
      <c r="F926" t="s">
        <v>1976</v>
      </c>
      <c r="G926" t="str">
        <f>"00173523"</f>
        <v>00173523</v>
      </c>
      <c r="H926" t="s">
        <v>941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30</v>
      </c>
      <c r="P926">
        <v>0</v>
      </c>
      <c r="Q926">
        <v>30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1977</v>
      </c>
    </row>
    <row r="927" spans="1:30" x14ac:dyDescent="0.25">
      <c r="H927" t="s">
        <v>1978</v>
      </c>
    </row>
    <row r="928" spans="1:30" x14ac:dyDescent="0.25">
      <c r="A928">
        <v>461</v>
      </c>
      <c r="B928">
        <v>5996</v>
      </c>
      <c r="C928" t="s">
        <v>1979</v>
      </c>
      <c r="D928" t="s">
        <v>806</v>
      </c>
      <c r="E928" t="s">
        <v>28</v>
      </c>
      <c r="F928" t="s">
        <v>1980</v>
      </c>
      <c r="G928" t="str">
        <f>"201406014491"</f>
        <v>201406014491</v>
      </c>
      <c r="H928">
        <v>825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44</v>
      </c>
      <c r="W928">
        <v>308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1203</v>
      </c>
    </row>
    <row r="929" spans="1:30" x14ac:dyDescent="0.25">
      <c r="H929" t="s">
        <v>1981</v>
      </c>
    </row>
    <row r="930" spans="1:30" x14ac:dyDescent="0.25">
      <c r="A930">
        <v>462</v>
      </c>
      <c r="B930">
        <v>2421</v>
      </c>
      <c r="C930" t="s">
        <v>1982</v>
      </c>
      <c r="D930" t="s">
        <v>220</v>
      </c>
      <c r="E930" t="s">
        <v>44</v>
      </c>
      <c r="F930" t="s">
        <v>1983</v>
      </c>
      <c r="G930" t="str">
        <f>"00143519"</f>
        <v>00143519</v>
      </c>
      <c r="H930" t="s">
        <v>1984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51</v>
      </c>
      <c r="W930">
        <v>357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1985</v>
      </c>
    </row>
    <row r="931" spans="1:30" x14ac:dyDescent="0.25">
      <c r="H931" t="s">
        <v>1986</v>
      </c>
    </row>
    <row r="932" spans="1:30" x14ac:dyDescent="0.25">
      <c r="A932">
        <v>463</v>
      </c>
      <c r="B932">
        <v>75</v>
      </c>
      <c r="C932" t="s">
        <v>1987</v>
      </c>
      <c r="D932" t="s">
        <v>771</v>
      </c>
      <c r="E932" t="s">
        <v>278</v>
      </c>
      <c r="F932" t="s">
        <v>1988</v>
      </c>
      <c r="G932" t="str">
        <f>"201402010313"</f>
        <v>201402010313</v>
      </c>
      <c r="H932" t="s">
        <v>1941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52</v>
      </c>
      <c r="W932">
        <v>364</v>
      </c>
      <c r="X932">
        <v>0</v>
      </c>
      <c r="Z932">
        <v>1</v>
      </c>
      <c r="AA932">
        <v>0</v>
      </c>
      <c r="AB932">
        <v>0</v>
      </c>
      <c r="AC932">
        <v>0</v>
      </c>
      <c r="AD932" t="s">
        <v>1989</v>
      </c>
    </row>
    <row r="933" spans="1:30" x14ac:dyDescent="0.25">
      <c r="H933" t="s">
        <v>1990</v>
      </c>
    </row>
    <row r="934" spans="1:30" x14ac:dyDescent="0.25">
      <c r="A934">
        <v>464</v>
      </c>
      <c r="B934">
        <v>4860</v>
      </c>
      <c r="C934" t="s">
        <v>1991</v>
      </c>
      <c r="D934" t="s">
        <v>185</v>
      </c>
      <c r="E934" t="s">
        <v>28</v>
      </c>
      <c r="F934" t="s">
        <v>1992</v>
      </c>
      <c r="G934" t="str">
        <f>"201512004235"</f>
        <v>201512004235</v>
      </c>
      <c r="H934" t="s">
        <v>1993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70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4</v>
      </c>
      <c r="W934">
        <v>28</v>
      </c>
      <c r="X934">
        <v>0</v>
      </c>
      <c r="Z934">
        <v>0</v>
      </c>
      <c r="AA934">
        <v>0</v>
      </c>
      <c r="AB934">
        <v>24</v>
      </c>
      <c r="AC934">
        <v>408</v>
      </c>
      <c r="AD934" t="s">
        <v>1994</v>
      </c>
    </row>
    <row r="935" spans="1:30" x14ac:dyDescent="0.25">
      <c r="H935" t="s">
        <v>1995</v>
      </c>
    </row>
    <row r="936" spans="1:30" x14ac:dyDescent="0.25">
      <c r="A936">
        <v>465</v>
      </c>
      <c r="B936">
        <v>147</v>
      </c>
      <c r="C936" t="s">
        <v>1996</v>
      </c>
      <c r="D936" t="s">
        <v>168</v>
      </c>
      <c r="E936" t="s">
        <v>1997</v>
      </c>
      <c r="F936" t="s">
        <v>1998</v>
      </c>
      <c r="G936" t="str">
        <f>"00023272"</f>
        <v>00023272</v>
      </c>
      <c r="H936" t="s">
        <v>1984</v>
      </c>
      <c r="I936">
        <v>150</v>
      </c>
      <c r="J936">
        <v>0</v>
      </c>
      <c r="K936">
        <v>0</v>
      </c>
      <c r="L936">
        <v>0</v>
      </c>
      <c r="M936">
        <v>0</v>
      </c>
      <c r="N936">
        <v>70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28</v>
      </c>
      <c r="W936">
        <v>196</v>
      </c>
      <c r="X936">
        <v>0</v>
      </c>
      <c r="Z936">
        <v>2</v>
      </c>
      <c r="AA936">
        <v>0</v>
      </c>
      <c r="AB936">
        <v>0</v>
      </c>
      <c r="AC936">
        <v>0</v>
      </c>
      <c r="AD936" t="s">
        <v>1999</v>
      </c>
    </row>
    <row r="937" spans="1:30" x14ac:dyDescent="0.25">
      <c r="H937" t="s">
        <v>2000</v>
      </c>
    </row>
    <row r="938" spans="1:30" x14ac:dyDescent="0.25">
      <c r="A938">
        <v>466</v>
      </c>
      <c r="B938">
        <v>5702</v>
      </c>
      <c r="C938" t="s">
        <v>2001</v>
      </c>
      <c r="D938" t="s">
        <v>2002</v>
      </c>
      <c r="E938" t="s">
        <v>319</v>
      </c>
      <c r="F938" t="s">
        <v>2003</v>
      </c>
      <c r="G938" t="str">
        <f>"200802003845"</f>
        <v>200802003845</v>
      </c>
      <c r="H938" t="s">
        <v>1172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14</v>
      </c>
      <c r="W938">
        <v>98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2004</v>
      </c>
    </row>
    <row r="939" spans="1:30" x14ac:dyDescent="0.25">
      <c r="H939" t="s">
        <v>2005</v>
      </c>
    </row>
    <row r="940" spans="1:30" x14ac:dyDescent="0.25">
      <c r="A940">
        <v>467</v>
      </c>
      <c r="B940">
        <v>2605</v>
      </c>
      <c r="C940" t="s">
        <v>2006</v>
      </c>
      <c r="D940" t="s">
        <v>24</v>
      </c>
      <c r="E940" t="s">
        <v>29</v>
      </c>
      <c r="F940" t="s">
        <v>2007</v>
      </c>
      <c r="G940" t="str">
        <f>"201405000685"</f>
        <v>201405000685</v>
      </c>
      <c r="H940" t="s">
        <v>853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24</v>
      </c>
      <c r="W940">
        <v>168</v>
      </c>
      <c r="X940">
        <v>0</v>
      </c>
      <c r="Z940">
        <v>1</v>
      </c>
      <c r="AA940">
        <v>0</v>
      </c>
      <c r="AB940">
        <v>0</v>
      </c>
      <c r="AC940">
        <v>0</v>
      </c>
      <c r="AD940" t="s">
        <v>2008</v>
      </c>
    </row>
    <row r="941" spans="1:30" x14ac:dyDescent="0.25">
      <c r="H941" t="s">
        <v>2009</v>
      </c>
    </row>
    <row r="942" spans="1:30" x14ac:dyDescent="0.25">
      <c r="A942">
        <v>468</v>
      </c>
      <c r="B942">
        <v>5335</v>
      </c>
      <c r="C942" t="s">
        <v>2010</v>
      </c>
      <c r="D942" t="s">
        <v>2011</v>
      </c>
      <c r="E942" t="s">
        <v>63</v>
      </c>
      <c r="F942" t="s">
        <v>2012</v>
      </c>
      <c r="G942" t="str">
        <f>"201503000497"</f>
        <v>201503000497</v>
      </c>
      <c r="H942" t="s">
        <v>424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50</v>
      </c>
      <c r="W942">
        <v>350</v>
      </c>
      <c r="X942">
        <v>0</v>
      </c>
      <c r="Z942">
        <v>2</v>
      </c>
      <c r="AA942">
        <v>0</v>
      </c>
      <c r="AB942">
        <v>0</v>
      </c>
      <c r="AC942">
        <v>0</v>
      </c>
      <c r="AD942" t="s">
        <v>2013</v>
      </c>
    </row>
    <row r="943" spans="1:30" x14ac:dyDescent="0.25">
      <c r="H943">
        <v>1201</v>
      </c>
    </row>
    <row r="944" spans="1:30" x14ac:dyDescent="0.25">
      <c r="A944">
        <v>469</v>
      </c>
      <c r="B944">
        <v>41</v>
      </c>
      <c r="C944" t="s">
        <v>579</v>
      </c>
      <c r="D944" t="s">
        <v>1623</v>
      </c>
      <c r="E944" t="s">
        <v>93</v>
      </c>
      <c r="F944" t="s">
        <v>2014</v>
      </c>
      <c r="G944" t="str">
        <f>"201511009441"</f>
        <v>201511009441</v>
      </c>
      <c r="H944" t="s">
        <v>521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53</v>
      </c>
      <c r="W944">
        <v>371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2015</v>
      </c>
    </row>
    <row r="945" spans="1:30" x14ac:dyDescent="0.25">
      <c r="H945" t="s">
        <v>2016</v>
      </c>
    </row>
    <row r="946" spans="1:30" x14ac:dyDescent="0.25">
      <c r="A946">
        <v>470</v>
      </c>
      <c r="B946">
        <v>4733</v>
      </c>
      <c r="C946" t="s">
        <v>2017</v>
      </c>
      <c r="D946" t="s">
        <v>2018</v>
      </c>
      <c r="E946" t="s">
        <v>220</v>
      </c>
      <c r="F946" t="s">
        <v>2019</v>
      </c>
      <c r="G946" t="str">
        <f>"00230271"</f>
        <v>00230271</v>
      </c>
      <c r="H946" t="s">
        <v>2020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50</v>
      </c>
      <c r="W946">
        <v>350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2021</v>
      </c>
    </row>
    <row r="947" spans="1:30" x14ac:dyDescent="0.25">
      <c r="H947" t="s">
        <v>2022</v>
      </c>
    </row>
    <row r="948" spans="1:30" x14ac:dyDescent="0.25">
      <c r="A948">
        <v>471</v>
      </c>
      <c r="B948">
        <v>3501</v>
      </c>
      <c r="C948" t="s">
        <v>2023</v>
      </c>
      <c r="D948" t="s">
        <v>307</v>
      </c>
      <c r="E948" t="s">
        <v>1997</v>
      </c>
      <c r="F948" t="s">
        <v>2024</v>
      </c>
      <c r="G948" t="str">
        <f>"00369537"</f>
        <v>00369537</v>
      </c>
      <c r="H948" t="s">
        <v>817</v>
      </c>
      <c r="I948">
        <v>150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26</v>
      </c>
      <c r="W948">
        <v>182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2025</v>
      </c>
    </row>
    <row r="949" spans="1:30" x14ac:dyDescent="0.25">
      <c r="H949" t="s">
        <v>2026</v>
      </c>
    </row>
    <row r="950" spans="1:30" x14ac:dyDescent="0.25">
      <c r="A950">
        <v>472</v>
      </c>
      <c r="B950">
        <v>2851</v>
      </c>
      <c r="C950" t="s">
        <v>2027</v>
      </c>
      <c r="D950" t="s">
        <v>44</v>
      </c>
      <c r="E950" t="s">
        <v>28</v>
      </c>
      <c r="F950" t="s">
        <v>2028</v>
      </c>
      <c r="G950" t="str">
        <f>"200806000407"</f>
        <v>200806000407</v>
      </c>
      <c r="H950">
        <v>627</v>
      </c>
      <c r="I950">
        <v>150</v>
      </c>
      <c r="J950">
        <v>0</v>
      </c>
      <c r="K950">
        <v>0</v>
      </c>
      <c r="L950">
        <v>200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24</v>
      </c>
      <c r="W950">
        <v>168</v>
      </c>
      <c r="X950">
        <v>0</v>
      </c>
      <c r="Z950">
        <v>0</v>
      </c>
      <c r="AA950">
        <v>0</v>
      </c>
      <c r="AB950">
        <v>0</v>
      </c>
      <c r="AC950">
        <v>0</v>
      </c>
      <c r="AD950">
        <v>1175</v>
      </c>
    </row>
    <row r="951" spans="1:30" x14ac:dyDescent="0.25">
      <c r="H951" t="s">
        <v>2029</v>
      </c>
    </row>
    <row r="952" spans="1:30" x14ac:dyDescent="0.25">
      <c r="A952">
        <v>473</v>
      </c>
      <c r="B952">
        <v>1853</v>
      </c>
      <c r="C952" t="s">
        <v>2030</v>
      </c>
      <c r="D952" t="s">
        <v>246</v>
      </c>
      <c r="E952" t="s">
        <v>63</v>
      </c>
      <c r="F952" t="s">
        <v>2031</v>
      </c>
      <c r="G952" t="str">
        <f>"00229389"</f>
        <v>00229389</v>
      </c>
      <c r="H952" t="s">
        <v>88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35</v>
      </c>
      <c r="W952">
        <v>245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2032</v>
      </c>
    </row>
    <row r="953" spans="1:30" x14ac:dyDescent="0.25">
      <c r="H953" t="s">
        <v>2033</v>
      </c>
    </row>
    <row r="954" spans="1:30" x14ac:dyDescent="0.25">
      <c r="A954">
        <v>474</v>
      </c>
      <c r="B954">
        <v>2252</v>
      </c>
      <c r="C954" t="s">
        <v>2034</v>
      </c>
      <c r="D954" t="s">
        <v>1509</v>
      </c>
      <c r="E954" t="s">
        <v>319</v>
      </c>
      <c r="F954" t="s">
        <v>2035</v>
      </c>
      <c r="G954" t="str">
        <f>"200712000747"</f>
        <v>200712000747</v>
      </c>
      <c r="H954">
        <v>759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0</v>
      </c>
      <c r="Q954">
        <v>30</v>
      </c>
      <c r="R954">
        <v>0</v>
      </c>
      <c r="S954">
        <v>0</v>
      </c>
      <c r="T954">
        <v>0</v>
      </c>
      <c r="U954">
        <v>0</v>
      </c>
      <c r="V954">
        <v>45</v>
      </c>
      <c r="W954">
        <v>315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1174</v>
      </c>
    </row>
    <row r="955" spans="1:30" x14ac:dyDescent="0.25">
      <c r="H955" t="s">
        <v>2036</v>
      </c>
    </row>
    <row r="956" spans="1:30" x14ac:dyDescent="0.25">
      <c r="A956">
        <v>475</v>
      </c>
      <c r="B956">
        <v>3673</v>
      </c>
      <c r="C956" t="s">
        <v>2037</v>
      </c>
      <c r="D956" t="s">
        <v>644</v>
      </c>
      <c r="E956" t="s">
        <v>44</v>
      </c>
      <c r="F956" t="s">
        <v>2038</v>
      </c>
      <c r="G956" t="str">
        <f>"201604002449"</f>
        <v>201604002449</v>
      </c>
      <c r="H956" t="s">
        <v>248</v>
      </c>
      <c r="I956">
        <v>0</v>
      </c>
      <c r="J956">
        <v>0</v>
      </c>
      <c r="K956">
        <v>0</v>
      </c>
      <c r="L956">
        <v>200</v>
      </c>
      <c r="M956">
        <v>30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32</v>
      </c>
      <c r="W956">
        <v>224</v>
      </c>
      <c r="X956">
        <v>0</v>
      </c>
      <c r="Z956">
        <v>2</v>
      </c>
      <c r="AA956">
        <v>0</v>
      </c>
      <c r="AB956">
        <v>0</v>
      </c>
      <c r="AC956">
        <v>0</v>
      </c>
      <c r="AD956" t="s">
        <v>2039</v>
      </c>
    </row>
    <row r="957" spans="1:30" x14ac:dyDescent="0.25">
      <c r="H957" t="s">
        <v>2040</v>
      </c>
    </row>
    <row r="958" spans="1:30" x14ac:dyDescent="0.25">
      <c r="A958">
        <v>476</v>
      </c>
      <c r="B958">
        <v>6294</v>
      </c>
      <c r="C958" t="s">
        <v>2041</v>
      </c>
      <c r="D958" t="s">
        <v>2042</v>
      </c>
      <c r="E958" t="s">
        <v>15</v>
      </c>
      <c r="F958" t="s">
        <v>2043</v>
      </c>
      <c r="G958" t="str">
        <f>"00190621"</f>
        <v>00190621</v>
      </c>
      <c r="H958" t="s">
        <v>1108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30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17</v>
      </c>
      <c r="W958">
        <v>119</v>
      </c>
      <c r="X958">
        <v>0</v>
      </c>
      <c r="Z958">
        <v>1</v>
      </c>
      <c r="AA958">
        <v>0</v>
      </c>
      <c r="AB958">
        <v>0</v>
      </c>
      <c r="AC958">
        <v>0</v>
      </c>
      <c r="AD958" t="s">
        <v>2044</v>
      </c>
    </row>
    <row r="959" spans="1:30" x14ac:dyDescent="0.25">
      <c r="H959" t="s">
        <v>2045</v>
      </c>
    </row>
    <row r="960" spans="1:30" x14ac:dyDescent="0.25">
      <c r="A960">
        <v>477</v>
      </c>
      <c r="B960">
        <v>1396</v>
      </c>
      <c r="C960" t="s">
        <v>2046</v>
      </c>
      <c r="D960" t="s">
        <v>93</v>
      </c>
      <c r="E960" t="s">
        <v>416</v>
      </c>
      <c r="F960" t="s">
        <v>2047</v>
      </c>
      <c r="G960" t="str">
        <f>"201504000936"</f>
        <v>201504000936</v>
      </c>
      <c r="H960" t="s">
        <v>2048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34</v>
      </c>
      <c r="W960">
        <v>238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2049</v>
      </c>
    </row>
    <row r="961" spans="1:30" x14ac:dyDescent="0.25">
      <c r="H961" t="s">
        <v>2050</v>
      </c>
    </row>
    <row r="962" spans="1:30" x14ac:dyDescent="0.25">
      <c r="A962">
        <v>478</v>
      </c>
      <c r="B962">
        <v>3661</v>
      </c>
      <c r="C962" t="s">
        <v>2051</v>
      </c>
      <c r="D962" t="s">
        <v>771</v>
      </c>
      <c r="E962" t="s">
        <v>107</v>
      </c>
      <c r="F962" t="s">
        <v>2052</v>
      </c>
      <c r="G962" t="str">
        <f>"201406003397"</f>
        <v>201406003397</v>
      </c>
      <c r="H962">
        <v>616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75</v>
      </c>
      <c r="W962">
        <v>525</v>
      </c>
      <c r="X962">
        <v>0</v>
      </c>
      <c r="Z962">
        <v>0</v>
      </c>
      <c r="AA962">
        <v>0</v>
      </c>
      <c r="AB962">
        <v>0</v>
      </c>
      <c r="AC962">
        <v>0</v>
      </c>
      <c r="AD962">
        <v>1171</v>
      </c>
    </row>
    <row r="963" spans="1:30" x14ac:dyDescent="0.25">
      <c r="H963" t="s">
        <v>847</v>
      </c>
    </row>
    <row r="964" spans="1:30" x14ac:dyDescent="0.25">
      <c r="A964">
        <v>479</v>
      </c>
      <c r="B964">
        <v>2698</v>
      </c>
      <c r="C964" t="s">
        <v>2053</v>
      </c>
      <c r="D964" t="s">
        <v>303</v>
      </c>
      <c r="E964" t="s">
        <v>146</v>
      </c>
      <c r="F964" t="s">
        <v>2054</v>
      </c>
      <c r="G964" t="str">
        <f>"201505000486"</f>
        <v>201505000486</v>
      </c>
      <c r="H964" t="s">
        <v>664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63</v>
      </c>
      <c r="W964">
        <v>441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2055</v>
      </c>
    </row>
    <row r="965" spans="1:30" x14ac:dyDescent="0.25">
      <c r="H965" t="s">
        <v>2056</v>
      </c>
    </row>
    <row r="966" spans="1:30" x14ac:dyDescent="0.25">
      <c r="A966">
        <v>480</v>
      </c>
      <c r="B966">
        <v>5828</v>
      </c>
      <c r="C966" t="s">
        <v>2057</v>
      </c>
      <c r="D966" t="s">
        <v>806</v>
      </c>
      <c r="E966" t="s">
        <v>28</v>
      </c>
      <c r="F966" t="s">
        <v>2058</v>
      </c>
      <c r="G966" t="str">
        <f>"00150295"</f>
        <v>00150295</v>
      </c>
      <c r="H966" t="s">
        <v>1072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50</v>
      </c>
      <c r="W966">
        <v>350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2059</v>
      </c>
    </row>
    <row r="967" spans="1:30" x14ac:dyDescent="0.25">
      <c r="H967" t="s">
        <v>2060</v>
      </c>
    </row>
    <row r="968" spans="1:30" x14ac:dyDescent="0.25">
      <c r="A968">
        <v>481</v>
      </c>
      <c r="B968">
        <v>6141</v>
      </c>
      <c r="C968" t="s">
        <v>2061</v>
      </c>
      <c r="D968" t="s">
        <v>70</v>
      </c>
      <c r="E968" t="s">
        <v>56</v>
      </c>
      <c r="F968" t="s">
        <v>2062</v>
      </c>
      <c r="G968" t="str">
        <f>"00225250"</f>
        <v>00225250</v>
      </c>
      <c r="H968" t="s">
        <v>1439</v>
      </c>
      <c r="I968">
        <v>150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2063</v>
      </c>
    </row>
    <row r="969" spans="1:30" x14ac:dyDescent="0.25">
      <c r="H969" t="s">
        <v>2064</v>
      </c>
    </row>
    <row r="970" spans="1:30" x14ac:dyDescent="0.25">
      <c r="A970">
        <v>482</v>
      </c>
      <c r="B970">
        <v>2276</v>
      </c>
      <c r="C970" t="s">
        <v>2065</v>
      </c>
      <c r="D970" t="s">
        <v>92</v>
      </c>
      <c r="E970" t="s">
        <v>34</v>
      </c>
      <c r="F970" t="s">
        <v>2066</v>
      </c>
      <c r="G970" t="str">
        <f>"201402000841"</f>
        <v>201402000841</v>
      </c>
      <c r="H970" t="s">
        <v>1335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56</v>
      </c>
      <c r="W970">
        <v>392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2067</v>
      </c>
    </row>
    <row r="971" spans="1:30" x14ac:dyDescent="0.25">
      <c r="H971" t="s">
        <v>2068</v>
      </c>
    </row>
    <row r="972" spans="1:30" x14ac:dyDescent="0.25">
      <c r="A972">
        <v>483</v>
      </c>
      <c r="B972">
        <v>226</v>
      </c>
      <c r="C972" t="s">
        <v>2069</v>
      </c>
      <c r="D972" t="s">
        <v>76</v>
      </c>
      <c r="E972" t="s">
        <v>268</v>
      </c>
      <c r="F972" t="s">
        <v>2070</v>
      </c>
      <c r="G972" t="str">
        <f>"00161018"</f>
        <v>00161018</v>
      </c>
      <c r="H972" t="s">
        <v>1439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55</v>
      </c>
      <c r="W972">
        <v>385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2071</v>
      </c>
    </row>
    <row r="973" spans="1:30" x14ac:dyDescent="0.25">
      <c r="H973" t="s">
        <v>2072</v>
      </c>
    </row>
    <row r="974" spans="1:30" x14ac:dyDescent="0.25">
      <c r="A974">
        <v>484</v>
      </c>
      <c r="B974">
        <v>1002</v>
      </c>
      <c r="C974" t="s">
        <v>267</v>
      </c>
      <c r="D974" t="s">
        <v>154</v>
      </c>
      <c r="E974" t="s">
        <v>511</v>
      </c>
      <c r="F974">
        <v>895454</v>
      </c>
      <c r="G974" t="str">
        <f>"00215722"</f>
        <v>00215722</v>
      </c>
      <c r="H974" t="s">
        <v>206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70</v>
      </c>
      <c r="O974">
        <v>0</v>
      </c>
      <c r="P974">
        <v>30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41</v>
      </c>
      <c r="W974">
        <v>287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2073</v>
      </c>
    </row>
    <row r="975" spans="1:30" x14ac:dyDescent="0.25">
      <c r="H975" t="s">
        <v>2074</v>
      </c>
    </row>
    <row r="976" spans="1:30" x14ac:dyDescent="0.25">
      <c r="A976">
        <v>485</v>
      </c>
      <c r="B976">
        <v>2453</v>
      </c>
      <c r="C976" t="s">
        <v>2075</v>
      </c>
      <c r="D976" t="s">
        <v>246</v>
      </c>
      <c r="E976" t="s">
        <v>330</v>
      </c>
      <c r="F976" t="s">
        <v>2076</v>
      </c>
      <c r="G976" t="str">
        <f>"00019302"</f>
        <v>00019302</v>
      </c>
      <c r="H976" t="s">
        <v>1072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49</v>
      </c>
      <c r="W976">
        <v>343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2077</v>
      </c>
    </row>
    <row r="977" spans="1:30" x14ac:dyDescent="0.25">
      <c r="H977" t="s">
        <v>2078</v>
      </c>
    </row>
    <row r="978" spans="1:30" x14ac:dyDescent="0.25">
      <c r="A978">
        <v>486</v>
      </c>
      <c r="B978">
        <v>5103</v>
      </c>
      <c r="C978" t="s">
        <v>2079</v>
      </c>
      <c r="D978" t="s">
        <v>185</v>
      </c>
      <c r="E978" t="s">
        <v>34</v>
      </c>
      <c r="F978" t="s">
        <v>2080</v>
      </c>
      <c r="G978" t="str">
        <f>"201304003330"</f>
        <v>201304003330</v>
      </c>
      <c r="H978" t="s">
        <v>2081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50</v>
      </c>
      <c r="O978">
        <v>0</v>
      </c>
      <c r="P978">
        <v>0</v>
      </c>
      <c r="Q978">
        <v>30</v>
      </c>
      <c r="R978">
        <v>0</v>
      </c>
      <c r="S978">
        <v>0</v>
      </c>
      <c r="T978">
        <v>0</v>
      </c>
      <c r="U978">
        <v>0</v>
      </c>
      <c r="V978">
        <v>22</v>
      </c>
      <c r="W978">
        <v>154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2082</v>
      </c>
    </row>
    <row r="979" spans="1:30" x14ac:dyDescent="0.25">
      <c r="H979" t="s">
        <v>2083</v>
      </c>
    </row>
    <row r="980" spans="1:30" x14ac:dyDescent="0.25">
      <c r="A980">
        <v>487</v>
      </c>
      <c r="B980">
        <v>5055</v>
      </c>
      <c r="C980" t="s">
        <v>2084</v>
      </c>
      <c r="D980" t="s">
        <v>2085</v>
      </c>
      <c r="E980" t="s">
        <v>44</v>
      </c>
      <c r="F980" t="s">
        <v>2086</v>
      </c>
      <c r="G980" t="str">
        <f>"201406016221"</f>
        <v>201406016221</v>
      </c>
      <c r="H980" t="s">
        <v>885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18</v>
      </c>
      <c r="W980">
        <v>126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2087</v>
      </c>
    </row>
    <row r="981" spans="1:30" x14ac:dyDescent="0.25">
      <c r="H981" t="s">
        <v>1760</v>
      </c>
    </row>
    <row r="982" spans="1:30" x14ac:dyDescent="0.25">
      <c r="A982">
        <v>488</v>
      </c>
      <c r="B982">
        <v>4414</v>
      </c>
      <c r="C982" t="s">
        <v>2088</v>
      </c>
      <c r="D982" t="s">
        <v>185</v>
      </c>
      <c r="E982" t="s">
        <v>359</v>
      </c>
      <c r="F982" t="s">
        <v>2089</v>
      </c>
      <c r="G982" t="str">
        <f>"00160033"</f>
        <v>00160033</v>
      </c>
      <c r="H982" t="s">
        <v>2090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50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50</v>
      </c>
      <c r="W982">
        <v>350</v>
      </c>
      <c r="X982">
        <v>0</v>
      </c>
      <c r="Z982">
        <v>1</v>
      </c>
      <c r="AA982">
        <v>0</v>
      </c>
      <c r="AB982">
        <v>0</v>
      </c>
      <c r="AC982">
        <v>0</v>
      </c>
      <c r="AD982" t="s">
        <v>2091</v>
      </c>
    </row>
    <row r="983" spans="1:30" x14ac:dyDescent="0.25">
      <c r="H983" t="s">
        <v>2092</v>
      </c>
    </row>
    <row r="984" spans="1:30" x14ac:dyDescent="0.25">
      <c r="A984">
        <v>489</v>
      </c>
      <c r="B984">
        <v>5625</v>
      </c>
      <c r="C984" t="s">
        <v>2093</v>
      </c>
      <c r="D984" t="s">
        <v>377</v>
      </c>
      <c r="E984" t="s">
        <v>107</v>
      </c>
      <c r="F984" t="s">
        <v>2094</v>
      </c>
      <c r="G984" t="str">
        <f>"201406017468"</f>
        <v>201406017468</v>
      </c>
      <c r="H984" t="s">
        <v>2095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67</v>
      </c>
      <c r="W984">
        <v>469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2091</v>
      </c>
    </row>
    <row r="985" spans="1:30" x14ac:dyDescent="0.25">
      <c r="H985" t="s">
        <v>2096</v>
      </c>
    </row>
    <row r="986" spans="1:30" x14ac:dyDescent="0.25">
      <c r="A986">
        <v>490</v>
      </c>
      <c r="B986">
        <v>4137</v>
      </c>
      <c r="C986" t="s">
        <v>2097</v>
      </c>
      <c r="D986" t="s">
        <v>2098</v>
      </c>
      <c r="E986" t="s">
        <v>100</v>
      </c>
      <c r="F986" t="s">
        <v>2099</v>
      </c>
      <c r="G986" t="str">
        <f>"00174045"</f>
        <v>00174045</v>
      </c>
      <c r="H986" t="s">
        <v>1108</v>
      </c>
      <c r="I986">
        <v>0</v>
      </c>
      <c r="J986">
        <v>0</v>
      </c>
      <c r="K986">
        <v>0</v>
      </c>
      <c r="L986">
        <v>0</v>
      </c>
      <c r="M986">
        <v>100</v>
      </c>
      <c r="N986">
        <v>70</v>
      </c>
      <c r="O986">
        <v>0</v>
      </c>
      <c r="P986">
        <v>30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29</v>
      </c>
      <c r="W986">
        <v>203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2100</v>
      </c>
    </row>
    <row r="987" spans="1:30" x14ac:dyDescent="0.25">
      <c r="H987" t="s">
        <v>2101</v>
      </c>
    </row>
    <row r="988" spans="1:30" x14ac:dyDescent="0.25">
      <c r="A988">
        <v>491</v>
      </c>
      <c r="B988">
        <v>386</v>
      </c>
      <c r="C988" t="s">
        <v>2102</v>
      </c>
      <c r="D988" t="s">
        <v>44</v>
      </c>
      <c r="E988" t="s">
        <v>549</v>
      </c>
      <c r="F988" t="s">
        <v>2103</v>
      </c>
      <c r="G988" t="str">
        <f>"00253093"</f>
        <v>00253093</v>
      </c>
      <c r="H988" t="s">
        <v>1260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30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47</v>
      </c>
      <c r="W988">
        <v>329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2104</v>
      </c>
    </row>
    <row r="989" spans="1:30" x14ac:dyDescent="0.25">
      <c r="H989" t="s">
        <v>2105</v>
      </c>
    </row>
    <row r="990" spans="1:30" x14ac:dyDescent="0.25">
      <c r="A990">
        <v>492</v>
      </c>
      <c r="B990">
        <v>271</v>
      </c>
      <c r="C990" t="s">
        <v>2106</v>
      </c>
      <c r="D990" t="s">
        <v>185</v>
      </c>
      <c r="E990" t="s">
        <v>100</v>
      </c>
      <c r="F990" t="s">
        <v>2107</v>
      </c>
      <c r="G990" t="str">
        <f>"00221567"</f>
        <v>00221567</v>
      </c>
      <c r="H990" t="s">
        <v>717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55</v>
      </c>
      <c r="W990">
        <v>385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2108</v>
      </c>
    </row>
    <row r="991" spans="1:30" x14ac:dyDescent="0.25">
      <c r="H991" t="s">
        <v>2109</v>
      </c>
    </row>
    <row r="992" spans="1:30" x14ac:dyDescent="0.25">
      <c r="A992">
        <v>493</v>
      </c>
      <c r="B992">
        <v>5994</v>
      </c>
      <c r="C992" t="s">
        <v>2110</v>
      </c>
      <c r="D992" t="s">
        <v>644</v>
      </c>
      <c r="E992" t="s">
        <v>55</v>
      </c>
      <c r="F992" t="s">
        <v>2111</v>
      </c>
      <c r="G992" t="str">
        <f>"201511017765"</f>
        <v>201511017765</v>
      </c>
      <c r="H992" t="s">
        <v>142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13</v>
      </c>
      <c r="W992">
        <v>91</v>
      </c>
      <c r="X992">
        <v>0</v>
      </c>
      <c r="Z992">
        <v>2</v>
      </c>
      <c r="AA992">
        <v>0</v>
      </c>
      <c r="AB992">
        <v>0</v>
      </c>
      <c r="AC992">
        <v>0</v>
      </c>
      <c r="AD992" t="s">
        <v>2112</v>
      </c>
    </row>
    <row r="993" spans="1:30" x14ac:dyDescent="0.25">
      <c r="H993" t="s">
        <v>2113</v>
      </c>
    </row>
    <row r="994" spans="1:30" x14ac:dyDescent="0.25">
      <c r="A994">
        <v>494</v>
      </c>
      <c r="B994">
        <v>4804</v>
      </c>
      <c r="C994" t="s">
        <v>2114</v>
      </c>
      <c r="D994" t="s">
        <v>689</v>
      </c>
      <c r="E994" t="s">
        <v>93</v>
      </c>
      <c r="F994" t="s">
        <v>2115</v>
      </c>
      <c r="G994" t="str">
        <f>"00345742"</f>
        <v>00345742</v>
      </c>
      <c r="H994" t="s">
        <v>521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70</v>
      </c>
      <c r="O994">
        <v>0</v>
      </c>
      <c r="P994">
        <v>30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39</v>
      </c>
      <c r="W994">
        <v>273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2116</v>
      </c>
    </row>
    <row r="995" spans="1:30" x14ac:dyDescent="0.25">
      <c r="H995" t="s">
        <v>2117</v>
      </c>
    </row>
    <row r="996" spans="1:30" x14ac:dyDescent="0.25">
      <c r="A996">
        <v>495</v>
      </c>
      <c r="B996">
        <v>1852</v>
      </c>
      <c r="C996" t="s">
        <v>1450</v>
      </c>
      <c r="D996" t="s">
        <v>76</v>
      </c>
      <c r="E996" t="s">
        <v>319</v>
      </c>
      <c r="F996" t="s">
        <v>2118</v>
      </c>
      <c r="G996" t="str">
        <f>"00269866"</f>
        <v>00269866</v>
      </c>
      <c r="H996" t="s">
        <v>1266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60</v>
      </c>
      <c r="W996">
        <v>420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2116</v>
      </c>
    </row>
    <row r="997" spans="1:30" x14ac:dyDescent="0.25">
      <c r="H997" t="s">
        <v>2119</v>
      </c>
    </row>
    <row r="998" spans="1:30" x14ac:dyDescent="0.25">
      <c r="A998">
        <v>496</v>
      </c>
      <c r="B998">
        <v>4059</v>
      </c>
      <c r="C998" t="s">
        <v>2120</v>
      </c>
      <c r="D998" t="s">
        <v>168</v>
      </c>
      <c r="E998" t="s">
        <v>319</v>
      </c>
      <c r="F998" t="s">
        <v>2121</v>
      </c>
      <c r="G998" t="str">
        <f>"201511028142"</f>
        <v>201511028142</v>
      </c>
      <c r="H998" t="s">
        <v>2122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41</v>
      </c>
      <c r="W998">
        <v>287</v>
      </c>
      <c r="X998">
        <v>0</v>
      </c>
      <c r="Z998">
        <v>2</v>
      </c>
      <c r="AA998">
        <v>0</v>
      </c>
      <c r="AB998">
        <v>0</v>
      </c>
      <c r="AC998">
        <v>0</v>
      </c>
      <c r="AD998" t="s">
        <v>2123</v>
      </c>
    </row>
    <row r="999" spans="1:30" x14ac:dyDescent="0.25">
      <c r="H999" t="s">
        <v>2124</v>
      </c>
    </row>
    <row r="1000" spans="1:30" x14ac:dyDescent="0.25">
      <c r="A1000">
        <v>497</v>
      </c>
      <c r="B1000">
        <v>470</v>
      </c>
      <c r="C1000" t="s">
        <v>2125</v>
      </c>
      <c r="D1000" t="s">
        <v>210</v>
      </c>
      <c r="E1000" t="s">
        <v>44</v>
      </c>
      <c r="F1000" t="s">
        <v>2126</v>
      </c>
      <c r="G1000" t="str">
        <f>"200802002540"</f>
        <v>200802002540</v>
      </c>
      <c r="H1000" t="s">
        <v>588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70</v>
      </c>
      <c r="O1000">
        <v>50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41</v>
      </c>
      <c r="W1000">
        <v>287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2127</v>
      </c>
    </row>
    <row r="1001" spans="1:30" x14ac:dyDescent="0.25">
      <c r="H1001" t="s">
        <v>2128</v>
      </c>
    </row>
    <row r="1002" spans="1:30" x14ac:dyDescent="0.25">
      <c r="A1002">
        <v>498</v>
      </c>
      <c r="B1002">
        <v>2367</v>
      </c>
      <c r="C1002" t="s">
        <v>2129</v>
      </c>
      <c r="D1002" t="s">
        <v>185</v>
      </c>
      <c r="E1002" t="s">
        <v>28</v>
      </c>
      <c r="F1002" t="s">
        <v>2130</v>
      </c>
      <c r="G1002" t="str">
        <f>"200802008984"</f>
        <v>200802008984</v>
      </c>
      <c r="H1002" t="s">
        <v>206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43</v>
      </c>
      <c r="W1002">
        <v>301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2131</v>
      </c>
    </row>
    <row r="1003" spans="1:30" x14ac:dyDescent="0.25">
      <c r="H1003" t="s">
        <v>2132</v>
      </c>
    </row>
    <row r="1004" spans="1:30" x14ac:dyDescent="0.25">
      <c r="A1004">
        <v>499</v>
      </c>
      <c r="B1004">
        <v>467</v>
      </c>
      <c r="C1004" t="s">
        <v>2133</v>
      </c>
      <c r="D1004" t="s">
        <v>688</v>
      </c>
      <c r="E1004" t="s">
        <v>268</v>
      </c>
      <c r="F1004" t="s">
        <v>2134</v>
      </c>
      <c r="G1004" t="str">
        <f>"201601000359"</f>
        <v>201601000359</v>
      </c>
      <c r="H1004" t="s">
        <v>264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30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36</v>
      </c>
      <c r="W1004">
        <v>252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2135</v>
      </c>
    </row>
    <row r="1005" spans="1:30" x14ac:dyDescent="0.25">
      <c r="H1005" t="s">
        <v>2136</v>
      </c>
    </row>
    <row r="1006" spans="1:30" x14ac:dyDescent="0.25">
      <c r="A1006">
        <v>500</v>
      </c>
      <c r="B1006">
        <v>2311</v>
      </c>
      <c r="C1006" t="s">
        <v>2137</v>
      </c>
      <c r="D1006" t="s">
        <v>158</v>
      </c>
      <c r="E1006" t="s">
        <v>34</v>
      </c>
      <c r="F1006" t="s">
        <v>2138</v>
      </c>
      <c r="G1006" t="str">
        <f>"00010581"</f>
        <v>00010581</v>
      </c>
      <c r="H1006" t="s">
        <v>2139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2140</v>
      </c>
    </row>
    <row r="1007" spans="1:30" x14ac:dyDescent="0.25">
      <c r="H1007" t="s">
        <v>2141</v>
      </c>
    </row>
    <row r="1008" spans="1:30" x14ac:dyDescent="0.25">
      <c r="A1008">
        <v>501</v>
      </c>
      <c r="B1008">
        <v>5667</v>
      </c>
      <c r="C1008" t="s">
        <v>2142</v>
      </c>
      <c r="D1008" t="s">
        <v>2143</v>
      </c>
      <c r="E1008" t="s">
        <v>34</v>
      </c>
      <c r="F1008" t="s">
        <v>2144</v>
      </c>
      <c r="G1008" t="str">
        <f>"00357058"</f>
        <v>00357058</v>
      </c>
      <c r="H1008" t="s">
        <v>405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55</v>
      </c>
      <c r="W1008">
        <v>385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2145</v>
      </c>
    </row>
    <row r="1009" spans="1:30" x14ac:dyDescent="0.25">
      <c r="H1009" t="s">
        <v>2146</v>
      </c>
    </row>
    <row r="1010" spans="1:30" x14ac:dyDescent="0.25">
      <c r="A1010">
        <v>502</v>
      </c>
      <c r="B1010">
        <v>4920</v>
      </c>
      <c r="C1010" t="s">
        <v>2147</v>
      </c>
      <c r="D1010" t="s">
        <v>246</v>
      </c>
      <c r="E1010" t="s">
        <v>44</v>
      </c>
      <c r="F1010" t="s">
        <v>2148</v>
      </c>
      <c r="G1010" t="str">
        <f>"201406013405"</f>
        <v>201406013405</v>
      </c>
      <c r="H1010" t="s">
        <v>124</v>
      </c>
      <c r="I1010">
        <v>0</v>
      </c>
      <c r="J1010">
        <v>0</v>
      </c>
      <c r="K1010">
        <v>0</v>
      </c>
      <c r="L1010">
        <v>200</v>
      </c>
      <c r="M1010">
        <v>0</v>
      </c>
      <c r="N1010">
        <v>50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24</v>
      </c>
      <c r="W1010">
        <v>168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2149</v>
      </c>
    </row>
    <row r="1011" spans="1:30" x14ac:dyDescent="0.25">
      <c r="H1011" t="s">
        <v>2150</v>
      </c>
    </row>
    <row r="1012" spans="1:30" x14ac:dyDescent="0.25">
      <c r="A1012">
        <v>503</v>
      </c>
      <c r="B1012">
        <v>4674</v>
      </c>
      <c r="C1012" t="s">
        <v>2151</v>
      </c>
      <c r="D1012" t="s">
        <v>2152</v>
      </c>
      <c r="E1012" t="s">
        <v>2153</v>
      </c>
      <c r="F1012" t="s">
        <v>2154</v>
      </c>
      <c r="G1012" t="str">
        <f>"00205698"</f>
        <v>00205698</v>
      </c>
      <c r="H1012" t="s">
        <v>885</v>
      </c>
      <c r="I1012">
        <v>0</v>
      </c>
      <c r="J1012">
        <v>0</v>
      </c>
      <c r="K1012">
        <v>0</v>
      </c>
      <c r="L1012">
        <v>0</v>
      </c>
      <c r="M1012">
        <v>100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35</v>
      </c>
      <c r="W1012">
        <v>245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2155</v>
      </c>
    </row>
    <row r="1013" spans="1:30" x14ac:dyDescent="0.25">
      <c r="H1013" t="s">
        <v>2156</v>
      </c>
    </row>
    <row r="1014" spans="1:30" x14ac:dyDescent="0.25">
      <c r="A1014">
        <v>504</v>
      </c>
      <c r="B1014">
        <v>4370</v>
      </c>
      <c r="C1014" t="s">
        <v>949</v>
      </c>
      <c r="D1014" t="s">
        <v>2157</v>
      </c>
      <c r="E1014" t="s">
        <v>416</v>
      </c>
      <c r="F1014" t="s">
        <v>2158</v>
      </c>
      <c r="G1014" t="str">
        <f>"00014425"</f>
        <v>00014425</v>
      </c>
      <c r="H1014" t="s">
        <v>551</v>
      </c>
      <c r="I1014">
        <v>150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30</v>
      </c>
      <c r="W1014">
        <v>210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2159</v>
      </c>
    </row>
    <row r="1015" spans="1:30" x14ac:dyDescent="0.25">
      <c r="H1015" t="s">
        <v>2160</v>
      </c>
    </row>
    <row r="1016" spans="1:30" x14ac:dyDescent="0.25">
      <c r="A1016">
        <v>505</v>
      </c>
      <c r="B1016">
        <v>4586</v>
      </c>
      <c r="C1016" t="s">
        <v>1009</v>
      </c>
      <c r="D1016" t="s">
        <v>2161</v>
      </c>
      <c r="E1016" t="s">
        <v>28</v>
      </c>
      <c r="F1016" t="s">
        <v>2162</v>
      </c>
      <c r="G1016" t="str">
        <f>"201601000935"</f>
        <v>201601000935</v>
      </c>
      <c r="H1016" t="s">
        <v>1252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51</v>
      </c>
      <c r="W1016">
        <v>357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2163</v>
      </c>
    </row>
    <row r="1017" spans="1:30" x14ac:dyDescent="0.25">
      <c r="H1017" t="s">
        <v>2164</v>
      </c>
    </row>
    <row r="1018" spans="1:30" x14ac:dyDescent="0.25">
      <c r="A1018">
        <v>506</v>
      </c>
      <c r="B1018">
        <v>3038</v>
      </c>
      <c r="C1018" t="s">
        <v>2165</v>
      </c>
      <c r="D1018" t="s">
        <v>1701</v>
      </c>
      <c r="E1018" t="s">
        <v>55</v>
      </c>
      <c r="F1018" t="s">
        <v>2166</v>
      </c>
      <c r="G1018" t="str">
        <f>"00214554"</f>
        <v>00214554</v>
      </c>
      <c r="H1018" t="s">
        <v>2167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58</v>
      </c>
      <c r="W1018">
        <v>406</v>
      </c>
      <c r="X1018">
        <v>0</v>
      </c>
      <c r="Z1018">
        <v>2</v>
      </c>
      <c r="AA1018">
        <v>0</v>
      </c>
      <c r="AB1018">
        <v>0</v>
      </c>
      <c r="AC1018">
        <v>0</v>
      </c>
      <c r="AD1018" t="s">
        <v>2168</v>
      </c>
    </row>
    <row r="1019" spans="1:30" x14ac:dyDescent="0.25">
      <c r="H1019" t="s">
        <v>2169</v>
      </c>
    </row>
    <row r="1020" spans="1:30" x14ac:dyDescent="0.25">
      <c r="A1020">
        <v>507</v>
      </c>
      <c r="B1020">
        <v>3164</v>
      </c>
      <c r="C1020" t="s">
        <v>2170</v>
      </c>
      <c r="D1020" t="s">
        <v>185</v>
      </c>
      <c r="E1020" t="s">
        <v>146</v>
      </c>
      <c r="F1020" t="s">
        <v>2171</v>
      </c>
      <c r="G1020" t="str">
        <f>"200801009277"</f>
        <v>200801009277</v>
      </c>
      <c r="H1020" t="s">
        <v>1523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30</v>
      </c>
      <c r="O1020">
        <v>0</v>
      </c>
      <c r="P1020">
        <v>0</v>
      </c>
      <c r="Q1020">
        <v>50</v>
      </c>
      <c r="R1020">
        <v>0</v>
      </c>
      <c r="S1020">
        <v>0</v>
      </c>
      <c r="T1020">
        <v>0</v>
      </c>
      <c r="U1020">
        <v>0</v>
      </c>
      <c r="V1020">
        <v>21</v>
      </c>
      <c r="W1020">
        <v>147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2172</v>
      </c>
    </row>
    <row r="1021" spans="1:30" x14ac:dyDescent="0.25">
      <c r="H1021" t="s">
        <v>2173</v>
      </c>
    </row>
    <row r="1022" spans="1:30" x14ac:dyDescent="0.25">
      <c r="A1022">
        <v>508</v>
      </c>
      <c r="B1022">
        <v>4366</v>
      </c>
      <c r="C1022" t="s">
        <v>2174</v>
      </c>
      <c r="D1022" t="s">
        <v>879</v>
      </c>
      <c r="E1022" t="s">
        <v>2175</v>
      </c>
      <c r="F1022" t="s">
        <v>2176</v>
      </c>
      <c r="G1022" t="str">
        <f>"00311562"</f>
        <v>00311562</v>
      </c>
      <c r="H1022">
        <v>770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30</v>
      </c>
      <c r="R1022">
        <v>0</v>
      </c>
      <c r="S1022">
        <v>0</v>
      </c>
      <c r="T1022">
        <v>0</v>
      </c>
      <c r="U1022">
        <v>0</v>
      </c>
      <c r="V1022">
        <v>43</v>
      </c>
      <c r="W1022">
        <v>301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1131</v>
      </c>
    </row>
    <row r="1023" spans="1:30" x14ac:dyDescent="0.25">
      <c r="H1023" t="s">
        <v>2177</v>
      </c>
    </row>
    <row r="1024" spans="1:30" x14ac:dyDescent="0.25">
      <c r="A1024">
        <v>509</v>
      </c>
      <c r="B1024">
        <v>2087</v>
      </c>
      <c r="C1024" t="s">
        <v>2178</v>
      </c>
      <c r="D1024" t="s">
        <v>185</v>
      </c>
      <c r="E1024" t="s">
        <v>303</v>
      </c>
      <c r="F1024" t="s">
        <v>2179</v>
      </c>
      <c r="G1024" t="str">
        <f>"00004303"</f>
        <v>00004303</v>
      </c>
      <c r="H1024" t="s">
        <v>1941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9</v>
      </c>
      <c r="W1024">
        <v>63</v>
      </c>
      <c r="X1024">
        <v>0</v>
      </c>
      <c r="Z1024">
        <v>0</v>
      </c>
      <c r="AA1024">
        <v>0</v>
      </c>
      <c r="AB1024">
        <v>14</v>
      </c>
      <c r="AC1024">
        <v>238</v>
      </c>
      <c r="AD1024" t="s">
        <v>2180</v>
      </c>
    </row>
    <row r="1025" spans="1:30" x14ac:dyDescent="0.25">
      <c r="H1025" t="s">
        <v>2181</v>
      </c>
    </row>
    <row r="1026" spans="1:30" x14ac:dyDescent="0.25">
      <c r="A1026">
        <v>510</v>
      </c>
      <c r="B1026">
        <v>3195</v>
      </c>
      <c r="C1026" t="s">
        <v>2182</v>
      </c>
      <c r="D1026" t="s">
        <v>158</v>
      </c>
      <c r="E1026" t="s">
        <v>24</v>
      </c>
      <c r="F1026" t="s">
        <v>2183</v>
      </c>
      <c r="G1026" t="str">
        <f>"00351273"</f>
        <v>00351273</v>
      </c>
      <c r="H1026" t="s">
        <v>727</v>
      </c>
      <c r="I1026">
        <v>150</v>
      </c>
      <c r="J1026">
        <v>0</v>
      </c>
      <c r="K1026">
        <v>0</v>
      </c>
      <c r="L1026">
        <v>0</v>
      </c>
      <c r="M1026">
        <v>100</v>
      </c>
      <c r="N1026">
        <v>50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28</v>
      </c>
      <c r="W1026">
        <v>196</v>
      </c>
      <c r="X1026">
        <v>0</v>
      </c>
      <c r="Z1026">
        <v>2</v>
      </c>
      <c r="AA1026">
        <v>0</v>
      </c>
      <c r="AB1026">
        <v>0</v>
      </c>
      <c r="AC1026">
        <v>0</v>
      </c>
      <c r="AD1026" t="s">
        <v>2184</v>
      </c>
    </row>
    <row r="1027" spans="1:30" x14ac:dyDescent="0.25">
      <c r="H1027" t="s">
        <v>2185</v>
      </c>
    </row>
    <row r="1028" spans="1:30" x14ac:dyDescent="0.25">
      <c r="A1028">
        <v>511</v>
      </c>
      <c r="B1028">
        <v>144</v>
      </c>
      <c r="C1028" t="s">
        <v>2186</v>
      </c>
      <c r="D1028" t="s">
        <v>69</v>
      </c>
      <c r="E1028" t="s">
        <v>220</v>
      </c>
      <c r="F1028" t="s">
        <v>2187</v>
      </c>
      <c r="G1028" t="str">
        <f>"00007351"</f>
        <v>00007351</v>
      </c>
      <c r="H1028" t="s">
        <v>142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44</v>
      </c>
      <c r="W1028">
        <v>308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2188</v>
      </c>
    </row>
    <row r="1029" spans="1:30" x14ac:dyDescent="0.25">
      <c r="H1029" t="s">
        <v>2189</v>
      </c>
    </row>
    <row r="1030" spans="1:30" x14ac:dyDescent="0.25">
      <c r="A1030">
        <v>512</v>
      </c>
      <c r="B1030">
        <v>3590</v>
      </c>
      <c r="C1030" t="s">
        <v>2190</v>
      </c>
      <c r="D1030" t="s">
        <v>566</v>
      </c>
      <c r="E1030" t="s">
        <v>28</v>
      </c>
      <c r="F1030" t="s">
        <v>2191</v>
      </c>
      <c r="G1030" t="str">
        <f>"00203703"</f>
        <v>00203703</v>
      </c>
      <c r="H1030" t="s">
        <v>1716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30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57</v>
      </c>
      <c r="W1030">
        <v>399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2188</v>
      </c>
    </row>
    <row r="1031" spans="1:30" x14ac:dyDescent="0.25">
      <c r="H1031" t="s">
        <v>2192</v>
      </c>
    </row>
    <row r="1032" spans="1:30" x14ac:dyDescent="0.25">
      <c r="A1032">
        <v>513</v>
      </c>
      <c r="B1032">
        <v>4459</v>
      </c>
      <c r="C1032" t="s">
        <v>2193</v>
      </c>
      <c r="D1032" t="s">
        <v>282</v>
      </c>
      <c r="E1032" t="s">
        <v>55</v>
      </c>
      <c r="F1032" t="s">
        <v>2194</v>
      </c>
      <c r="G1032" t="str">
        <f>"00351725"</f>
        <v>00351725</v>
      </c>
      <c r="H1032" t="s">
        <v>388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52</v>
      </c>
      <c r="W1032">
        <v>364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2195</v>
      </c>
    </row>
    <row r="1033" spans="1:30" x14ac:dyDescent="0.25">
      <c r="H1033" t="s">
        <v>2196</v>
      </c>
    </row>
    <row r="1034" spans="1:30" x14ac:dyDescent="0.25">
      <c r="A1034">
        <v>514</v>
      </c>
      <c r="B1034">
        <v>2120</v>
      </c>
      <c r="C1034" t="s">
        <v>2197</v>
      </c>
      <c r="D1034" t="s">
        <v>1855</v>
      </c>
      <c r="E1034" t="s">
        <v>34</v>
      </c>
      <c r="F1034" t="s">
        <v>2198</v>
      </c>
      <c r="G1034" t="str">
        <f>"00233979"</f>
        <v>00233979</v>
      </c>
      <c r="H1034" t="s">
        <v>2199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10</v>
      </c>
      <c r="W1034">
        <v>70</v>
      </c>
      <c r="X1034">
        <v>0</v>
      </c>
      <c r="Z1034">
        <v>0</v>
      </c>
      <c r="AA1034">
        <v>0</v>
      </c>
      <c r="AB1034">
        <v>23</v>
      </c>
      <c r="AC1034">
        <v>391</v>
      </c>
      <c r="AD1034" t="s">
        <v>2200</v>
      </c>
    </row>
    <row r="1035" spans="1:30" x14ac:dyDescent="0.25">
      <c r="H1035" t="s">
        <v>2201</v>
      </c>
    </row>
    <row r="1036" spans="1:30" x14ac:dyDescent="0.25">
      <c r="A1036">
        <v>515</v>
      </c>
      <c r="B1036">
        <v>3304</v>
      </c>
      <c r="C1036" t="s">
        <v>2202</v>
      </c>
      <c r="D1036" t="s">
        <v>154</v>
      </c>
      <c r="E1036" t="s">
        <v>107</v>
      </c>
      <c r="F1036" t="s">
        <v>2203</v>
      </c>
      <c r="G1036" t="str">
        <f>"201412005487"</f>
        <v>201412005487</v>
      </c>
      <c r="H1036">
        <v>704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55</v>
      </c>
      <c r="W1036">
        <v>385</v>
      </c>
      <c r="X1036">
        <v>0</v>
      </c>
      <c r="Z1036">
        <v>0</v>
      </c>
      <c r="AA1036">
        <v>0</v>
      </c>
      <c r="AB1036">
        <v>0</v>
      </c>
      <c r="AC1036">
        <v>0</v>
      </c>
      <c r="AD1036">
        <v>1119</v>
      </c>
    </row>
    <row r="1037" spans="1:30" x14ac:dyDescent="0.25">
      <c r="H1037" t="s">
        <v>2204</v>
      </c>
    </row>
    <row r="1038" spans="1:30" x14ac:dyDescent="0.25">
      <c r="A1038">
        <v>516</v>
      </c>
      <c r="B1038">
        <v>4902</v>
      </c>
      <c r="C1038" t="s">
        <v>2205</v>
      </c>
      <c r="D1038" t="s">
        <v>24</v>
      </c>
      <c r="E1038" t="s">
        <v>644</v>
      </c>
      <c r="F1038" t="s">
        <v>2206</v>
      </c>
      <c r="G1038" t="str">
        <f>"00206086"</f>
        <v>00206086</v>
      </c>
      <c r="H1038" t="s">
        <v>946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30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42</v>
      </c>
      <c r="W1038">
        <v>294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2207</v>
      </c>
    </row>
    <row r="1039" spans="1:30" x14ac:dyDescent="0.25">
      <c r="H1039" t="s">
        <v>2208</v>
      </c>
    </row>
    <row r="1040" spans="1:30" x14ac:dyDescent="0.25">
      <c r="A1040">
        <v>517</v>
      </c>
      <c r="B1040">
        <v>1422</v>
      </c>
      <c r="C1040" t="s">
        <v>519</v>
      </c>
      <c r="D1040" t="s">
        <v>2209</v>
      </c>
      <c r="E1040" t="s">
        <v>24</v>
      </c>
      <c r="F1040" t="s">
        <v>2210</v>
      </c>
      <c r="G1040" t="str">
        <f>"201402002350"</f>
        <v>201402002350</v>
      </c>
      <c r="H1040" t="s">
        <v>2211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54</v>
      </c>
      <c r="W1040">
        <v>378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2212</v>
      </c>
    </row>
    <row r="1041" spans="1:30" x14ac:dyDescent="0.25">
      <c r="H1041" t="s">
        <v>2213</v>
      </c>
    </row>
    <row r="1042" spans="1:30" x14ac:dyDescent="0.25">
      <c r="A1042">
        <v>518</v>
      </c>
      <c r="B1042">
        <v>5312</v>
      </c>
      <c r="C1042" t="s">
        <v>2214</v>
      </c>
      <c r="D1042" t="s">
        <v>2215</v>
      </c>
      <c r="E1042" t="s">
        <v>24</v>
      </c>
      <c r="F1042" t="s">
        <v>2216</v>
      </c>
      <c r="G1042" t="str">
        <f>"00170526"</f>
        <v>00170526</v>
      </c>
      <c r="H1042">
        <v>660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61</v>
      </c>
      <c r="W1042">
        <v>427</v>
      </c>
      <c r="X1042">
        <v>0</v>
      </c>
      <c r="Z1042">
        <v>0</v>
      </c>
      <c r="AA1042">
        <v>0</v>
      </c>
      <c r="AB1042">
        <v>0</v>
      </c>
      <c r="AC1042">
        <v>0</v>
      </c>
      <c r="AD1042">
        <v>1117</v>
      </c>
    </row>
    <row r="1043" spans="1:30" x14ac:dyDescent="0.25">
      <c r="H1043" t="s">
        <v>2217</v>
      </c>
    </row>
    <row r="1044" spans="1:30" x14ac:dyDescent="0.25">
      <c r="A1044">
        <v>519</v>
      </c>
      <c r="B1044">
        <v>4626</v>
      </c>
      <c r="C1044" t="s">
        <v>2218</v>
      </c>
      <c r="D1044" t="s">
        <v>2219</v>
      </c>
      <c r="E1044" t="s">
        <v>220</v>
      </c>
      <c r="F1044" t="s">
        <v>2220</v>
      </c>
      <c r="G1044" t="str">
        <f>"00192961"</f>
        <v>00192961</v>
      </c>
      <c r="H1044" t="s">
        <v>941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30</v>
      </c>
      <c r="W1044">
        <v>210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2221</v>
      </c>
    </row>
    <row r="1045" spans="1:30" x14ac:dyDescent="0.25">
      <c r="H1045" t="s">
        <v>2222</v>
      </c>
    </row>
    <row r="1046" spans="1:30" x14ac:dyDescent="0.25">
      <c r="A1046">
        <v>520</v>
      </c>
      <c r="B1046">
        <v>5334</v>
      </c>
      <c r="C1046" t="s">
        <v>2223</v>
      </c>
      <c r="D1046" t="s">
        <v>15</v>
      </c>
      <c r="E1046" t="s">
        <v>107</v>
      </c>
      <c r="F1046" t="s">
        <v>2224</v>
      </c>
      <c r="G1046" t="str">
        <f>"201406018268"</f>
        <v>201406018268</v>
      </c>
      <c r="H1046">
        <v>715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24</v>
      </c>
      <c r="W1046">
        <v>168</v>
      </c>
      <c r="X1046">
        <v>0</v>
      </c>
      <c r="Z1046">
        <v>0</v>
      </c>
      <c r="AA1046">
        <v>0</v>
      </c>
      <c r="AB1046">
        <v>0</v>
      </c>
      <c r="AC1046">
        <v>0</v>
      </c>
      <c r="AD1046">
        <v>1113</v>
      </c>
    </row>
    <row r="1047" spans="1:30" x14ac:dyDescent="0.25">
      <c r="H1047" t="s">
        <v>2225</v>
      </c>
    </row>
    <row r="1048" spans="1:30" x14ac:dyDescent="0.25">
      <c r="A1048">
        <v>521</v>
      </c>
      <c r="B1048">
        <v>5443</v>
      </c>
      <c r="C1048" t="s">
        <v>2226</v>
      </c>
      <c r="D1048" t="s">
        <v>2227</v>
      </c>
      <c r="E1048" t="s">
        <v>45</v>
      </c>
      <c r="F1048" t="s">
        <v>2228</v>
      </c>
      <c r="G1048" t="str">
        <f>"00232773"</f>
        <v>00232773</v>
      </c>
      <c r="H1048" t="s">
        <v>314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57</v>
      </c>
      <c r="W1048">
        <v>399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2229</v>
      </c>
    </row>
    <row r="1049" spans="1:30" x14ac:dyDescent="0.25">
      <c r="H1049" t="s">
        <v>2230</v>
      </c>
    </row>
    <row r="1050" spans="1:30" x14ac:dyDescent="0.25">
      <c r="A1050">
        <v>522</v>
      </c>
      <c r="B1050">
        <v>4413</v>
      </c>
      <c r="C1050" t="s">
        <v>2231</v>
      </c>
      <c r="D1050" t="s">
        <v>2232</v>
      </c>
      <c r="E1050" t="s">
        <v>15</v>
      </c>
      <c r="F1050" t="s">
        <v>2233</v>
      </c>
      <c r="G1050" t="str">
        <f>"00359885"</f>
        <v>00359885</v>
      </c>
      <c r="H1050" t="s">
        <v>424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30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2234</v>
      </c>
    </row>
    <row r="1051" spans="1:30" x14ac:dyDescent="0.25">
      <c r="H1051" t="s">
        <v>2235</v>
      </c>
    </row>
    <row r="1052" spans="1:30" x14ac:dyDescent="0.25">
      <c r="A1052">
        <v>523</v>
      </c>
      <c r="B1052">
        <v>3870</v>
      </c>
      <c r="C1052" t="s">
        <v>2236</v>
      </c>
      <c r="D1052" t="s">
        <v>2237</v>
      </c>
      <c r="E1052" t="s">
        <v>107</v>
      </c>
      <c r="F1052" t="s">
        <v>2238</v>
      </c>
      <c r="G1052" t="str">
        <f>"200802002479"</f>
        <v>200802002479</v>
      </c>
      <c r="H1052" t="s">
        <v>58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30</v>
      </c>
      <c r="R1052">
        <v>0</v>
      </c>
      <c r="S1052">
        <v>0</v>
      </c>
      <c r="T1052">
        <v>0</v>
      </c>
      <c r="U1052">
        <v>0</v>
      </c>
      <c r="V1052">
        <v>37</v>
      </c>
      <c r="W1052">
        <v>259</v>
      </c>
      <c r="X1052">
        <v>0</v>
      </c>
      <c r="Z1052">
        <v>1</v>
      </c>
      <c r="AA1052">
        <v>0</v>
      </c>
      <c r="AB1052">
        <v>0</v>
      </c>
      <c r="AC1052">
        <v>0</v>
      </c>
      <c r="AD1052" t="s">
        <v>2239</v>
      </c>
    </row>
    <row r="1053" spans="1:30" x14ac:dyDescent="0.25">
      <c r="H1053" t="s">
        <v>2240</v>
      </c>
    </row>
    <row r="1054" spans="1:30" x14ac:dyDescent="0.25">
      <c r="A1054">
        <v>524</v>
      </c>
      <c r="B1054">
        <v>1403</v>
      </c>
      <c r="C1054" t="s">
        <v>2241</v>
      </c>
      <c r="D1054" t="s">
        <v>158</v>
      </c>
      <c r="E1054" t="s">
        <v>453</v>
      </c>
      <c r="F1054" t="s">
        <v>2242</v>
      </c>
      <c r="G1054" t="str">
        <f>"200904000515"</f>
        <v>200904000515</v>
      </c>
      <c r="H1054" t="s">
        <v>248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50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52</v>
      </c>
      <c r="W1054">
        <v>364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2243</v>
      </c>
    </row>
    <row r="1055" spans="1:30" x14ac:dyDescent="0.25">
      <c r="H1055" t="s">
        <v>2244</v>
      </c>
    </row>
    <row r="1056" spans="1:30" x14ac:dyDescent="0.25">
      <c r="A1056">
        <v>525</v>
      </c>
      <c r="B1056">
        <v>3358</v>
      </c>
      <c r="C1056" t="s">
        <v>110</v>
      </c>
      <c r="D1056" t="s">
        <v>246</v>
      </c>
      <c r="E1056" t="s">
        <v>526</v>
      </c>
      <c r="F1056" t="s">
        <v>2245</v>
      </c>
      <c r="G1056" t="str">
        <f>"00350139"</f>
        <v>00350139</v>
      </c>
      <c r="H1056" t="s">
        <v>2246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61</v>
      </c>
      <c r="W1056">
        <v>427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2247</v>
      </c>
    </row>
    <row r="1057" spans="1:30" x14ac:dyDescent="0.25">
      <c r="H1057" t="s">
        <v>2248</v>
      </c>
    </row>
    <row r="1058" spans="1:30" x14ac:dyDescent="0.25">
      <c r="A1058">
        <v>526</v>
      </c>
      <c r="B1058">
        <v>1659</v>
      </c>
      <c r="C1058" t="s">
        <v>579</v>
      </c>
      <c r="D1058" t="s">
        <v>44</v>
      </c>
      <c r="E1058" t="s">
        <v>24</v>
      </c>
      <c r="F1058" t="s">
        <v>2249</v>
      </c>
      <c r="G1058" t="str">
        <f>"201604001599"</f>
        <v>201604001599</v>
      </c>
      <c r="H1058" t="s">
        <v>1414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43</v>
      </c>
      <c r="W1058">
        <v>301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2250</v>
      </c>
    </row>
    <row r="1059" spans="1:30" x14ac:dyDescent="0.25">
      <c r="H1059" t="s">
        <v>2251</v>
      </c>
    </row>
    <row r="1060" spans="1:30" x14ac:dyDescent="0.25">
      <c r="A1060">
        <v>527</v>
      </c>
      <c r="B1060">
        <v>4211</v>
      </c>
      <c r="C1060" t="s">
        <v>2252</v>
      </c>
      <c r="D1060" t="s">
        <v>1791</v>
      </c>
      <c r="E1060" t="s">
        <v>303</v>
      </c>
      <c r="F1060" t="s">
        <v>2253</v>
      </c>
      <c r="G1060" t="str">
        <f>"00088638"</f>
        <v>00088638</v>
      </c>
      <c r="H1060" t="s">
        <v>732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33</v>
      </c>
      <c r="W1060">
        <v>231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2254</v>
      </c>
    </row>
    <row r="1061" spans="1:30" x14ac:dyDescent="0.25">
      <c r="H1061" t="s">
        <v>2255</v>
      </c>
    </row>
    <row r="1062" spans="1:30" x14ac:dyDescent="0.25">
      <c r="A1062">
        <v>528</v>
      </c>
      <c r="B1062">
        <v>2739</v>
      </c>
      <c r="C1062" t="s">
        <v>2256</v>
      </c>
      <c r="D1062" t="s">
        <v>24</v>
      </c>
      <c r="E1062" t="s">
        <v>44</v>
      </c>
      <c r="F1062" t="s">
        <v>2257</v>
      </c>
      <c r="G1062" t="str">
        <f>"200712006110"</f>
        <v>200712006110</v>
      </c>
      <c r="H1062">
        <v>759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9</v>
      </c>
      <c r="W1062">
        <v>63</v>
      </c>
      <c r="X1062">
        <v>0</v>
      </c>
      <c r="Z1062">
        <v>0</v>
      </c>
      <c r="AA1062">
        <v>0</v>
      </c>
      <c r="AB1062">
        <v>0</v>
      </c>
      <c r="AC1062">
        <v>0</v>
      </c>
      <c r="AD1062">
        <v>1092</v>
      </c>
    </row>
    <row r="1063" spans="1:30" x14ac:dyDescent="0.25">
      <c r="H1063" t="s">
        <v>2258</v>
      </c>
    </row>
    <row r="1064" spans="1:30" x14ac:dyDescent="0.25">
      <c r="A1064">
        <v>529</v>
      </c>
      <c r="B1064">
        <v>775</v>
      </c>
      <c r="C1064" t="s">
        <v>2259</v>
      </c>
      <c r="D1064" t="s">
        <v>392</v>
      </c>
      <c r="E1064" t="s">
        <v>146</v>
      </c>
      <c r="F1064" t="s">
        <v>2260</v>
      </c>
      <c r="G1064" t="str">
        <f>"200903000008"</f>
        <v>200903000008</v>
      </c>
      <c r="H1064" t="s">
        <v>1439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45</v>
      </c>
      <c r="W1064">
        <v>315</v>
      </c>
      <c r="X1064">
        <v>0</v>
      </c>
      <c r="Z1064">
        <v>1</v>
      </c>
      <c r="AA1064">
        <v>0</v>
      </c>
      <c r="AB1064">
        <v>0</v>
      </c>
      <c r="AC1064">
        <v>0</v>
      </c>
      <c r="AD1064" t="s">
        <v>2261</v>
      </c>
    </row>
    <row r="1065" spans="1:30" x14ac:dyDescent="0.25">
      <c r="H1065" t="s">
        <v>2262</v>
      </c>
    </row>
    <row r="1066" spans="1:30" x14ac:dyDescent="0.25">
      <c r="A1066">
        <v>530</v>
      </c>
      <c r="B1066">
        <v>2291</v>
      </c>
      <c r="C1066" t="s">
        <v>2263</v>
      </c>
      <c r="D1066" t="s">
        <v>185</v>
      </c>
      <c r="E1066" t="s">
        <v>2264</v>
      </c>
      <c r="F1066" t="s">
        <v>2265</v>
      </c>
      <c r="G1066" t="str">
        <f>"00324455"</f>
        <v>00324455</v>
      </c>
      <c r="H1066" t="s">
        <v>1494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56</v>
      </c>
      <c r="W1066">
        <v>392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2266</v>
      </c>
    </row>
    <row r="1067" spans="1:30" x14ac:dyDescent="0.25">
      <c r="H1067" t="s">
        <v>2267</v>
      </c>
    </row>
    <row r="1068" spans="1:30" x14ac:dyDescent="0.25">
      <c r="A1068">
        <v>531</v>
      </c>
      <c r="B1068">
        <v>3563</v>
      </c>
      <c r="C1068" t="s">
        <v>2268</v>
      </c>
      <c r="D1068" t="s">
        <v>604</v>
      </c>
      <c r="E1068" t="s">
        <v>2269</v>
      </c>
      <c r="F1068" t="s">
        <v>2270</v>
      </c>
      <c r="G1068" t="str">
        <f>"201511032501"</f>
        <v>201511032501</v>
      </c>
      <c r="H1068" t="s">
        <v>2271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13</v>
      </c>
      <c r="W1068">
        <v>91</v>
      </c>
      <c r="X1068">
        <v>0</v>
      </c>
      <c r="Z1068">
        <v>1</v>
      </c>
      <c r="AA1068">
        <v>0</v>
      </c>
      <c r="AB1068">
        <v>18</v>
      </c>
      <c r="AC1068">
        <v>306</v>
      </c>
      <c r="AD1068" t="s">
        <v>2272</v>
      </c>
    </row>
    <row r="1069" spans="1:30" x14ac:dyDescent="0.25">
      <c r="H1069" t="s">
        <v>2273</v>
      </c>
    </row>
    <row r="1070" spans="1:30" x14ac:dyDescent="0.25">
      <c r="A1070">
        <v>532</v>
      </c>
      <c r="B1070">
        <v>5044</v>
      </c>
      <c r="C1070" t="s">
        <v>2274</v>
      </c>
      <c r="D1070" t="s">
        <v>289</v>
      </c>
      <c r="E1070" t="s">
        <v>28</v>
      </c>
      <c r="F1070" t="s">
        <v>2275</v>
      </c>
      <c r="G1070" t="str">
        <f>"00157041"</f>
        <v>00157041</v>
      </c>
      <c r="H1070" t="s">
        <v>2276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2277</v>
      </c>
    </row>
    <row r="1071" spans="1:30" x14ac:dyDescent="0.25">
      <c r="H1071" t="s">
        <v>2278</v>
      </c>
    </row>
    <row r="1072" spans="1:30" x14ac:dyDescent="0.25">
      <c r="A1072">
        <v>533</v>
      </c>
      <c r="B1072">
        <v>630</v>
      </c>
      <c r="C1072" t="s">
        <v>2279</v>
      </c>
      <c r="D1072" t="s">
        <v>140</v>
      </c>
      <c r="E1072" t="s">
        <v>55</v>
      </c>
      <c r="F1072" t="s">
        <v>2280</v>
      </c>
      <c r="G1072" t="str">
        <f>"201510000452"</f>
        <v>201510000452</v>
      </c>
      <c r="H1072" t="s">
        <v>1644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10</v>
      </c>
      <c r="W1072">
        <v>70</v>
      </c>
      <c r="X1072">
        <v>0</v>
      </c>
      <c r="Z1072">
        <v>0</v>
      </c>
      <c r="AA1072">
        <v>0</v>
      </c>
      <c r="AB1072">
        <v>18</v>
      </c>
      <c r="AC1072">
        <v>306</v>
      </c>
      <c r="AD1072" t="s">
        <v>2277</v>
      </c>
    </row>
    <row r="1073" spans="1:30" x14ac:dyDescent="0.25">
      <c r="H1073" t="s">
        <v>2281</v>
      </c>
    </row>
    <row r="1074" spans="1:30" x14ac:dyDescent="0.25">
      <c r="A1074">
        <v>534</v>
      </c>
      <c r="B1074">
        <v>5310</v>
      </c>
      <c r="C1074" t="s">
        <v>2282</v>
      </c>
      <c r="D1074" t="s">
        <v>92</v>
      </c>
      <c r="E1074" t="s">
        <v>873</v>
      </c>
      <c r="F1074" t="s">
        <v>2283</v>
      </c>
      <c r="G1074" t="str">
        <f>"201402001442"</f>
        <v>201402001442</v>
      </c>
      <c r="H1074" t="s">
        <v>2284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20</v>
      </c>
      <c r="W1074">
        <v>140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2285</v>
      </c>
    </row>
    <row r="1075" spans="1:30" x14ac:dyDescent="0.25">
      <c r="H1075" t="s">
        <v>2286</v>
      </c>
    </row>
    <row r="1076" spans="1:30" x14ac:dyDescent="0.25">
      <c r="A1076">
        <v>535</v>
      </c>
      <c r="B1076">
        <v>4317</v>
      </c>
      <c r="C1076" t="s">
        <v>2287</v>
      </c>
      <c r="D1076" t="s">
        <v>154</v>
      </c>
      <c r="E1076" t="s">
        <v>24</v>
      </c>
      <c r="F1076" t="s">
        <v>2288</v>
      </c>
      <c r="G1076" t="str">
        <f>"200801002333"</f>
        <v>200801002333</v>
      </c>
      <c r="H1076">
        <v>748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44</v>
      </c>
      <c r="W1076">
        <v>308</v>
      </c>
      <c r="X1076">
        <v>0</v>
      </c>
      <c r="Z1076">
        <v>0</v>
      </c>
      <c r="AA1076">
        <v>0</v>
      </c>
      <c r="AB1076">
        <v>0</v>
      </c>
      <c r="AC1076">
        <v>0</v>
      </c>
      <c r="AD1076">
        <v>1086</v>
      </c>
    </row>
    <row r="1077" spans="1:30" x14ac:dyDescent="0.25">
      <c r="H1077" t="s">
        <v>2289</v>
      </c>
    </row>
    <row r="1078" spans="1:30" x14ac:dyDescent="0.25">
      <c r="A1078">
        <v>536</v>
      </c>
      <c r="B1078">
        <v>2881</v>
      </c>
      <c r="C1078" t="s">
        <v>2290</v>
      </c>
      <c r="D1078" t="s">
        <v>146</v>
      </c>
      <c r="E1078" t="s">
        <v>121</v>
      </c>
      <c r="F1078" t="s">
        <v>2291</v>
      </c>
      <c r="G1078" t="str">
        <f>"00147274"</f>
        <v>00147274</v>
      </c>
      <c r="H1078" t="s">
        <v>627</v>
      </c>
      <c r="I1078">
        <v>150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19</v>
      </c>
      <c r="W1078">
        <v>133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2292</v>
      </c>
    </row>
    <row r="1079" spans="1:30" x14ac:dyDescent="0.25">
      <c r="H1079" t="s">
        <v>2293</v>
      </c>
    </row>
    <row r="1080" spans="1:30" x14ac:dyDescent="0.25">
      <c r="A1080">
        <v>537</v>
      </c>
      <c r="B1080">
        <v>1146</v>
      </c>
      <c r="C1080" t="s">
        <v>2294</v>
      </c>
      <c r="D1080" t="s">
        <v>268</v>
      </c>
      <c r="E1080" t="s">
        <v>55</v>
      </c>
      <c r="F1080" t="s">
        <v>2295</v>
      </c>
      <c r="G1080" t="str">
        <f>"00297744"</f>
        <v>00297744</v>
      </c>
      <c r="H1080">
        <v>847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30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25</v>
      </c>
      <c r="W1080">
        <v>175</v>
      </c>
      <c r="X1080">
        <v>0</v>
      </c>
      <c r="Z1080">
        <v>0</v>
      </c>
      <c r="AA1080">
        <v>0</v>
      </c>
      <c r="AB1080">
        <v>0</v>
      </c>
      <c r="AC1080">
        <v>0</v>
      </c>
      <c r="AD1080">
        <v>1082</v>
      </c>
    </row>
    <row r="1081" spans="1:30" x14ac:dyDescent="0.25">
      <c r="H1081" t="s">
        <v>2296</v>
      </c>
    </row>
    <row r="1082" spans="1:30" x14ac:dyDescent="0.25">
      <c r="A1082">
        <v>538</v>
      </c>
      <c r="B1082">
        <v>6112</v>
      </c>
      <c r="C1082" t="s">
        <v>2297</v>
      </c>
      <c r="D1082" t="s">
        <v>1017</v>
      </c>
      <c r="E1082" t="s">
        <v>2298</v>
      </c>
      <c r="F1082" t="s">
        <v>2299</v>
      </c>
      <c r="G1082" t="str">
        <f>"00159761"</f>
        <v>00159761</v>
      </c>
      <c r="H1082" t="s">
        <v>1393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70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11</v>
      </c>
      <c r="W1082">
        <v>77</v>
      </c>
      <c r="X1082">
        <v>0</v>
      </c>
      <c r="Z1082">
        <v>2</v>
      </c>
      <c r="AA1082">
        <v>0</v>
      </c>
      <c r="AB1082">
        <v>0</v>
      </c>
      <c r="AC1082">
        <v>0</v>
      </c>
      <c r="AD1082" t="s">
        <v>2300</v>
      </c>
    </row>
    <row r="1083" spans="1:30" x14ac:dyDescent="0.25">
      <c r="H1083" t="s">
        <v>2301</v>
      </c>
    </row>
    <row r="1084" spans="1:30" x14ac:dyDescent="0.25">
      <c r="A1084">
        <v>539</v>
      </c>
      <c r="B1084">
        <v>756</v>
      </c>
      <c r="C1084" t="s">
        <v>2302</v>
      </c>
      <c r="D1084" t="s">
        <v>154</v>
      </c>
      <c r="E1084" t="s">
        <v>530</v>
      </c>
      <c r="F1084" t="s">
        <v>2303</v>
      </c>
      <c r="G1084" t="str">
        <f>"201511011818"</f>
        <v>201511011818</v>
      </c>
      <c r="H1084" t="s">
        <v>2304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17</v>
      </c>
      <c r="W1084">
        <v>119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2305</v>
      </c>
    </row>
    <row r="1085" spans="1:30" x14ac:dyDescent="0.25">
      <c r="H1085" t="s">
        <v>2306</v>
      </c>
    </row>
    <row r="1086" spans="1:30" x14ac:dyDescent="0.25">
      <c r="A1086">
        <v>540</v>
      </c>
      <c r="B1086">
        <v>4938</v>
      </c>
      <c r="C1086" t="s">
        <v>2307</v>
      </c>
      <c r="D1086" t="s">
        <v>76</v>
      </c>
      <c r="E1086" t="s">
        <v>55</v>
      </c>
      <c r="F1086" t="s">
        <v>2308</v>
      </c>
      <c r="G1086" t="str">
        <f>"201405000902"</f>
        <v>201405000902</v>
      </c>
      <c r="H1086" t="s">
        <v>576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28</v>
      </c>
      <c r="W1086">
        <v>196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2305</v>
      </c>
    </row>
    <row r="1087" spans="1:30" x14ac:dyDescent="0.25">
      <c r="H1087" t="s">
        <v>2309</v>
      </c>
    </row>
    <row r="1088" spans="1:30" x14ac:dyDescent="0.25">
      <c r="A1088">
        <v>541</v>
      </c>
      <c r="B1088">
        <v>6101</v>
      </c>
      <c r="C1088" t="s">
        <v>2310</v>
      </c>
      <c r="D1088" t="s">
        <v>806</v>
      </c>
      <c r="E1088" t="s">
        <v>86</v>
      </c>
      <c r="F1088" t="s">
        <v>2311</v>
      </c>
      <c r="G1088" t="str">
        <f>"201511030469"</f>
        <v>201511030469</v>
      </c>
      <c r="H1088" t="s">
        <v>2312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36</v>
      </c>
      <c r="W1088">
        <v>252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2313</v>
      </c>
    </row>
    <row r="1089" spans="1:30" x14ac:dyDescent="0.25">
      <c r="H1089" t="s">
        <v>2314</v>
      </c>
    </row>
    <row r="1090" spans="1:30" x14ac:dyDescent="0.25">
      <c r="A1090">
        <v>542</v>
      </c>
      <c r="B1090">
        <v>4497</v>
      </c>
      <c r="C1090" t="s">
        <v>2315</v>
      </c>
      <c r="D1090" t="s">
        <v>76</v>
      </c>
      <c r="E1090" t="s">
        <v>122</v>
      </c>
      <c r="F1090" t="s">
        <v>2316</v>
      </c>
      <c r="G1090" t="str">
        <f>"201406002810"</f>
        <v>201406002810</v>
      </c>
      <c r="H1090" t="s">
        <v>481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18</v>
      </c>
      <c r="W1090">
        <v>126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2317</v>
      </c>
    </row>
    <row r="1091" spans="1:30" x14ac:dyDescent="0.25">
      <c r="H1091" t="s">
        <v>1765</v>
      </c>
    </row>
    <row r="1092" spans="1:30" x14ac:dyDescent="0.25">
      <c r="A1092">
        <v>543</v>
      </c>
      <c r="B1092">
        <v>449</v>
      </c>
      <c r="C1092" t="s">
        <v>2318</v>
      </c>
      <c r="D1092" t="s">
        <v>107</v>
      </c>
      <c r="E1092" t="s">
        <v>44</v>
      </c>
      <c r="F1092" t="s">
        <v>2319</v>
      </c>
      <c r="G1092" t="str">
        <f>"00167598"</f>
        <v>00167598</v>
      </c>
      <c r="H1092" t="s">
        <v>2320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56</v>
      </c>
      <c r="W1092">
        <v>392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2321</v>
      </c>
    </row>
    <row r="1093" spans="1:30" x14ac:dyDescent="0.25">
      <c r="H1093" t="s">
        <v>2322</v>
      </c>
    </row>
    <row r="1094" spans="1:30" x14ac:dyDescent="0.25">
      <c r="A1094">
        <v>544</v>
      </c>
      <c r="B1094">
        <v>1739</v>
      </c>
      <c r="C1094" t="s">
        <v>2323</v>
      </c>
      <c r="D1094" t="s">
        <v>93</v>
      </c>
      <c r="E1094" t="s">
        <v>283</v>
      </c>
      <c r="F1094" t="s">
        <v>2324</v>
      </c>
      <c r="G1094" t="str">
        <f>"00247827"</f>
        <v>00247827</v>
      </c>
      <c r="H1094" t="s">
        <v>40</v>
      </c>
      <c r="I1094">
        <v>0</v>
      </c>
      <c r="J1094">
        <v>0</v>
      </c>
      <c r="K1094">
        <v>0</v>
      </c>
      <c r="L1094">
        <v>0</v>
      </c>
      <c r="M1094">
        <v>100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2325</v>
      </c>
    </row>
    <row r="1095" spans="1:30" x14ac:dyDescent="0.25">
      <c r="H1095" t="s">
        <v>2326</v>
      </c>
    </row>
    <row r="1096" spans="1:30" x14ac:dyDescent="0.25">
      <c r="A1096">
        <v>545</v>
      </c>
      <c r="B1096">
        <v>4673</v>
      </c>
      <c r="C1096" t="s">
        <v>2327</v>
      </c>
      <c r="D1096" t="s">
        <v>63</v>
      </c>
      <c r="E1096" t="s">
        <v>220</v>
      </c>
      <c r="F1096" t="s">
        <v>2328</v>
      </c>
      <c r="G1096" t="str">
        <f>"201402012568"</f>
        <v>201402012568</v>
      </c>
      <c r="H1096" t="s">
        <v>1685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Z1096">
        <v>0</v>
      </c>
      <c r="AA1096">
        <v>0</v>
      </c>
      <c r="AB1096">
        <v>5</v>
      </c>
      <c r="AC1096">
        <v>85</v>
      </c>
      <c r="AD1096" t="s">
        <v>2329</v>
      </c>
    </row>
    <row r="1097" spans="1:30" x14ac:dyDescent="0.25">
      <c r="H1097" t="s">
        <v>2330</v>
      </c>
    </row>
    <row r="1098" spans="1:30" x14ac:dyDescent="0.25">
      <c r="A1098">
        <v>546</v>
      </c>
      <c r="B1098">
        <v>6001</v>
      </c>
      <c r="C1098" t="s">
        <v>1301</v>
      </c>
      <c r="D1098" t="s">
        <v>34</v>
      </c>
      <c r="E1098" t="s">
        <v>100</v>
      </c>
      <c r="F1098" t="s">
        <v>2331</v>
      </c>
      <c r="G1098" t="str">
        <f>"201402005425"</f>
        <v>201402005425</v>
      </c>
      <c r="H1098" t="s">
        <v>1439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30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38</v>
      </c>
      <c r="W1098">
        <v>266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2332</v>
      </c>
    </row>
    <row r="1099" spans="1:30" x14ac:dyDescent="0.25">
      <c r="H1099" t="s">
        <v>2333</v>
      </c>
    </row>
    <row r="1100" spans="1:30" x14ac:dyDescent="0.25">
      <c r="A1100">
        <v>547</v>
      </c>
      <c r="B1100">
        <v>1577</v>
      </c>
      <c r="C1100" t="s">
        <v>2334</v>
      </c>
      <c r="D1100" t="s">
        <v>2335</v>
      </c>
      <c r="E1100" t="s">
        <v>278</v>
      </c>
      <c r="F1100" t="s">
        <v>2336</v>
      </c>
      <c r="G1100" t="str">
        <f>"201411000370"</f>
        <v>201411000370</v>
      </c>
      <c r="H1100" t="s">
        <v>929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50</v>
      </c>
      <c r="R1100">
        <v>0</v>
      </c>
      <c r="S1100">
        <v>0</v>
      </c>
      <c r="T1100">
        <v>0</v>
      </c>
      <c r="U1100">
        <v>0</v>
      </c>
      <c r="V1100">
        <v>25</v>
      </c>
      <c r="W1100">
        <v>175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2337</v>
      </c>
    </row>
    <row r="1101" spans="1:30" x14ac:dyDescent="0.25">
      <c r="H1101" t="s">
        <v>2338</v>
      </c>
    </row>
    <row r="1102" spans="1:30" x14ac:dyDescent="0.25">
      <c r="A1102">
        <v>548</v>
      </c>
      <c r="B1102">
        <v>1786</v>
      </c>
      <c r="C1102" t="s">
        <v>2339</v>
      </c>
      <c r="D1102" t="s">
        <v>2340</v>
      </c>
      <c r="E1102" t="s">
        <v>28</v>
      </c>
      <c r="F1102" t="s">
        <v>2341</v>
      </c>
      <c r="G1102" t="str">
        <f>"201511024616"</f>
        <v>201511024616</v>
      </c>
      <c r="H1102" t="s">
        <v>2342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34</v>
      </c>
      <c r="W1102">
        <v>238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2343</v>
      </c>
    </row>
    <row r="1103" spans="1:30" x14ac:dyDescent="0.25">
      <c r="H1103" t="s">
        <v>2344</v>
      </c>
    </row>
    <row r="1104" spans="1:30" x14ac:dyDescent="0.25">
      <c r="A1104">
        <v>549</v>
      </c>
      <c r="B1104">
        <v>2855</v>
      </c>
      <c r="C1104" t="s">
        <v>2345</v>
      </c>
      <c r="D1104" t="s">
        <v>2346</v>
      </c>
      <c r="E1104" t="s">
        <v>2347</v>
      </c>
      <c r="F1104" t="s">
        <v>2348</v>
      </c>
      <c r="G1104" t="str">
        <f>"00332721"</f>
        <v>00332721</v>
      </c>
      <c r="H1104" t="s">
        <v>551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50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39</v>
      </c>
      <c r="W1104">
        <v>273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2349</v>
      </c>
    </row>
    <row r="1105" spans="1:30" x14ac:dyDescent="0.25">
      <c r="H1105" t="s">
        <v>2350</v>
      </c>
    </row>
    <row r="1106" spans="1:30" x14ac:dyDescent="0.25">
      <c r="A1106">
        <v>550</v>
      </c>
      <c r="B1106">
        <v>6166</v>
      </c>
      <c r="C1106" t="s">
        <v>2351</v>
      </c>
      <c r="D1106" t="s">
        <v>685</v>
      </c>
      <c r="E1106" t="s">
        <v>55</v>
      </c>
      <c r="F1106" t="s">
        <v>2352</v>
      </c>
      <c r="G1106" t="str">
        <f>"201511035788"</f>
        <v>201511035788</v>
      </c>
      <c r="H1106" t="s">
        <v>853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41</v>
      </c>
      <c r="W1106">
        <v>287</v>
      </c>
      <c r="X1106">
        <v>0</v>
      </c>
      <c r="Z1106">
        <v>1</v>
      </c>
      <c r="AA1106">
        <v>0</v>
      </c>
      <c r="AB1106">
        <v>0</v>
      </c>
      <c r="AC1106">
        <v>0</v>
      </c>
      <c r="AD1106" t="s">
        <v>2353</v>
      </c>
    </row>
    <row r="1107" spans="1:30" x14ac:dyDescent="0.25">
      <c r="H1107" t="s">
        <v>2354</v>
      </c>
    </row>
    <row r="1108" spans="1:30" x14ac:dyDescent="0.25">
      <c r="A1108">
        <v>551</v>
      </c>
      <c r="B1108">
        <v>60</v>
      </c>
      <c r="C1108" t="s">
        <v>2355</v>
      </c>
      <c r="D1108" t="s">
        <v>685</v>
      </c>
      <c r="E1108" t="s">
        <v>330</v>
      </c>
      <c r="F1108" t="s">
        <v>2356</v>
      </c>
      <c r="G1108" t="str">
        <f>"00276342"</f>
        <v>00276342</v>
      </c>
      <c r="H1108" t="s">
        <v>827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43</v>
      </c>
      <c r="W1108">
        <v>301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2357</v>
      </c>
    </row>
    <row r="1109" spans="1:30" x14ac:dyDescent="0.25">
      <c r="H1109" t="s">
        <v>2358</v>
      </c>
    </row>
    <row r="1110" spans="1:30" x14ac:dyDescent="0.25">
      <c r="A1110">
        <v>552</v>
      </c>
      <c r="B1110">
        <v>1399</v>
      </c>
      <c r="C1110" t="s">
        <v>2359</v>
      </c>
      <c r="D1110" t="s">
        <v>2360</v>
      </c>
      <c r="E1110" t="s">
        <v>262</v>
      </c>
      <c r="F1110" t="s">
        <v>2361</v>
      </c>
      <c r="G1110" t="str">
        <f>"201406003894"</f>
        <v>201406003894</v>
      </c>
      <c r="H1110" t="s">
        <v>1335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50</v>
      </c>
      <c r="O1110">
        <v>30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35</v>
      </c>
      <c r="W1110">
        <v>245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2362</v>
      </c>
    </row>
    <row r="1111" spans="1:30" x14ac:dyDescent="0.25">
      <c r="H1111" t="s">
        <v>2363</v>
      </c>
    </row>
    <row r="1112" spans="1:30" x14ac:dyDescent="0.25">
      <c r="A1112">
        <v>553</v>
      </c>
      <c r="B1112">
        <v>5498</v>
      </c>
      <c r="C1112" t="s">
        <v>2364</v>
      </c>
      <c r="D1112" t="s">
        <v>33</v>
      </c>
      <c r="E1112" t="s">
        <v>220</v>
      </c>
      <c r="F1112" t="s">
        <v>2365</v>
      </c>
      <c r="G1112" t="str">
        <f>"00195840"</f>
        <v>00195840</v>
      </c>
      <c r="H1112" t="s">
        <v>1958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35</v>
      </c>
      <c r="W1112">
        <v>245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2366</v>
      </c>
    </row>
    <row r="1113" spans="1:30" x14ac:dyDescent="0.25">
      <c r="H1113" t="s">
        <v>2367</v>
      </c>
    </row>
    <row r="1114" spans="1:30" x14ac:dyDescent="0.25">
      <c r="A1114">
        <v>554</v>
      </c>
      <c r="B1114">
        <v>4820</v>
      </c>
      <c r="C1114" t="s">
        <v>2368</v>
      </c>
      <c r="D1114" t="s">
        <v>749</v>
      </c>
      <c r="E1114" t="s">
        <v>93</v>
      </c>
      <c r="F1114" t="s">
        <v>2369</v>
      </c>
      <c r="G1114" t="str">
        <f>"201406013079"</f>
        <v>201406013079</v>
      </c>
      <c r="H1114" t="s">
        <v>946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44</v>
      </c>
      <c r="W1114">
        <v>308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2370</v>
      </c>
    </row>
    <row r="1115" spans="1:30" x14ac:dyDescent="0.25">
      <c r="H1115" t="s">
        <v>2371</v>
      </c>
    </row>
    <row r="1116" spans="1:30" x14ac:dyDescent="0.25">
      <c r="A1116">
        <v>555</v>
      </c>
      <c r="B1116">
        <v>3212</v>
      </c>
      <c r="C1116" t="s">
        <v>2372</v>
      </c>
      <c r="D1116" t="s">
        <v>604</v>
      </c>
      <c r="E1116" t="s">
        <v>44</v>
      </c>
      <c r="F1116" t="s">
        <v>2373</v>
      </c>
      <c r="G1116" t="str">
        <f>"00252244"</f>
        <v>00252244</v>
      </c>
      <c r="H1116" t="s">
        <v>2374</v>
      </c>
      <c r="I1116">
        <v>0</v>
      </c>
      <c r="J1116">
        <v>0</v>
      </c>
      <c r="K1116">
        <v>0</v>
      </c>
      <c r="L1116">
        <v>0</v>
      </c>
      <c r="M1116">
        <v>100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24</v>
      </c>
      <c r="W1116">
        <v>168</v>
      </c>
      <c r="X1116">
        <v>0</v>
      </c>
      <c r="Z1116">
        <v>2</v>
      </c>
      <c r="AA1116">
        <v>0</v>
      </c>
      <c r="AB1116">
        <v>0</v>
      </c>
      <c r="AC1116">
        <v>0</v>
      </c>
      <c r="AD1116" t="s">
        <v>2375</v>
      </c>
    </row>
    <row r="1117" spans="1:30" x14ac:dyDescent="0.25">
      <c r="H1117" t="s">
        <v>2376</v>
      </c>
    </row>
    <row r="1118" spans="1:30" x14ac:dyDescent="0.25">
      <c r="A1118">
        <v>556</v>
      </c>
      <c r="B1118">
        <v>1602</v>
      </c>
      <c r="C1118" t="s">
        <v>2377</v>
      </c>
      <c r="D1118" t="s">
        <v>2378</v>
      </c>
      <c r="E1118" t="s">
        <v>107</v>
      </c>
      <c r="F1118" t="s">
        <v>2379</v>
      </c>
      <c r="G1118" t="str">
        <f>"00217538"</f>
        <v>00217538</v>
      </c>
      <c r="H1118" t="s">
        <v>717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42</v>
      </c>
      <c r="W1118">
        <v>294</v>
      </c>
      <c r="X1118">
        <v>0</v>
      </c>
      <c r="Z1118">
        <v>2</v>
      </c>
      <c r="AA1118">
        <v>0</v>
      </c>
      <c r="AB1118">
        <v>0</v>
      </c>
      <c r="AC1118">
        <v>0</v>
      </c>
      <c r="AD1118" t="s">
        <v>2380</v>
      </c>
    </row>
    <row r="1119" spans="1:30" x14ac:dyDescent="0.25">
      <c r="H1119" t="s">
        <v>2381</v>
      </c>
    </row>
    <row r="1120" spans="1:30" x14ac:dyDescent="0.25">
      <c r="A1120">
        <v>557</v>
      </c>
      <c r="B1120">
        <v>3586</v>
      </c>
      <c r="C1120" t="s">
        <v>2382</v>
      </c>
      <c r="D1120" t="s">
        <v>107</v>
      </c>
      <c r="E1120" t="s">
        <v>1099</v>
      </c>
      <c r="F1120" t="s">
        <v>2383</v>
      </c>
      <c r="G1120" t="str">
        <f>"00004688"</f>
        <v>00004688</v>
      </c>
      <c r="H1120" t="s">
        <v>1357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43</v>
      </c>
      <c r="W1120">
        <v>301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2384</v>
      </c>
    </row>
    <row r="1121" spans="1:30" x14ac:dyDescent="0.25">
      <c r="H1121" t="s">
        <v>2385</v>
      </c>
    </row>
    <row r="1122" spans="1:30" x14ac:dyDescent="0.25">
      <c r="A1122">
        <v>558</v>
      </c>
      <c r="B1122">
        <v>1169</v>
      </c>
      <c r="C1122" t="s">
        <v>2386</v>
      </c>
      <c r="D1122" t="s">
        <v>2387</v>
      </c>
      <c r="E1122" t="s">
        <v>2388</v>
      </c>
      <c r="F1122" t="s">
        <v>2389</v>
      </c>
      <c r="G1122" t="str">
        <f>"201401001990"</f>
        <v>201401001990</v>
      </c>
      <c r="H1122">
        <v>682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15</v>
      </c>
      <c r="W1122">
        <v>105</v>
      </c>
      <c r="X1122">
        <v>0</v>
      </c>
      <c r="Z1122">
        <v>0</v>
      </c>
      <c r="AA1122">
        <v>0</v>
      </c>
      <c r="AB1122">
        <v>0</v>
      </c>
      <c r="AC1122">
        <v>0</v>
      </c>
      <c r="AD1122">
        <v>1057</v>
      </c>
    </row>
    <row r="1123" spans="1:30" x14ac:dyDescent="0.25">
      <c r="H1123" t="s">
        <v>2390</v>
      </c>
    </row>
    <row r="1124" spans="1:30" x14ac:dyDescent="0.25">
      <c r="A1124">
        <v>559</v>
      </c>
      <c r="B1124">
        <v>2842</v>
      </c>
      <c r="C1124" t="s">
        <v>2391</v>
      </c>
      <c r="D1124" t="s">
        <v>92</v>
      </c>
      <c r="E1124" t="s">
        <v>24</v>
      </c>
      <c r="F1124" t="s">
        <v>2392</v>
      </c>
      <c r="G1124" t="str">
        <f>"200809000793"</f>
        <v>200809000793</v>
      </c>
      <c r="H1124" t="s">
        <v>588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41</v>
      </c>
      <c r="W1124">
        <v>287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2393</v>
      </c>
    </row>
    <row r="1125" spans="1:30" x14ac:dyDescent="0.25">
      <c r="H1125" t="s">
        <v>2394</v>
      </c>
    </row>
    <row r="1126" spans="1:30" x14ac:dyDescent="0.25">
      <c r="A1126">
        <v>560</v>
      </c>
      <c r="B1126">
        <v>6170</v>
      </c>
      <c r="C1126" t="s">
        <v>2395</v>
      </c>
      <c r="D1126" t="s">
        <v>604</v>
      </c>
      <c r="E1126" t="s">
        <v>1659</v>
      </c>
      <c r="F1126" t="s">
        <v>2396</v>
      </c>
      <c r="G1126" t="str">
        <f>"00369157"</f>
        <v>00369157</v>
      </c>
      <c r="H1126" t="s">
        <v>2312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50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30</v>
      </c>
      <c r="W1126">
        <v>210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2397</v>
      </c>
    </row>
    <row r="1127" spans="1:30" x14ac:dyDescent="0.25">
      <c r="H1127">
        <v>1201</v>
      </c>
    </row>
    <row r="1128" spans="1:30" x14ac:dyDescent="0.25">
      <c r="A1128">
        <v>561</v>
      </c>
      <c r="B1128">
        <v>563</v>
      </c>
      <c r="C1128" t="s">
        <v>2398</v>
      </c>
      <c r="D1128" t="s">
        <v>2399</v>
      </c>
      <c r="E1128" t="s">
        <v>24</v>
      </c>
      <c r="F1128" t="s">
        <v>2400</v>
      </c>
      <c r="G1128" t="str">
        <f>"200712002330"</f>
        <v>200712002330</v>
      </c>
      <c r="H1128" t="s">
        <v>388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50</v>
      </c>
      <c r="O1128">
        <v>0</v>
      </c>
      <c r="P1128">
        <v>0</v>
      </c>
      <c r="Q1128">
        <v>30</v>
      </c>
      <c r="R1128">
        <v>0</v>
      </c>
      <c r="S1128">
        <v>0</v>
      </c>
      <c r="T1128">
        <v>0</v>
      </c>
      <c r="U1128">
        <v>0</v>
      </c>
      <c r="V1128">
        <v>34</v>
      </c>
      <c r="W1128">
        <v>238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2401</v>
      </c>
    </row>
    <row r="1129" spans="1:30" x14ac:dyDescent="0.25">
      <c r="H1129" t="s">
        <v>2402</v>
      </c>
    </row>
    <row r="1130" spans="1:30" x14ac:dyDescent="0.25">
      <c r="A1130">
        <v>562</v>
      </c>
      <c r="B1130">
        <v>3512</v>
      </c>
      <c r="C1130" t="s">
        <v>2403</v>
      </c>
      <c r="D1130" t="s">
        <v>154</v>
      </c>
      <c r="E1130" t="s">
        <v>107</v>
      </c>
      <c r="F1130" t="s">
        <v>2404</v>
      </c>
      <c r="G1130" t="str">
        <f>"201511028760"</f>
        <v>201511028760</v>
      </c>
      <c r="H1130">
        <v>726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42</v>
      </c>
      <c r="W1130">
        <v>294</v>
      </c>
      <c r="X1130">
        <v>0</v>
      </c>
      <c r="Z1130">
        <v>2</v>
      </c>
      <c r="AA1130">
        <v>0</v>
      </c>
      <c r="AB1130">
        <v>0</v>
      </c>
      <c r="AC1130">
        <v>0</v>
      </c>
      <c r="AD1130">
        <v>1050</v>
      </c>
    </row>
    <row r="1131" spans="1:30" x14ac:dyDescent="0.25">
      <c r="H1131" t="s">
        <v>2405</v>
      </c>
    </row>
    <row r="1132" spans="1:30" x14ac:dyDescent="0.25">
      <c r="A1132">
        <v>563</v>
      </c>
      <c r="B1132">
        <v>3007</v>
      </c>
      <c r="C1132" t="s">
        <v>2406</v>
      </c>
      <c r="D1132" t="s">
        <v>34</v>
      </c>
      <c r="E1132" t="s">
        <v>511</v>
      </c>
      <c r="F1132" t="s">
        <v>2407</v>
      </c>
      <c r="G1132" t="str">
        <f>"00333224"</f>
        <v>00333224</v>
      </c>
      <c r="H1132" t="s">
        <v>2408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51</v>
      </c>
      <c r="W1132">
        <v>357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2409</v>
      </c>
    </row>
    <row r="1133" spans="1:30" x14ac:dyDescent="0.25">
      <c r="H1133" t="s">
        <v>2410</v>
      </c>
    </row>
    <row r="1134" spans="1:30" x14ac:dyDescent="0.25">
      <c r="A1134">
        <v>564</v>
      </c>
      <c r="B1134">
        <v>3472</v>
      </c>
      <c r="C1134" t="s">
        <v>2411</v>
      </c>
      <c r="D1134" t="s">
        <v>274</v>
      </c>
      <c r="E1134" t="s">
        <v>34</v>
      </c>
      <c r="F1134" t="s">
        <v>2412</v>
      </c>
      <c r="G1134" t="str">
        <f>"200809000321"</f>
        <v>200809000321</v>
      </c>
      <c r="H1134">
        <v>836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50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23</v>
      </c>
      <c r="W1134">
        <v>161</v>
      </c>
      <c r="X1134">
        <v>0</v>
      </c>
      <c r="Z1134">
        <v>0</v>
      </c>
      <c r="AA1134">
        <v>0</v>
      </c>
      <c r="AB1134">
        <v>0</v>
      </c>
      <c r="AC1134">
        <v>0</v>
      </c>
      <c r="AD1134">
        <v>1047</v>
      </c>
    </row>
    <row r="1135" spans="1:30" x14ac:dyDescent="0.25">
      <c r="H1135" t="s">
        <v>2413</v>
      </c>
    </row>
    <row r="1136" spans="1:30" x14ac:dyDescent="0.25">
      <c r="A1136">
        <v>565</v>
      </c>
      <c r="B1136">
        <v>2082</v>
      </c>
      <c r="C1136" t="s">
        <v>2414</v>
      </c>
      <c r="D1136" t="s">
        <v>185</v>
      </c>
      <c r="E1136" t="s">
        <v>93</v>
      </c>
      <c r="F1136" t="s">
        <v>2415</v>
      </c>
      <c r="G1136" t="str">
        <f>"201511041807"</f>
        <v>201511041807</v>
      </c>
      <c r="H1136" t="s">
        <v>72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</v>
      </c>
      <c r="W1136">
        <v>56</v>
      </c>
      <c r="X1136">
        <v>0</v>
      </c>
      <c r="Z1136">
        <v>0</v>
      </c>
      <c r="AA1136">
        <v>0</v>
      </c>
      <c r="AB1136">
        <v>12</v>
      </c>
      <c r="AC1136">
        <v>204</v>
      </c>
      <c r="AD1136" t="s">
        <v>2416</v>
      </c>
    </row>
    <row r="1137" spans="1:30" x14ac:dyDescent="0.25">
      <c r="H1137" t="s">
        <v>2417</v>
      </c>
    </row>
    <row r="1138" spans="1:30" x14ac:dyDescent="0.25">
      <c r="A1138">
        <v>566</v>
      </c>
      <c r="B1138">
        <v>2196</v>
      </c>
      <c r="C1138" t="s">
        <v>2418</v>
      </c>
      <c r="D1138" t="s">
        <v>2419</v>
      </c>
      <c r="E1138" t="s">
        <v>44</v>
      </c>
      <c r="F1138" t="s">
        <v>2420</v>
      </c>
      <c r="G1138" t="str">
        <f>"00265540"</f>
        <v>00265540</v>
      </c>
      <c r="H1138" t="s">
        <v>2421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50</v>
      </c>
      <c r="R1138">
        <v>0</v>
      </c>
      <c r="S1138">
        <v>0</v>
      </c>
      <c r="T1138">
        <v>0</v>
      </c>
      <c r="U1138">
        <v>0</v>
      </c>
      <c r="V1138">
        <v>18</v>
      </c>
      <c r="W1138">
        <v>126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2422</v>
      </c>
    </row>
    <row r="1139" spans="1:30" x14ac:dyDescent="0.25">
      <c r="H1139" t="s">
        <v>2423</v>
      </c>
    </row>
    <row r="1140" spans="1:30" x14ac:dyDescent="0.25">
      <c r="A1140">
        <v>567</v>
      </c>
      <c r="B1140">
        <v>4209</v>
      </c>
      <c r="C1140" t="s">
        <v>579</v>
      </c>
      <c r="D1140" t="s">
        <v>154</v>
      </c>
      <c r="E1140" t="s">
        <v>55</v>
      </c>
      <c r="F1140" t="s">
        <v>2424</v>
      </c>
      <c r="G1140" t="str">
        <f>"00157724"</f>
        <v>00157724</v>
      </c>
      <c r="H1140" t="s">
        <v>309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29</v>
      </c>
      <c r="W1140">
        <v>203</v>
      </c>
      <c r="X1140">
        <v>0</v>
      </c>
      <c r="Z1140">
        <v>1</v>
      </c>
      <c r="AA1140">
        <v>0</v>
      </c>
      <c r="AB1140">
        <v>0</v>
      </c>
      <c r="AC1140">
        <v>0</v>
      </c>
      <c r="AD1140" t="s">
        <v>2425</v>
      </c>
    </row>
    <row r="1141" spans="1:30" x14ac:dyDescent="0.25">
      <c r="H1141" t="s">
        <v>2426</v>
      </c>
    </row>
    <row r="1142" spans="1:30" x14ac:dyDescent="0.25">
      <c r="A1142">
        <v>568</v>
      </c>
      <c r="B1142">
        <v>4034</v>
      </c>
      <c r="C1142" t="s">
        <v>2427</v>
      </c>
      <c r="D1142" t="s">
        <v>185</v>
      </c>
      <c r="E1142" t="s">
        <v>55</v>
      </c>
      <c r="F1142" t="s">
        <v>2428</v>
      </c>
      <c r="G1142" t="str">
        <f>"00316606"</f>
        <v>00316606</v>
      </c>
      <c r="H1142" t="s">
        <v>1387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12</v>
      </c>
      <c r="W1142">
        <v>84</v>
      </c>
      <c r="X1142">
        <v>0</v>
      </c>
      <c r="Z1142">
        <v>0</v>
      </c>
      <c r="AA1142">
        <v>0</v>
      </c>
      <c r="AB1142">
        <v>10</v>
      </c>
      <c r="AC1142">
        <v>170</v>
      </c>
      <c r="AD1142" t="s">
        <v>2429</v>
      </c>
    </row>
    <row r="1143" spans="1:30" x14ac:dyDescent="0.25">
      <c r="H1143" t="s">
        <v>2430</v>
      </c>
    </row>
    <row r="1144" spans="1:30" x14ac:dyDescent="0.25">
      <c r="A1144">
        <v>569</v>
      </c>
      <c r="B1144">
        <v>1564</v>
      </c>
      <c r="C1144" t="s">
        <v>2431</v>
      </c>
      <c r="D1144" t="s">
        <v>358</v>
      </c>
      <c r="E1144" t="s">
        <v>44</v>
      </c>
      <c r="F1144" t="s">
        <v>2432</v>
      </c>
      <c r="G1144" t="str">
        <f>"00209073"</f>
        <v>00209073</v>
      </c>
      <c r="H1144" t="s">
        <v>2433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5</v>
      </c>
      <c r="W1144">
        <v>35</v>
      </c>
      <c r="X1144">
        <v>0</v>
      </c>
      <c r="Z1144">
        <v>0</v>
      </c>
      <c r="AA1144">
        <v>0</v>
      </c>
      <c r="AB1144">
        <v>13</v>
      </c>
      <c r="AC1144">
        <v>221</v>
      </c>
      <c r="AD1144" t="s">
        <v>2434</v>
      </c>
    </row>
    <row r="1145" spans="1:30" x14ac:dyDescent="0.25">
      <c r="H1145" t="s">
        <v>2435</v>
      </c>
    </row>
    <row r="1146" spans="1:30" x14ac:dyDescent="0.25">
      <c r="A1146">
        <v>570</v>
      </c>
      <c r="B1146">
        <v>5869</v>
      </c>
      <c r="C1146" t="s">
        <v>2436</v>
      </c>
      <c r="D1146" t="s">
        <v>28</v>
      </c>
      <c r="E1146" t="s">
        <v>44</v>
      </c>
      <c r="F1146" t="s">
        <v>2437</v>
      </c>
      <c r="G1146" t="str">
        <f>"00354024"</f>
        <v>00354024</v>
      </c>
      <c r="H1146">
        <v>627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54</v>
      </c>
      <c r="W1146">
        <v>378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1035</v>
      </c>
    </row>
    <row r="1147" spans="1:30" x14ac:dyDescent="0.25">
      <c r="H1147" t="s">
        <v>2438</v>
      </c>
    </row>
    <row r="1148" spans="1:30" x14ac:dyDescent="0.25">
      <c r="A1148">
        <v>571</v>
      </c>
      <c r="B1148">
        <v>3504</v>
      </c>
      <c r="C1148" t="s">
        <v>2439</v>
      </c>
      <c r="D1148" t="s">
        <v>140</v>
      </c>
      <c r="E1148" t="s">
        <v>359</v>
      </c>
      <c r="F1148" t="s">
        <v>2440</v>
      </c>
      <c r="G1148" t="str">
        <f>"200802007469"</f>
        <v>200802007469</v>
      </c>
      <c r="H1148" t="s">
        <v>2441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45</v>
      </c>
      <c r="W1148">
        <v>315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2442</v>
      </c>
    </row>
    <row r="1149" spans="1:30" x14ac:dyDescent="0.25">
      <c r="H1149" t="s">
        <v>2443</v>
      </c>
    </row>
    <row r="1150" spans="1:30" x14ac:dyDescent="0.25">
      <c r="A1150">
        <v>572</v>
      </c>
      <c r="B1150">
        <v>1274</v>
      </c>
      <c r="C1150" t="s">
        <v>2444</v>
      </c>
      <c r="D1150" t="s">
        <v>2445</v>
      </c>
      <c r="E1150" t="s">
        <v>34</v>
      </c>
      <c r="F1150" t="s">
        <v>2446</v>
      </c>
      <c r="G1150" t="str">
        <f>"00088751"</f>
        <v>00088751</v>
      </c>
      <c r="H1150">
        <v>770</v>
      </c>
      <c r="I1150">
        <v>0</v>
      </c>
      <c r="J1150">
        <v>0</v>
      </c>
      <c r="K1150">
        <v>0</v>
      </c>
      <c r="L1150">
        <v>0</v>
      </c>
      <c r="M1150">
        <v>100</v>
      </c>
      <c r="N1150">
        <v>50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16</v>
      </c>
      <c r="W1150">
        <v>112</v>
      </c>
      <c r="X1150">
        <v>0</v>
      </c>
      <c r="Z1150">
        <v>2</v>
      </c>
      <c r="AA1150">
        <v>0</v>
      </c>
      <c r="AB1150">
        <v>0</v>
      </c>
      <c r="AC1150">
        <v>0</v>
      </c>
      <c r="AD1150">
        <v>1032</v>
      </c>
    </row>
    <row r="1151" spans="1:30" x14ac:dyDescent="0.25">
      <c r="H1151" t="s">
        <v>2447</v>
      </c>
    </row>
    <row r="1152" spans="1:30" x14ac:dyDescent="0.25">
      <c r="A1152">
        <v>573</v>
      </c>
      <c r="B1152">
        <v>1267</v>
      </c>
      <c r="C1152" t="s">
        <v>2448</v>
      </c>
      <c r="D1152" t="s">
        <v>23</v>
      </c>
      <c r="E1152" t="s">
        <v>55</v>
      </c>
      <c r="F1152" t="s">
        <v>2449</v>
      </c>
      <c r="G1152" t="str">
        <f>"00147493"</f>
        <v>00147493</v>
      </c>
      <c r="H1152" t="s">
        <v>291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1</v>
      </c>
      <c r="W1152">
        <v>7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2450</v>
      </c>
    </row>
    <row r="1153" spans="1:30" x14ac:dyDescent="0.25">
      <c r="H1153" t="s">
        <v>2451</v>
      </c>
    </row>
    <row r="1154" spans="1:30" x14ac:dyDescent="0.25">
      <c r="A1154">
        <v>574</v>
      </c>
      <c r="B1154">
        <v>5379</v>
      </c>
      <c r="C1154" t="s">
        <v>2452</v>
      </c>
      <c r="D1154" t="s">
        <v>69</v>
      </c>
      <c r="E1154" t="s">
        <v>28</v>
      </c>
      <c r="F1154" t="s">
        <v>2453</v>
      </c>
      <c r="G1154" t="str">
        <f>"201511025650"</f>
        <v>201511025650</v>
      </c>
      <c r="H1154">
        <v>748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36</v>
      </c>
      <c r="W1154">
        <v>252</v>
      </c>
      <c r="X1154">
        <v>0</v>
      </c>
      <c r="Z1154">
        <v>0</v>
      </c>
      <c r="AA1154">
        <v>0</v>
      </c>
      <c r="AB1154">
        <v>0</v>
      </c>
      <c r="AC1154">
        <v>0</v>
      </c>
      <c r="AD1154">
        <v>1030</v>
      </c>
    </row>
    <row r="1155" spans="1:30" x14ac:dyDescent="0.25">
      <c r="H1155" t="s">
        <v>2454</v>
      </c>
    </row>
    <row r="1156" spans="1:30" x14ac:dyDescent="0.25">
      <c r="A1156">
        <v>575</v>
      </c>
      <c r="B1156">
        <v>2887</v>
      </c>
      <c r="C1156" t="s">
        <v>2455</v>
      </c>
      <c r="D1156" t="s">
        <v>55</v>
      </c>
      <c r="E1156" t="s">
        <v>2456</v>
      </c>
      <c r="F1156" t="s">
        <v>2457</v>
      </c>
      <c r="G1156" t="str">
        <f>"201606000143"</f>
        <v>201606000143</v>
      </c>
      <c r="H1156" t="s">
        <v>1157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70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4</v>
      </c>
      <c r="W1156">
        <v>28</v>
      </c>
      <c r="X1156">
        <v>0</v>
      </c>
      <c r="Z1156">
        <v>0</v>
      </c>
      <c r="AA1156">
        <v>0</v>
      </c>
      <c r="AB1156">
        <v>2</v>
      </c>
      <c r="AC1156">
        <v>34</v>
      </c>
      <c r="AD1156" t="s">
        <v>2458</v>
      </c>
    </row>
    <row r="1157" spans="1:30" x14ac:dyDescent="0.25">
      <c r="H1157" t="s">
        <v>2459</v>
      </c>
    </row>
    <row r="1158" spans="1:30" x14ac:dyDescent="0.25">
      <c r="A1158">
        <v>576</v>
      </c>
      <c r="B1158">
        <v>1583</v>
      </c>
      <c r="C1158" t="s">
        <v>2460</v>
      </c>
      <c r="D1158" t="s">
        <v>55</v>
      </c>
      <c r="E1158" t="s">
        <v>107</v>
      </c>
      <c r="F1158" t="s">
        <v>2461</v>
      </c>
      <c r="G1158" t="str">
        <f>"201309000138"</f>
        <v>201309000138</v>
      </c>
      <c r="H1158" t="s">
        <v>2462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70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44</v>
      </c>
      <c r="W1158">
        <v>308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2463</v>
      </c>
    </row>
    <row r="1159" spans="1:30" x14ac:dyDescent="0.25">
      <c r="H1159" t="s">
        <v>2464</v>
      </c>
    </row>
    <row r="1160" spans="1:30" x14ac:dyDescent="0.25">
      <c r="A1160">
        <v>577</v>
      </c>
      <c r="B1160">
        <v>4623</v>
      </c>
      <c r="C1160" t="s">
        <v>2465</v>
      </c>
      <c r="D1160" t="s">
        <v>566</v>
      </c>
      <c r="E1160" t="s">
        <v>34</v>
      </c>
      <c r="F1160" t="s">
        <v>2466</v>
      </c>
      <c r="G1160" t="str">
        <f>"00349994"</f>
        <v>00349994</v>
      </c>
      <c r="H1160" t="s">
        <v>1494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47</v>
      </c>
      <c r="W1160">
        <v>329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2467</v>
      </c>
    </row>
    <row r="1161" spans="1:30" x14ac:dyDescent="0.25">
      <c r="H1161" t="s">
        <v>2468</v>
      </c>
    </row>
    <row r="1162" spans="1:30" x14ac:dyDescent="0.25">
      <c r="A1162">
        <v>578</v>
      </c>
      <c r="B1162">
        <v>1047</v>
      </c>
      <c r="C1162" t="s">
        <v>2469</v>
      </c>
      <c r="D1162" t="s">
        <v>2470</v>
      </c>
      <c r="E1162" t="s">
        <v>107</v>
      </c>
      <c r="F1162" t="s">
        <v>2471</v>
      </c>
      <c r="G1162" t="str">
        <f>"201402002752"</f>
        <v>201402002752</v>
      </c>
      <c r="H1162" t="s">
        <v>2441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44</v>
      </c>
      <c r="W1162">
        <v>308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2472</v>
      </c>
    </row>
    <row r="1163" spans="1:30" x14ac:dyDescent="0.25">
      <c r="H1163" t="s">
        <v>897</v>
      </c>
    </row>
    <row r="1164" spans="1:30" x14ac:dyDescent="0.25">
      <c r="A1164">
        <v>579</v>
      </c>
      <c r="B1164">
        <v>848</v>
      </c>
      <c r="C1164" t="s">
        <v>2473</v>
      </c>
      <c r="D1164" t="s">
        <v>1098</v>
      </c>
      <c r="E1164" t="s">
        <v>107</v>
      </c>
      <c r="F1164" t="s">
        <v>2474</v>
      </c>
      <c r="G1164" t="str">
        <f>"00015467"</f>
        <v>00015467</v>
      </c>
      <c r="H1164" t="s">
        <v>102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2475</v>
      </c>
    </row>
    <row r="1165" spans="1:30" x14ac:dyDescent="0.25">
      <c r="H1165" t="s">
        <v>2476</v>
      </c>
    </row>
    <row r="1166" spans="1:30" x14ac:dyDescent="0.25">
      <c r="A1166">
        <v>580</v>
      </c>
      <c r="B1166">
        <v>291</v>
      </c>
      <c r="C1166" t="s">
        <v>579</v>
      </c>
      <c r="D1166" t="s">
        <v>55</v>
      </c>
      <c r="E1166" t="s">
        <v>2153</v>
      </c>
      <c r="F1166" t="s">
        <v>2477</v>
      </c>
      <c r="G1166" t="str">
        <f>"200802002080"</f>
        <v>200802002080</v>
      </c>
      <c r="H1166" t="s">
        <v>2478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50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49</v>
      </c>
      <c r="W1166">
        <v>343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2479</v>
      </c>
    </row>
    <row r="1167" spans="1:30" x14ac:dyDescent="0.25">
      <c r="H1167" t="s">
        <v>2480</v>
      </c>
    </row>
    <row r="1168" spans="1:30" x14ac:dyDescent="0.25">
      <c r="A1168">
        <v>581</v>
      </c>
      <c r="B1168">
        <v>3971</v>
      </c>
      <c r="C1168" t="s">
        <v>2481</v>
      </c>
      <c r="D1168" t="s">
        <v>33</v>
      </c>
      <c r="E1168" t="s">
        <v>122</v>
      </c>
      <c r="F1168" t="s">
        <v>2482</v>
      </c>
      <c r="G1168" t="str">
        <f>"00088727"</f>
        <v>00088727</v>
      </c>
      <c r="H1168" t="s">
        <v>787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45</v>
      </c>
      <c r="W1168">
        <v>315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2483</v>
      </c>
    </row>
    <row r="1169" spans="1:30" x14ac:dyDescent="0.25">
      <c r="H1169" t="s">
        <v>2484</v>
      </c>
    </row>
    <row r="1170" spans="1:30" x14ac:dyDescent="0.25">
      <c r="A1170">
        <v>582</v>
      </c>
      <c r="B1170">
        <v>3835</v>
      </c>
      <c r="C1170" t="s">
        <v>2485</v>
      </c>
      <c r="D1170" t="s">
        <v>246</v>
      </c>
      <c r="E1170" t="s">
        <v>100</v>
      </c>
      <c r="F1170" t="s">
        <v>2486</v>
      </c>
      <c r="G1170" t="str">
        <f>"00206619"</f>
        <v>00206619</v>
      </c>
      <c r="H1170">
        <v>649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49</v>
      </c>
      <c r="W1170">
        <v>343</v>
      </c>
      <c r="X1170">
        <v>0</v>
      </c>
      <c r="Z1170">
        <v>0</v>
      </c>
      <c r="AA1170">
        <v>0</v>
      </c>
      <c r="AB1170">
        <v>0</v>
      </c>
      <c r="AC1170">
        <v>0</v>
      </c>
      <c r="AD1170">
        <v>1022</v>
      </c>
    </row>
    <row r="1171" spans="1:30" x14ac:dyDescent="0.25">
      <c r="H1171" t="s">
        <v>2487</v>
      </c>
    </row>
    <row r="1172" spans="1:30" x14ac:dyDescent="0.25">
      <c r="A1172">
        <v>583</v>
      </c>
      <c r="B1172">
        <v>2604</v>
      </c>
      <c r="C1172" t="s">
        <v>2488</v>
      </c>
      <c r="D1172" t="s">
        <v>282</v>
      </c>
      <c r="E1172" t="s">
        <v>146</v>
      </c>
      <c r="F1172" t="s">
        <v>2489</v>
      </c>
      <c r="G1172" t="str">
        <f>"00252235"</f>
        <v>00252235</v>
      </c>
      <c r="H1172" t="s">
        <v>58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29</v>
      </c>
      <c r="W1172">
        <v>203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2490</v>
      </c>
    </row>
    <row r="1173" spans="1:30" x14ac:dyDescent="0.25">
      <c r="H1173" t="s">
        <v>2491</v>
      </c>
    </row>
    <row r="1174" spans="1:30" x14ac:dyDescent="0.25">
      <c r="A1174">
        <v>584</v>
      </c>
      <c r="B1174">
        <v>164</v>
      </c>
      <c r="C1174" t="s">
        <v>2492</v>
      </c>
      <c r="D1174" t="s">
        <v>688</v>
      </c>
      <c r="E1174" t="s">
        <v>359</v>
      </c>
      <c r="F1174" t="s">
        <v>2493</v>
      </c>
      <c r="G1174" t="str">
        <f>"00106960"</f>
        <v>00106960</v>
      </c>
      <c r="H1174" t="s">
        <v>2494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45</v>
      </c>
      <c r="W1174">
        <v>315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2495</v>
      </c>
    </row>
    <row r="1175" spans="1:30" x14ac:dyDescent="0.25">
      <c r="H1175" t="s">
        <v>2496</v>
      </c>
    </row>
    <row r="1176" spans="1:30" x14ac:dyDescent="0.25">
      <c r="A1176">
        <v>585</v>
      </c>
      <c r="B1176">
        <v>5907</v>
      </c>
      <c r="C1176" t="s">
        <v>2497</v>
      </c>
      <c r="D1176" t="s">
        <v>154</v>
      </c>
      <c r="E1176" t="s">
        <v>34</v>
      </c>
      <c r="F1176" t="s">
        <v>2498</v>
      </c>
      <c r="G1176" t="str">
        <f>"00107743"</f>
        <v>00107743</v>
      </c>
      <c r="H1176" t="s">
        <v>2167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70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16</v>
      </c>
      <c r="W1176">
        <v>112</v>
      </c>
      <c r="X1176">
        <v>0</v>
      </c>
      <c r="Z1176">
        <v>0</v>
      </c>
      <c r="AA1176">
        <v>0</v>
      </c>
      <c r="AB1176">
        <v>8</v>
      </c>
      <c r="AC1176">
        <v>136</v>
      </c>
      <c r="AD1176" t="s">
        <v>2499</v>
      </c>
    </row>
    <row r="1177" spans="1:30" x14ac:dyDescent="0.25">
      <c r="H1177" t="s">
        <v>2500</v>
      </c>
    </row>
    <row r="1178" spans="1:30" x14ac:dyDescent="0.25">
      <c r="A1178">
        <v>586</v>
      </c>
      <c r="B1178">
        <v>3710</v>
      </c>
      <c r="C1178" t="s">
        <v>2501</v>
      </c>
      <c r="D1178" t="s">
        <v>76</v>
      </c>
      <c r="E1178" t="s">
        <v>107</v>
      </c>
      <c r="F1178" t="s">
        <v>2502</v>
      </c>
      <c r="G1178" t="str">
        <f>"201406013282"</f>
        <v>201406013282</v>
      </c>
      <c r="H1178">
        <v>759</v>
      </c>
      <c r="I1178">
        <v>150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>
        <v>0</v>
      </c>
      <c r="AB1178">
        <v>2</v>
      </c>
      <c r="AC1178">
        <v>34</v>
      </c>
      <c r="AD1178">
        <v>1013</v>
      </c>
    </row>
    <row r="1179" spans="1:30" x14ac:dyDescent="0.25">
      <c r="H1179" t="s">
        <v>2503</v>
      </c>
    </row>
    <row r="1180" spans="1:30" x14ac:dyDescent="0.25">
      <c r="A1180">
        <v>587</v>
      </c>
      <c r="B1180">
        <v>5285</v>
      </c>
      <c r="C1180" t="s">
        <v>2504</v>
      </c>
      <c r="D1180" t="s">
        <v>185</v>
      </c>
      <c r="E1180" t="s">
        <v>34</v>
      </c>
      <c r="F1180" t="s">
        <v>2505</v>
      </c>
      <c r="G1180" t="str">
        <f>"00045972"</f>
        <v>00045972</v>
      </c>
      <c r="H1180">
        <v>737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35</v>
      </c>
      <c r="W1180">
        <v>245</v>
      </c>
      <c r="X1180">
        <v>0</v>
      </c>
      <c r="Z1180">
        <v>2</v>
      </c>
      <c r="AA1180">
        <v>0</v>
      </c>
      <c r="AB1180">
        <v>0</v>
      </c>
      <c r="AC1180">
        <v>0</v>
      </c>
      <c r="AD1180">
        <v>1012</v>
      </c>
    </row>
    <row r="1181" spans="1:30" x14ac:dyDescent="0.25">
      <c r="H1181" t="s">
        <v>847</v>
      </c>
    </row>
    <row r="1182" spans="1:30" x14ac:dyDescent="0.25">
      <c r="A1182">
        <v>588</v>
      </c>
      <c r="B1182">
        <v>2889</v>
      </c>
      <c r="C1182" t="s">
        <v>2506</v>
      </c>
      <c r="D1182" t="s">
        <v>55</v>
      </c>
      <c r="E1182" t="s">
        <v>86</v>
      </c>
      <c r="F1182" t="s">
        <v>2507</v>
      </c>
      <c r="G1182" t="str">
        <f>"201405001947"</f>
        <v>201405001947</v>
      </c>
      <c r="H1182" t="s">
        <v>2508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70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2509</v>
      </c>
    </row>
    <row r="1183" spans="1:30" x14ac:dyDescent="0.25">
      <c r="H1183" t="s">
        <v>2510</v>
      </c>
    </row>
    <row r="1184" spans="1:30" x14ac:dyDescent="0.25">
      <c r="A1184">
        <v>589</v>
      </c>
      <c r="B1184">
        <v>2675</v>
      </c>
      <c r="C1184" t="s">
        <v>2511</v>
      </c>
      <c r="D1184" t="s">
        <v>154</v>
      </c>
      <c r="E1184" t="s">
        <v>24</v>
      </c>
      <c r="F1184" t="s">
        <v>2512</v>
      </c>
      <c r="G1184" t="str">
        <f>"00186429"</f>
        <v>00186429</v>
      </c>
      <c r="H1184" t="s">
        <v>424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1</v>
      </c>
      <c r="W1184">
        <v>7</v>
      </c>
      <c r="X1184">
        <v>0</v>
      </c>
      <c r="Z1184">
        <v>0</v>
      </c>
      <c r="AA1184">
        <v>0</v>
      </c>
      <c r="AB1184">
        <v>10</v>
      </c>
      <c r="AC1184">
        <v>170</v>
      </c>
      <c r="AD1184" t="s">
        <v>2513</v>
      </c>
    </row>
    <row r="1185" spans="1:30" x14ac:dyDescent="0.25">
      <c r="H1185" t="s">
        <v>2514</v>
      </c>
    </row>
    <row r="1186" spans="1:30" x14ac:dyDescent="0.25">
      <c r="A1186">
        <v>590</v>
      </c>
      <c r="B1186">
        <v>5167</v>
      </c>
      <c r="C1186" t="s">
        <v>121</v>
      </c>
      <c r="D1186" t="s">
        <v>2515</v>
      </c>
      <c r="E1186" t="s">
        <v>526</v>
      </c>
      <c r="F1186" t="s">
        <v>2516</v>
      </c>
      <c r="G1186" t="str">
        <f>"00152490"</f>
        <v>00152490</v>
      </c>
      <c r="H1186" t="s">
        <v>1444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70</v>
      </c>
      <c r="O1186">
        <v>30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2517</v>
      </c>
    </row>
    <row r="1187" spans="1:30" x14ac:dyDescent="0.25">
      <c r="H1187" t="s">
        <v>2518</v>
      </c>
    </row>
    <row r="1188" spans="1:30" x14ac:dyDescent="0.25">
      <c r="A1188">
        <v>591</v>
      </c>
      <c r="B1188">
        <v>5772</v>
      </c>
      <c r="C1188" t="s">
        <v>2519</v>
      </c>
      <c r="D1188" t="s">
        <v>436</v>
      </c>
      <c r="E1188" t="s">
        <v>220</v>
      </c>
      <c r="F1188" t="s">
        <v>2520</v>
      </c>
      <c r="G1188" t="str">
        <f>"201511034632"</f>
        <v>201511034632</v>
      </c>
      <c r="H1188" t="s">
        <v>47</v>
      </c>
      <c r="I1188">
        <v>150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2521</v>
      </c>
    </row>
    <row r="1189" spans="1:30" x14ac:dyDescent="0.25">
      <c r="H1189" t="s">
        <v>2522</v>
      </c>
    </row>
    <row r="1190" spans="1:30" x14ac:dyDescent="0.25">
      <c r="A1190">
        <v>592</v>
      </c>
      <c r="B1190">
        <v>3826</v>
      </c>
      <c r="C1190" t="s">
        <v>2523</v>
      </c>
      <c r="D1190" t="s">
        <v>34</v>
      </c>
      <c r="E1190" t="s">
        <v>2524</v>
      </c>
      <c r="F1190" t="s">
        <v>2525</v>
      </c>
      <c r="G1190" t="str">
        <f>"00174139"</f>
        <v>00174139</v>
      </c>
      <c r="H1190" t="s">
        <v>2508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2</v>
      </c>
      <c r="AA1190">
        <v>0</v>
      </c>
      <c r="AB1190">
        <v>14</v>
      </c>
      <c r="AC1190">
        <v>238</v>
      </c>
      <c r="AD1190" t="s">
        <v>2521</v>
      </c>
    </row>
    <row r="1191" spans="1:30" x14ac:dyDescent="0.25">
      <c r="H1191" t="s">
        <v>2526</v>
      </c>
    </row>
    <row r="1192" spans="1:30" x14ac:dyDescent="0.25">
      <c r="A1192">
        <v>593</v>
      </c>
      <c r="B1192">
        <v>6268</v>
      </c>
      <c r="C1192" t="s">
        <v>2527</v>
      </c>
      <c r="D1192" t="s">
        <v>122</v>
      </c>
      <c r="E1192" t="s">
        <v>28</v>
      </c>
      <c r="F1192" t="s">
        <v>2528</v>
      </c>
      <c r="G1192" t="str">
        <f>"00146581"</f>
        <v>00146581</v>
      </c>
      <c r="H1192" t="s">
        <v>1921</v>
      </c>
      <c r="I1192">
        <v>0</v>
      </c>
      <c r="J1192">
        <v>0</v>
      </c>
      <c r="K1192">
        <v>0</v>
      </c>
      <c r="L1192">
        <v>200</v>
      </c>
      <c r="M1192">
        <v>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4</v>
      </c>
      <c r="W1192">
        <v>28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2529</v>
      </c>
    </row>
    <row r="1193" spans="1:30" x14ac:dyDescent="0.25">
      <c r="H1193" t="s">
        <v>2530</v>
      </c>
    </row>
    <row r="1194" spans="1:30" x14ac:dyDescent="0.25">
      <c r="A1194">
        <v>594</v>
      </c>
      <c r="B1194">
        <v>998</v>
      </c>
      <c r="C1194" t="s">
        <v>2531</v>
      </c>
      <c r="D1194" t="s">
        <v>24</v>
      </c>
      <c r="E1194" t="s">
        <v>34</v>
      </c>
      <c r="F1194" t="s">
        <v>2532</v>
      </c>
      <c r="G1194" t="str">
        <f>"201406011957"</f>
        <v>201406011957</v>
      </c>
      <c r="H1194" t="s">
        <v>817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23</v>
      </c>
      <c r="W1194">
        <v>161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236</v>
      </c>
    </row>
    <row r="1195" spans="1:30" x14ac:dyDescent="0.25">
      <c r="H1195" t="s">
        <v>2533</v>
      </c>
    </row>
    <row r="1196" spans="1:30" x14ac:dyDescent="0.25">
      <c r="A1196">
        <v>595</v>
      </c>
      <c r="B1196">
        <v>2499</v>
      </c>
      <c r="C1196" t="s">
        <v>2534</v>
      </c>
      <c r="D1196" t="s">
        <v>154</v>
      </c>
      <c r="E1196" t="s">
        <v>24</v>
      </c>
      <c r="F1196" t="s">
        <v>2535</v>
      </c>
      <c r="G1196" t="str">
        <f>"00329343"</f>
        <v>00329343</v>
      </c>
      <c r="H1196" t="s">
        <v>1793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33</v>
      </c>
      <c r="W1196">
        <v>231</v>
      </c>
      <c r="X1196">
        <v>0</v>
      </c>
      <c r="Z1196">
        <v>2</v>
      </c>
      <c r="AA1196">
        <v>0</v>
      </c>
      <c r="AB1196">
        <v>0</v>
      </c>
      <c r="AC1196">
        <v>0</v>
      </c>
      <c r="AD1196" t="s">
        <v>2536</v>
      </c>
    </row>
    <row r="1197" spans="1:30" x14ac:dyDescent="0.25">
      <c r="H1197" t="s">
        <v>2537</v>
      </c>
    </row>
    <row r="1198" spans="1:30" x14ac:dyDescent="0.25">
      <c r="A1198">
        <v>596</v>
      </c>
      <c r="B1198">
        <v>2916</v>
      </c>
      <c r="C1198" t="s">
        <v>2538</v>
      </c>
      <c r="D1198" t="s">
        <v>2539</v>
      </c>
      <c r="E1198" t="s">
        <v>526</v>
      </c>
      <c r="F1198" t="s">
        <v>2540</v>
      </c>
      <c r="G1198" t="str">
        <f>"00332849"</f>
        <v>00332849</v>
      </c>
      <c r="H1198" t="s">
        <v>2541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13</v>
      </c>
      <c r="W1198">
        <v>91</v>
      </c>
      <c r="X1198">
        <v>0</v>
      </c>
      <c r="Z1198">
        <v>2</v>
      </c>
      <c r="AA1198">
        <v>0</v>
      </c>
      <c r="AB1198">
        <v>0</v>
      </c>
      <c r="AC1198">
        <v>0</v>
      </c>
      <c r="AD1198" t="s">
        <v>2542</v>
      </c>
    </row>
    <row r="1199" spans="1:30" x14ac:dyDescent="0.25">
      <c r="H1199" t="s">
        <v>2543</v>
      </c>
    </row>
    <row r="1200" spans="1:30" x14ac:dyDescent="0.25">
      <c r="A1200">
        <v>597</v>
      </c>
      <c r="B1200">
        <v>2833</v>
      </c>
      <c r="C1200" t="s">
        <v>2544</v>
      </c>
      <c r="D1200" t="s">
        <v>319</v>
      </c>
      <c r="E1200" t="s">
        <v>2545</v>
      </c>
      <c r="F1200" t="s">
        <v>2546</v>
      </c>
      <c r="G1200" t="str">
        <f>"00221957"</f>
        <v>00221957</v>
      </c>
      <c r="H1200">
        <v>671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30</v>
      </c>
      <c r="R1200">
        <v>0</v>
      </c>
      <c r="S1200">
        <v>0</v>
      </c>
      <c r="T1200">
        <v>0</v>
      </c>
      <c r="U1200">
        <v>0</v>
      </c>
      <c r="V1200">
        <v>39</v>
      </c>
      <c r="W1200">
        <v>273</v>
      </c>
      <c r="X1200">
        <v>0</v>
      </c>
      <c r="Z1200">
        <v>0</v>
      </c>
      <c r="AA1200">
        <v>0</v>
      </c>
      <c r="AB1200">
        <v>0</v>
      </c>
      <c r="AC1200">
        <v>0</v>
      </c>
      <c r="AD1200">
        <v>1004</v>
      </c>
    </row>
    <row r="1201" spans="1:30" x14ac:dyDescent="0.25">
      <c r="H1201" t="s">
        <v>2547</v>
      </c>
    </row>
    <row r="1202" spans="1:30" x14ac:dyDescent="0.25">
      <c r="A1202">
        <v>598</v>
      </c>
      <c r="B1202">
        <v>2577</v>
      </c>
      <c r="C1202" t="s">
        <v>2548</v>
      </c>
      <c r="D1202" t="s">
        <v>246</v>
      </c>
      <c r="E1202" t="s">
        <v>93</v>
      </c>
      <c r="F1202" t="s">
        <v>2549</v>
      </c>
      <c r="G1202" t="str">
        <f>"00150763"</f>
        <v>00150763</v>
      </c>
      <c r="H1202">
        <v>682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30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17</v>
      </c>
      <c r="W1202">
        <v>119</v>
      </c>
      <c r="X1202">
        <v>0</v>
      </c>
      <c r="Z1202">
        <v>0</v>
      </c>
      <c r="AA1202">
        <v>0</v>
      </c>
      <c r="AB1202">
        <v>6</v>
      </c>
      <c r="AC1202">
        <v>102</v>
      </c>
      <c r="AD1202">
        <v>1003</v>
      </c>
    </row>
    <row r="1203" spans="1:30" x14ac:dyDescent="0.25">
      <c r="H1203" t="s">
        <v>2550</v>
      </c>
    </row>
    <row r="1204" spans="1:30" x14ac:dyDescent="0.25">
      <c r="A1204">
        <v>599</v>
      </c>
      <c r="B1204">
        <v>4084</v>
      </c>
      <c r="C1204" t="s">
        <v>2551</v>
      </c>
      <c r="D1204" t="s">
        <v>34</v>
      </c>
      <c r="E1204" t="s">
        <v>107</v>
      </c>
      <c r="F1204" t="s">
        <v>2552</v>
      </c>
      <c r="G1204" t="str">
        <f>"201402008325"</f>
        <v>201402008325</v>
      </c>
      <c r="H1204" t="s">
        <v>264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20</v>
      </c>
      <c r="W1204">
        <v>140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2553</v>
      </c>
    </row>
    <row r="1205" spans="1:30" x14ac:dyDescent="0.25">
      <c r="H1205" t="s">
        <v>2410</v>
      </c>
    </row>
    <row r="1206" spans="1:30" x14ac:dyDescent="0.25">
      <c r="A1206">
        <v>600</v>
      </c>
      <c r="B1206">
        <v>2306</v>
      </c>
      <c r="C1206" t="s">
        <v>2554</v>
      </c>
      <c r="D1206" t="s">
        <v>2555</v>
      </c>
      <c r="E1206" t="s">
        <v>28</v>
      </c>
      <c r="F1206" t="s">
        <v>2556</v>
      </c>
      <c r="G1206" t="str">
        <f>"201402002461"</f>
        <v>201402002461</v>
      </c>
      <c r="H1206" t="s">
        <v>264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14</v>
      </c>
      <c r="W1206">
        <v>98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2557</v>
      </c>
    </row>
    <row r="1207" spans="1:30" x14ac:dyDescent="0.25">
      <c r="H1207" t="s">
        <v>2558</v>
      </c>
    </row>
    <row r="1208" spans="1:30" x14ac:dyDescent="0.25">
      <c r="A1208">
        <v>601</v>
      </c>
      <c r="B1208">
        <v>1934</v>
      </c>
      <c r="C1208" t="s">
        <v>2559</v>
      </c>
      <c r="D1208" t="s">
        <v>2560</v>
      </c>
      <c r="E1208" t="s">
        <v>28</v>
      </c>
      <c r="F1208" t="s">
        <v>2561</v>
      </c>
      <c r="G1208" t="str">
        <f>"00145133"</f>
        <v>00145133</v>
      </c>
      <c r="H1208" t="s">
        <v>1335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50</v>
      </c>
      <c r="O1208">
        <v>0</v>
      </c>
      <c r="P1208">
        <v>0</v>
      </c>
      <c r="Q1208">
        <v>30</v>
      </c>
      <c r="R1208">
        <v>0</v>
      </c>
      <c r="S1208">
        <v>0</v>
      </c>
      <c r="T1208">
        <v>0</v>
      </c>
      <c r="U1208">
        <v>0</v>
      </c>
      <c r="V1208">
        <v>6</v>
      </c>
      <c r="W1208">
        <v>42</v>
      </c>
      <c r="X1208">
        <v>0</v>
      </c>
      <c r="Z1208">
        <v>0</v>
      </c>
      <c r="AA1208">
        <v>0</v>
      </c>
      <c r="AB1208">
        <v>8</v>
      </c>
      <c r="AC1208">
        <v>136</v>
      </c>
      <c r="AD1208" t="s">
        <v>2562</v>
      </c>
    </row>
    <row r="1209" spans="1:30" x14ac:dyDescent="0.25">
      <c r="H1209" t="s">
        <v>2563</v>
      </c>
    </row>
    <row r="1210" spans="1:30" x14ac:dyDescent="0.25">
      <c r="A1210">
        <v>602</v>
      </c>
      <c r="B1210">
        <v>3808</v>
      </c>
      <c r="C1210" t="s">
        <v>2564</v>
      </c>
      <c r="D1210" t="s">
        <v>210</v>
      </c>
      <c r="E1210" t="s">
        <v>834</v>
      </c>
      <c r="F1210" t="s">
        <v>2565</v>
      </c>
      <c r="G1210" t="str">
        <f>"00049555"</f>
        <v>00049555</v>
      </c>
      <c r="H1210">
        <v>770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28</v>
      </c>
      <c r="W1210">
        <v>196</v>
      </c>
      <c r="X1210">
        <v>0</v>
      </c>
      <c r="Z1210">
        <v>0</v>
      </c>
      <c r="AA1210">
        <v>0</v>
      </c>
      <c r="AB1210">
        <v>0</v>
      </c>
      <c r="AC1210">
        <v>0</v>
      </c>
      <c r="AD1210">
        <v>996</v>
      </c>
    </row>
    <row r="1211" spans="1:30" x14ac:dyDescent="0.25">
      <c r="H1211" t="s">
        <v>2566</v>
      </c>
    </row>
    <row r="1212" spans="1:30" x14ac:dyDescent="0.25">
      <c r="A1212">
        <v>603</v>
      </c>
      <c r="B1212">
        <v>1228</v>
      </c>
      <c r="C1212" t="s">
        <v>2567</v>
      </c>
      <c r="D1212" t="s">
        <v>179</v>
      </c>
      <c r="E1212" t="s">
        <v>34</v>
      </c>
      <c r="F1212" t="s">
        <v>2568</v>
      </c>
      <c r="G1212" t="str">
        <f>"201406001121"</f>
        <v>201406001121</v>
      </c>
      <c r="H1212">
        <v>770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50</v>
      </c>
      <c r="O1212">
        <v>0</v>
      </c>
      <c r="P1212">
        <v>50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18</v>
      </c>
      <c r="W1212">
        <v>126</v>
      </c>
      <c r="X1212">
        <v>0</v>
      </c>
      <c r="Z1212">
        <v>0</v>
      </c>
      <c r="AA1212">
        <v>0</v>
      </c>
      <c r="AB1212">
        <v>0</v>
      </c>
      <c r="AC1212">
        <v>0</v>
      </c>
      <c r="AD1212">
        <v>996</v>
      </c>
    </row>
    <row r="1213" spans="1:30" x14ac:dyDescent="0.25">
      <c r="H1213" t="s">
        <v>2569</v>
      </c>
    </row>
    <row r="1214" spans="1:30" x14ac:dyDescent="0.25">
      <c r="A1214">
        <v>604</v>
      </c>
      <c r="B1214">
        <v>5281</v>
      </c>
      <c r="C1214" t="s">
        <v>37</v>
      </c>
      <c r="D1214" t="s">
        <v>2570</v>
      </c>
      <c r="E1214" t="s">
        <v>24</v>
      </c>
      <c r="F1214" t="s">
        <v>2571</v>
      </c>
      <c r="G1214" t="str">
        <f>"200810000132"</f>
        <v>200810000132</v>
      </c>
      <c r="H1214">
        <v>627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48</v>
      </c>
      <c r="W1214">
        <v>336</v>
      </c>
      <c r="X1214">
        <v>0</v>
      </c>
      <c r="Z1214">
        <v>0</v>
      </c>
      <c r="AA1214">
        <v>0</v>
      </c>
      <c r="AB1214">
        <v>0</v>
      </c>
      <c r="AC1214">
        <v>0</v>
      </c>
      <c r="AD1214">
        <v>993</v>
      </c>
    </row>
    <row r="1215" spans="1:30" x14ac:dyDescent="0.25">
      <c r="H1215" t="s">
        <v>2572</v>
      </c>
    </row>
    <row r="1216" spans="1:30" x14ac:dyDescent="0.25">
      <c r="A1216">
        <v>605</v>
      </c>
      <c r="B1216">
        <v>3085</v>
      </c>
      <c r="C1216" t="s">
        <v>2573</v>
      </c>
      <c r="D1216" t="s">
        <v>2237</v>
      </c>
      <c r="E1216" t="s">
        <v>1164</v>
      </c>
      <c r="F1216" t="s">
        <v>2574</v>
      </c>
      <c r="G1216" t="str">
        <f>"201410012630"</f>
        <v>201410012630</v>
      </c>
      <c r="H1216" t="s">
        <v>2575</v>
      </c>
      <c r="I1216">
        <v>0</v>
      </c>
      <c r="J1216">
        <v>0</v>
      </c>
      <c r="K1216">
        <v>0</v>
      </c>
      <c r="L1216">
        <v>200</v>
      </c>
      <c r="M1216">
        <v>0</v>
      </c>
      <c r="N1216">
        <v>50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Z1216">
        <v>1</v>
      </c>
      <c r="AA1216">
        <v>0</v>
      </c>
      <c r="AB1216">
        <v>0</v>
      </c>
      <c r="AC1216">
        <v>0</v>
      </c>
      <c r="AD1216" t="s">
        <v>2576</v>
      </c>
    </row>
    <row r="1217" spans="1:30" x14ac:dyDescent="0.25">
      <c r="H1217" t="s">
        <v>1760</v>
      </c>
    </row>
    <row r="1218" spans="1:30" x14ac:dyDescent="0.25">
      <c r="A1218">
        <v>606</v>
      </c>
      <c r="B1218">
        <v>3718</v>
      </c>
      <c r="C1218" t="s">
        <v>2577</v>
      </c>
      <c r="D1218" t="s">
        <v>107</v>
      </c>
      <c r="E1218" t="s">
        <v>644</v>
      </c>
      <c r="F1218" t="s">
        <v>2578</v>
      </c>
      <c r="G1218" t="str">
        <f>"201406012589"</f>
        <v>201406012589</v>
      </c>
      <c r="H1218" t="s">
        <v>481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29</v>
      </c>
      <c r="W1218">
        <v>203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2579</v>
      </c>
    </row>
    <row r="1219" spans="1:30" x14ac:dyDescent="0.25">
      <c r="H1219" t="s">
        <v>2580</v>
      </c>
    </row>
    <row r="1220" spans="1:30" x14ac:dyDescent="0.25">
      <c r="A1220">
        <v>607</v>
      </c>
      <c r="B1220">
        <v>1768</v>
      </c>
      <c r="C1220" t="s">
        <v>2581</v>
      </c>
      <c r="D1220" t="s">
        <v>268</v>
      </c>
      <c r="E1220" t="s">
        <v>107</v>
      </c>
      <c r="F1220" t="s">
        <v>2582</v>
      </c>
      <c r="G1220" t="str">
        <f>"201511027356"</f>
        <v>201511027356</v>
      </c>
      <c r="H1220" t="s">
        <v>489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35</v>
      </c>
      <c r="W1220">
        <v>245</v>
      </c>
      <c r="X1220">
        <v>0</v>
      </c>
      <c r="Z1220">
        <v>2</v>
      </c>
      <c r="AA1220">
        <v>0</v>
      </c>
      <c r="AB1220">
        <v>0</v>
      </c>
      <c r="AC1220">
        <v>0</v>
      </c>
      <c r="AD1220" t="s">
        <v>2583</v>
      </c>
    </row>
    <row r="1221" spans="1:30" x14ac:dyDescent="0.25">
      <c r="H1221" t="s">
        <v>2584</v>
      </c>
    </row>
    <row r="1222" spans="1:30" x14ac:dyDescent="0.25">
      <c r="A1222">
        <v>608</v>
      </c>
      <c r="B1222">
        <v>5517</v>
      </c>
      <c r="C1222" t="s">
        <v>949</v>
      </c>
      <c r="D1222" t="s">
        <v>802</v>
      </c>
      <c r="E1222" t="s">
        <v>1659</v>
      </c>
      <c r="F1222" t="s">
        <v>2585</v>
      </c>
      <c r="G1222" t="str">
        <f>"201511030362"</f>
        <v>201511030362</v>
      </c>
      <c r="H1222" t="s">
        <v>885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30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24</v>
      </c>
      <c r="W1222">
        <v>168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2586</v>
      </c>
    </row>
    <row r="1223" spans="1:30" x14ac:dyDescent="0.25">
      <c r="H1223" t="s">
        <v>2410</v>
      </c>
    </row>
    <row r="1224" spans="1:30" x14ac:dyDescent="0.25">
      <c r="A1224">
        <v>609</v>
      </c>
      <c r="B1224">
        <v>3257</v>
      </c>
      <c r="C1224" t="s">
        <v>2587</v>
      </c>
      <c r="D1224" t="s">
        <v>1623</v>
      </c>
      <c r="E1224" t="s">
        <v>44</v>
      </c>
      <c r="F1224" t="s">
        <v>2588</v>
      </c>
      <c r="G1224" t="str">
        <f>"00357863"</f>
        <v>00357863</v>
      </c>
      <c r="H1224" t="s">
        <v>2589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6</v>
      </c>
      <c r="W1224">
        <v>42</v>
      </c>
      <c r="X1224">
        <v>0</v>
      </c>
      <c r="Z1224">
        <v>1</v>
      </c>
      <c r="AA1224">
        <v>0</v>
      </c>
      <c r="AB1224">
        <v>5</v>
      </c>
      <c r="AC1224">
        <v>85</v>
      </c>
      <c r="AD1224" t="s">
        <v>2590</v>
      </c>
    </row>
    <row r="1225" spans="1:30" x14ac:dyDescent="0.25">
      <c r="H1225" t="s">
        <v>2591</v>
      </c>
    </row>
    <row r="1226" spans="1:30" x14ac:dyDescent="0.25">
      <c r="A1226">
        <v>610</v>
      </c>
      <c r="B1226">
        <v>2181</v>
      </c>
      <c r="C1226" t="s">
        <v>2395</v>
      </c>
      <c r="D1226" t="s">
        <v>282</v>
      </c>
      <c r="E1226" t="s">
        <v>24</v>
      </c>
      <c r="F1226" t="s">
        <v>2592</v>
      </c>
      <c r="G1226" t="str">
        <f>"00266029"</f>
        <v>00266029</v>
      </c>
      <c r="H1226" t="s">
        <v>1639</v>
      </c>
      <c r="I1226">
        <v>150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2593</v>
      </c>
    </row>
    <row r="1227" spans="1:30" x14ac:dyDescent="0.25">
      <c r="H1227" t="s">
        <v>2594</v>
      </c>
    </row>
    <row r="1228" spans="1:30" x14ac:dyDescent="0.25">
      <c r="A1228">
        <v>611</v>
      </c>
      <c r="B1228">
        <v>1220</v>
      </c>
      <c r="C1228" t="s">
        <v>2372</v>
      </c>
      <c r="D1228" t="s">
        <v>761</v>
      </c>
      <c r="E1228" t="s">
        <v>55</v>
      </c>
      <c r="F1228" t="s">
        <v>2595</v>
      </c>
      <c r="G1228" t="str">
        <f>"201511027834"</f>
        <v>201511027834</v>
      </c>
      <c r="H1228" t="s">
        <v>1077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43</v>
      </c>
      <c r="W1228">
        <v>301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2596</v>
      </c>
    </row>
    <row r="1229" spans="1:30" x14ac:dyDescent="0.25">
      <c r="H1229" t="s">
        <v>2597</v>
      </c>
    </row>
    <row r="1230" spans="1:30" x14ac:dyDescent="0.25">
      <c r="A1230">
        <v>612</v>
      </c>
      <c r="B1230">
        <v>4505</v>
      </c>
      <c r="C1230" t="s">
        <v>2598</v>
      </c>
      <c r="D1230" t="s">
        <v>69</v>
      </c>
      <c r="E1230" t="s">
        <v>2599</v>
      </c>
      <c r="F1230" t="s">
        <v>2600</v>
      </c>
      <c r="G1230" t="str">
        <f>"201511035736"</f>
        <v>201511035736</v>
      </c>
      <c r="H1230" t="s">
        <v>681</v>
      </c>
      <c r="I1230">
        <v>150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19</v>
      </c>
      <c r="W1230">
        <v>133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2601</v>
      </c>
    </row>
    <row r="1231" spans="1:30" x14ac:dyDescent="0.25">
      <c r="H1231" t="s">
        <v>2602</v>
      </c>
    </row>
    <row r="1232" spans="1:30" x14ac:dyDescent="0.25">
      <c r="A1232">
        <v>613</v>
      </c>
      <c r="B1232">
        <v>3013</v>
      </c>
      <c r="C1232" t="s">
        <v>2603</v>
      </c>
      <c r="D1232" t="s">
        <v>1092</v>
      </c>
      <c r="E1232" t="s">
        <v>34</v>
      </c>
      <c r="F1232" t="s">
        <v>2604</v>
      </c>
      <c r="G1232" t="str">
        <f>"00361167"</f>
        <v>00361167</v>
      </c>
      <c r="H1232" t="s">
        <v>576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36</v>
      </c>
      <c r="W1232">
        <v>252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2605</v>
      </c>
    </row>
    <row r="1233" spans="1:30" x14ac:dyDescent="0.25">
      <c r="H1233" t="s">
        <v>2606</v>
      </c>
    </row>
    <row r="1234" spans="1:30" x14ac:dyDescent="0.25">
      <c r="A1234">
        <v>614</v>
      </c>
      <c r="B1234">
        <v>4516</v>
      </c>
      <c r="C1234" t="s">
        <v>2607</v>
      </c>
      <c r="D1234" t="s">
        <v>821</v>
      </c>
      <c r="E1234" t="s">
        <v>268</v>
      </c>
      <c r="F1234" t="s">
        <v>2608</v>
      </c>
      <c r="G1234" t="str">
        <f>"201406000233"</f>
        <v>201406000233</v>
      </c>
      <c r="H1234" t="s">
        <v>2609</v>
      </c>
      <c r="I1234">
        <v>0</v>
      </c>
      <c r="J1234">
        <v>0</v>
      </c>
      <c r="K1234">
        <v>0</v>
      </c>
      <c r="L1234">
        <v>0</v>
      </c>
      <c r="M1234">
        <v>100</v>
      </c>
      <c r="N1234">
        <v>70</v>
      </c>
      <c r="O1234">
        <v>30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2610</v>
      </c>
    </row>
    <row r="1235" spans="1:30" x14ac:dyDescent="0.25">
      <c r="H1235" t="s">
        <v>2611</v>
      </c>
    </row>
    <row r="1236" spans="1:30" x14ac:dyDescent="0.25">
      <c r="A1236">
        <v>615</v>
      </c>
      <c r="B1236">
        <v>990</v>
      </c>
      <c r="C1236" t="s">
        <v>2612</v>
      </c>
      <c r="D1236" t="s">
        <v>76</v>
      </c>
      <c r="E1236" t="s">
        <v>28</v>
      </c>
      <c r="F1236" t="s">
        <v>2613</v>
      </c>
      <c r="G1236" t="str">
        <f>"201304002322"</f>
        <v>201304002322</v>
      </c>
      <c r="H1236" t="s">
        <v>1266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36</v>
      </c>
      <c r="W1236">
        <v>252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2614</v>
      </c>
    </row>
    <row r="1237" spans="1:30" x14ac:dyDescent="0.25">
      <c r="H1237" t="s">
        <v>2615</v>
      </c>
    </row>
    <row r="1238" spans="1:30" x14ac:dyDescent="0.25">
      <c r="A1238">
        <v>616</v>
      </c>
      <c r="B1238">
        <v>3043</v>
      </c>
      <c r="C1238" t="s">
        <v>2616</v>
      </c>
      <c r="D1238" t="s">
        <v>806</v>
      </c>
      <c r="E1238" t="s">
        <v>34</v>
      </c>
      <c r="F1238" t="s">
        <v>2617</v>
      </c>
      <c r="G1238" t="str">
        <f>"00354931"</f>
        <v>00354931</v>
      </c>
      <c r="H1238" t="s">
        <v>206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50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</v>
      </c>
      <c r="W1238">
        <v>56</v>
      </c>
      <c r="X1238">
        <v>0</v>
      </c>
      <c r="Z1238">
        <v>0</v>
      </c>
      <c r="AA1238">
        <v>0</v>
      </c>
      <c r="AB1238">
        <v>6</v>
      </c>
      <c r="AC1238">
        <v>102</v>
      </c>
      <c r="AD1238" t="s">
        <v>2618</v>
      </c>
    </row>
    <row r="1239" spans="1:30" x14ac:dyDescent="0.25">
      <c r="H1239" t="s">
        <v>2619</v>
      </c>
    </row>
    <row r="1240" spans="1:30" x14ac:dyDescent="0.25">
      <c r="A1240">
        <v>617</v>
      </c>
      <c r="B1240">
        <v>1749</v>
      </c>
      <c r="C1240" t="s">
        <v>492</v>
      </c>
      <c r="D1240" t="s">
        <v>146</v>
      </c>
      <c r="E1240" t="s">
        <v>55</v>
      </c>
      <c r="F1240" t="s">
        <v>2620</v>
      </c>
      <c r="G1240" t="str">
        <f>"00150088"</f>
        <v>00150088</v>
      </c>
      <c r="H1240">
        <v>781</v>
      </c>
      <c r="I1240">
        <v>150</v>
      </c>
      <c r="J1240">
        <v>0</v>
      </c>
      <c r="K1240">
        <v>0</v>
      </c>
      <c r="L1240">
        <v>0</v>
      </c>
      <c r="M1240">
        <v>0</v>
      </c>
      <c r="N1240">
        <v>50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Z1240">
        <v>0</v>
      </c>
      <c r="AA1240">
        <v>0</v>
      </c>
      <c r="AB1240">
        <v>0</v>
      </c>
      <c r="AC1240">
        <v>0</v>
      </c>
      <c r="AD1240">
        <v>981</v>
      </c>
    </row>
    <row r="1241" spans="1:30" x14ac:dyDescent="0.25">
      <c r="H1241" t="s">
        <v>1287</v>
      </c>
    </row>
    <row r="1242" spans="1:30" x14ac:dyDescent="0.25">
      <c r="A1242">
        <v>618</v>
      </c>
      <c r="B1242">
        <v>2935</v>
      </c>
      <c r="C1242" t="s">
        <v>2621</v>
      </c>
      <c r="D1242" t="s">
        <v>2622</v>
      </c>
      <c r="E1242" t="s">
        <v>55</v>
      </c>
      <c r="F1242" t="s">
        <v>2623</v>
      </c>
      <c r="G1242" t="str">
        <f>"201405000250"</f>
        <v>201405000250</v>
      </c>
      <c r="H1242" t="s">
        <v>827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50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28</v>
      </c>
      <c r="W1242">
        <v>196</v>
      </c>
      <c r="X1242">
        <v>0</v>
      </c>
      <c r="Z1242">
        <v>1</v>
      </c>
      <c r="AA1242">
        <v>0</v>
      </c>
      <c r="AB1242">
        <v>0</v>
      </c>
      <c r="AC1242">
        <v>0</v>
      </c>
      <c r="AD1242" t="s">
        <v>2624</v>
      </c>
    </row>
    <row r="1243" spans="1:30" x14ac:dyDescent="0.25">
      <c r="H1243" t="s">
        <v>2625</v>
      </c>
    </row>
    <row r="1244" spans="1:30" x14ac:dyDescent="0.25">
      <c r="A1244">
        <v>619</v>
      </c>
      <c r="B1244">
        <v>1214</v>
      </c>
      <c r="C1244" t="s">
        <v>2626</v>
      </c>
      <c r="D1244" t="s">
        <v>220</v>
      </c>
      <c r="E1244" t="s">
        <v>93</v>
      </c>
      <c r="F1244" t="s">
        <v>2627</v>
      </c>
      <c r="G1244" t="str">
        <f>"00147620"</f>
        <v>00147620</v>
      </c>
      <c r="H1244" t="s">
        <v>445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5</v>
      </c>
      <c r="W1244">
        <v>35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2628</v>
      </c>
    </row>
    <row r="1245" spans="1:30" x14ac:dyDescent="0.25">
      <c r="H1245" t="s">
        <v>2629</v>
      </c>
    </row>
    <row r="1246" spans="1:30" x14ac:dyDescent="0.25">
      <c r="A1246">
        <v>620</v>
      </c>
      <c r="B1246">
        <v>3341</v>
      </c>
      <c r="C1246" t="s">
        <v>2630</v>
      </c>
      <c r="D1246" t="s">
        <v>34</v>
      </c>
      <c r="E1246" t="s">
        <v>134</v>
      </c>
      <c r="F1246" t="s">
        <v>2631</v>
      </c>
      <c r="G1246" t="str">
        <f>"201410011973"</f>
        <v>201410011973</v>
      </c>
      <c r="H1246" t="s">
        <v>1393</v>
      </c>
      <c r="I1246">
        <v>0</v>
      </c>
      <c r="J1246">
        <v>0</v>
      </c>
      <c r="K1246">
        <v>0</v>
      </c>
      <c r="L1246">
        <v>0</v>
      </c>
      <c r="M1246">
        <v>100</v>
      </c>
      <c r="N1246">
        <v>70</v>
      </c>
      <c r="O1246">
        <v>0</v>
      </c>
      <c r="P1246">
        <v>30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6</v>
      </c>
      <c r="W1246">
        <v>42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2632</v>
      </c>
    </row>
    <row r="1247" spans="1:30" x14ac:dyDescent="0.25">
      <c r="H1247" t="s">
        <v>2633</v>
      </c>
    </row>
    <row r="1248" spans="1:30" x14ac:dyDescent="0.25">
      <c r="A1248">
        <v>621</v>
      </c>
      <c r="B1248">
        <v>1190</v>
      </c>
      <c r="C1248" t="s">
        <v>2634</v>
      </c>
      <c r="D1248" t="s">
        <v>33</v>
      </c>
      <c r="E1248" t="s">
        <v>24</v>
      </c>
      <c r="F1248" t="s">
        <v>2635</v>
      </c>
      <c r="G1248" t="str">
        <f>"200712001006"</f>
        <v>200712001006</v>
      </c>
      <c r="H1248">
        <v>770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50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22</v>
      </c>
      <c r="W1248">
        <v>154</v>
      </c>
      <c r="X1248">
        <v>0</v>
      </c>
      <c r="Z1248">
        <v>0</v>
      </c>
      <c r="AA1248">
        <v>0</v>
      </c>
      <c r="AB1248">
        <v>0</v>
      </c>
      <c r="AC1248">
        <v>0</v>
      </c>
      <c r="AD1248">
        <v>974</v>
      </c>
    </row>
    <row r="1249" spans="1:30" x14ac:dyDescent="0.25">
      <c r="H1249" t="s">
        <v>2636</v>
      </c>
    </row>
    <row r="1250" spans="1:30" x14ac:dyDescent="0.25">
      <c r="A1250">
        <v>622</v>
      </c>
      <c r="B1250">
        <v>1042</v>
      </c>
      <c r="C1250" t="s">
        <v>2637</v>
      </c>
      <c r="D1250" t="s">
        <v>107</v>
      </c>
      <c r="E1250" t="s">
        <v>303</v>
      </c>
      <c r="F1250" t="s">
        <v>2638</v>
      </c>
      <c r="G1250" t="str">
        <f>"201511029836"</f>
        <v>201511029836</v>
      </c>
      <c r="H1250" t="s">
        <v>2639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1</v>
      </c>
      <c r="AA1250">
        <v>0</v>
      </c>
      <c r="AB1250">
        <v>0</v>
      </c>
      <c r="AC1250">
        <v>0</v>
      </c>
      <c r="AD1250" t="s">
        <v>2640</v>
      </c>
    </row>
    <row r="1251" spans="1:30" x14ac:dyDescent="0.25">
      <c r="H1251" t="s">
        <v>2641</v>
      </c>
    </row>
    <row r="1252" spans="1:30" x14ac:dyDescent="0.25">
      <c r="A1252">
        <v>623</v>
      </c>
      <c r="B1252">
        <v>6119</v>
      </c>
      <c r="C1252" t="s">
        <v>2642</v>
      </c>
      <c r="D1252" t="s">
        <v>44</v>
      </c>
      <c r="E1252" t="s">
        <v>55</v>
      </c>
      <c r="F1252" t="s">
        <v>2643</v>
      </c>
      <c r="G1252" t="str">
        <f>"00011590"</f>
        <v>00011590</v>
      </c>
      <c r="H1252" t="s">
        <v>875</v>
      </c>
      <c r="I1252">
        <v>0</v>
      </c>
      <c r="J1252">
        <v>0</v>
      </c>
      <c r="K1252">
        <v>0</v>
      </c>
      <c r="L1252">
        <v>0</v>
      </c>
      <c r="M1252">
        <v>100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2644</v>
      </c>
    </row>
    <row r="1253" spans="1:30" x14ac:dyDescent="0.25">
      <c r="H1253" t="s">
        <v>2645</v>
      </c>
    </row>
    <row r="1254" spans="1:30" x14ac:dyDescent="0.25">
      <c r="A1254">
        <v>624</v>
      </c>
      <c r="B1254">
        <v>567</v>
      </c>
      <c r="C1254" t="s">
        <v>2646</v>
      </c>
      <c r="D1254" t="s">
        <v>2647</v>
      </c>
      <c r="E1254" t="s">
        <v>2648</v>
      </c>
      <c r="F1254" t="s">
        <v>2649</v>
      </c>
      <c r="G1254" t="str">
        <f>"201504001969"</f>
        <v>201504001969</v>
      </c>
      <c r="H1254" t="s">
        <v>1108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70</v>
      </c>
      <c r="U1254">
        <v>0</v>
      </c>
      <c r="V1254">
        <v>4</v>
      </c>
      <c r="W1254">
        <v>28</v>
      </c>
      <c r="X1254">
        <v>0</v>
      </c>
      <c r="Z1254">
        <v>0</v>
      </c>
      <c r="AA1254">
        <v>0</v>
      </c>
      <c r="AB1254">
        <v>5</v>
      </c>
      <c r="AC1254">
        <v>85</v>
      </c>
      <c r="AD1254" t="s">
        <v>2650</v>
      </c>
    </row>
    <row r="1255" spans="1:30" x14ac:dyDescent="0.25">
      <c r="H1255" t="s">
        <v>2611</v>
      </c>
    </row>
    <row r="1256" spans="1:30" x14ac:dyDescent="0.25">
      <c r="A1256">
        <v>625</v>
      </c>
      <c r="B1256">
        <v>598</v>
      </c>
      <c r="C1256" t="s">
        <v>2651</v>
      </c>
      <c r="D1256" t="s">
        <v>28</v>
      </c>
      <c r="E1256" t="s">
        <v>2652</v>
      </c>
      <c r="F1256" t="s">
        <v>2653</v>
      </c>
      <c r="G1256" t="str">
        <f>"201406001741"</f>
        <v>201406001741</v>
      </c>
      <c r="H1256" t="s">
        <v>270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22</v>
      </c>
      <c r="W1256">
        <v>154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2654</v>
      </c>
    </row>
    <row r="1257" spans="1:30" x14ac:dyDescent="0.25">
      <c r="H1257" t="s">
        <v>2655</v>
      </c>
    </row>
    <row r="1258" spans="1:30" x14ac:dyDescent="0.25">
      <c r="A1258">
        <v>626</v>
      </c>
      <c r="B1258">
        <v>2177</v>
      </c>
      <c r="C1258" t="s">
        <v>2656</v>
      </c>
      <c r="D1258" t="s">
        <v>2237</v>
      </c>
      <c r="E1258" t="s">
        <v>44</v>
      </c>
      <c r="F1258" t="s">
        <v>2657</v>
      </c>
      <c r="G1258" t="str">
        <f>"201411003235"</f>
        <v>201411003235</v>
      </c>
      <c r="H1258" t="s">
        <v>1147</v>
      </c>
      <c r="I1258">
        <v>150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2</v>
      </c>
      <c r="W1258">
        <v>14</v>
      </c>
      <c r="X1258">
        <v>0</v>
      </c>
      <c r="Z1258">
        <v>2</v>
      </c>
      <c r="AA1258">
        <v>0</v>
      </c>
      <c r="AB1258">
        <v>0</v>
      </c>
      <c r="AC1258">
        <v>0</v>
      </c>
      <c r="AD1258" t="s">
        <v>2658</v>
      </c>
    </row>
    <row r="1259" spans="1:30" x14ac:dyDescent="0.25">
      <c r="H1259" t="s">
        <v>2659</v>
      </c>
    </row>
    <row r="1260" spans="1:30" x14ac:dyDescent="0.25">
      <c r="A1260">
        <v>627</v>
      </c>
      <c r="B1260">
        <v>1170</v>
      </c>
      <c r="C1260" t="s">
        <v>2660</v>
      </c>
      <c r="D1260" t="s">
        <v>358</v>
      </c>
      <c r="E1260" t="s">
        <v>107</v>
      </c>
      <c r="F1260" t="s">
        <v>2661</v>
      </c>
      <c r="G1260" t="str">
        <f>"201412001381"</f>
        <v>201412001381</v>
      </c>
      <c r="H1260" t="s">
        <v>717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28</v>
      </c>
      <c r="W1260">
        <v>196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2662</v>
      </c>
    </row>
    <row r="1261" spans="1:30" x14ac:dyDescent="0.25">
      <c r="H1261" t="s">
        <v>2663</v>
      </c>
    </row>
    <row r="1262" spans="1:30" x14ac:dyDescent="0.25">
      <c r="A1262">
        <v>628</v>
      </c>
      <c r="B1262">
        <v>6264</v>
      </c>
      <c r="C1262" t="s">
        <v>2664</v>
      </c>
      <c r="D1262" t="s">
        <v>392</v>
      </c>
      <c r="E1262" t="s">
        <v>1098</v>
      </c>
      <c r="F1262" t="s">
        <v>2665</v>
      </c>
      <c r="G1262" t="str">
        <f>"00336318"</f>
        <v>00336318</v>
      </c>
      <c r="H1262" t="s">
        <v>1266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33</v>
      </c>
      <c r="W1262">
        <v>231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2666</v>
      </c>
    </row>
    <row r="1263" spans="1:30" x14ac:dyDescent="0.25">
      <c r="H1263" t="s">
        <v>2667</v>
      </c>
    </row>
    <row r="1264" spans="1:30" x14ac:dyDescent="0.25">
      <c r="A1264">
        <v>629</v>
      </c>
      <c r="B1264">
        <v>5905</v>
      </c>
      <c r="C1264" t="s">
        <v>2668</v>
      </c>
      <c r="D1264" t="s">
        <v>140</v>
      </c>
      <c r="E1264" t="s">
        <v>55</v>
      </c>
      <c r="F1264" t="s">
        <v>2669</v>
      </c>
      <c r="G1264" t="str">
        <f>"00108357"</f>
        <v>00108357</v>
      </c>
      <c r="H1264" t="s">
        <v>212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Z1264">
        <v>2</v>
      </c>
      <c r="AA1264">
        <v>0</v>
      </c>
      <c r="AB1264">
        <v>4</v>
      </c>
      <c r="AC1264">
        <v>68</v>
      </c>
      <c r="AD1264" t="s">
        <v>2670</v>
      </c>
    </row>
    <row r="1265" spans="1:30" x14ac:dyDescent="0.25">
      <c r="H1265" t="s">
        <v>2671</v>
      </c>
    </row>
    <row r="1266" spans="1:30" x14ac:dyDescent="0.25">
      <c r="A1266">
        <v>630</v>
      </c>
      <c r="B1266">
        <v>1694</v>
      </c>
      <c r="C1266" t="s">
        <v>2672</v>
      </c>
      <c r="D1266" t="s">
        <v>179</v>
      </c>
      <c r="E1266" t="s">
        <v>44</v>
      </c>
      <c r="F1266" t="s">
        <v>2673</v>
      </c>
      <c r="G1266" t="str">
        <f>"00317696"</f>
        <v>00317696</v>
      </c>
      <c r="H1266" t="s">
        <v>424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18</v>
      </c>
      <c r="W1266">
        <v>126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2674</v>
      </c>
    </row>
    <row r="1267" spans="1:30" x14ac:dyDescent="0.25">
      <c r="H1267">
        <v>1201</v>
      </c>
    </row>
    <row r="1268" spans="1:30" x14ac:dyDescent="0.25">
      <c r="A1268">
        <v>631</v>
      </c>
      <c r="B1268">
        <v>1859</v>
      </c>
      <c r="C1268" t="s">
        <v>2675</v>
      </c>
      <c r="D1268" t="s">
        <v>2676</v>
      </c>
      <c r="E1268" t="s">
        <v>252</v>
      </c>
      <c r="F1268" t="s">
        <v>2677</v>
      </c>
      <c r="G1268" t="str">
        <f>"201405000687"</f>
        <v>201405000687</v>
      </c>
      <c r="H1268" t="s">
        <v>951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26</v>
      </c>
      <c r="W1268">
        <v>182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2678</v>
      </c>
    </row>
    <row r="1269" spans="1:30" x14ac:dyDescent="0.25">
      <c r="H1269" t="s">
        <v>2679</v>
      </c>
    </row>
    <row r="1270" spans="1:30" x14ac:dyDescent="0.25">
      <c r="A1270">
        <v>632</v>
      </c>
      <c r="B1270">
        <v>4826</v>
      </c>
      <c r="C1270" t="s">
        <v>2680</v>
      </c>
      <c r="D1270" t="s">
        <v>2560</v>
      </c>
      <c r="E1270" t="s">
        <v>34</v>
      </c>
      <c r="F1270" t="s">
        <v>2681</v>
      </c>
      <c r="G1270" t="str">
        <f>"201406017213"</f>
        <v>201406017213</v>
      </c>
      <c r="H1270" t="s">
        <v>217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70</v>
      </c>
      <c r="O1270">
        <v>0</v>
      </c>
      <c r="P1270">
        <v>30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2682</v>
      </c>
    </row>
    <row r="1271" spans="1:30" x14ac:dyDescent="0.25">
      <c r="H1271" t="s">
        <v>2683</v>
      </c>
    </row>
    <row r="1272" spans="1:30" x14ac:dyDescent="0.25">
      <c r="A1272">
        <v>633</v>
      </c>
      <c r="B1272">
        <v>4047</v>
      </c>
      <c r="C1272" t="s">
        <v>1390</v>
      </c>
      <c r="D1272" t="s">
        <v>771</v>
      </c>
      <c r="E1272" t="s">
        <v>689</v>
      </c>
      <c r="F1272" t="s">
        <v>2684</v>
      </c>
      <c r="G1272" t="str">
        <f>"00201599"</f>
        <v>00201599</v>
      </c>
      <c r="H1272">
        <v>836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13</v>
      </c>
      <c r="W1272">
        <v>91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957</v>
      </c>
    </row>
    <row r="1273" spans="1:30" x14ac:dyDescent="0.25">
      <c r="H1273" t="s">
        <v>1850</v>
      </c>
    </row>
    <row r="1274" spans="1:30" x14ac:dyDescent="0.25">
      <c r="A1274">
        <v>634</v>
      </c>
      <c r="B1274">
        <v>71</v>
      </c>
      <c r="C1274" t="s">
        <v>2685</v>
      </c>
      <c r="D1274" t="s">
        <v>146</v>
      </c>
      <c r="E1274" t="s">
        <v>2456</v>
      </c>
      <c r="F1274" t="s">
        <v>2686</v>
      </c>
      <c r="G1274" t="str">
        <f>"201511013351"</f>
        <v>201511013351</v>
      </c>
      <c r="H1274">
        <v>891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5</v>
      </c>
      <c r="W1274">
        <v>35</v>
      </c>
      <c r="X1274">
        <v>0</v>
      </c>
      <c r="Z1274">
        <v>0</v>
      </c>
      <c r="AA1274">
        <v>0</v>
      </c>
      <c r="AB1274">
        <v>0</v>
      </c>
      <c r="AC1274">
        <v>0</v>
      </c>
      <c r="AD1274">
        <v>956</v>
      </c>
    </row>
    <row r="1275" spans="1:30" x14ac:dyDescent="0.25">
      <c r="H1275" t="s">
        <v>2687</v>
      </c>
    </row>
    <row r="1276" spans="1:30" x14ac:dyDescent="0.25">
      <c r="A1276">
        <v>635</v>
      </c>
      <c r="B1276">
        <v>4145</v>
      </c>
      <c r="C1276" t="s">
        <v>2688</v>
      </c>
      <c r="D1276" t="s">
        <v>185</v>
      </c>
      <c r="E1276" t="s">
        <v>44</v>
      </c>
      <c r="F1276" t="s">
        <v>2689</v>
      </c>
      <c r="G1276" t="str">
        <f>"00171806"</f>
        <v>00171806</v>
      </c>
      <c r="H1276">
        <v>726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28</v>
      </c>
      <c r="W1276">
        <v>196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952</v>
      </c>
    </row>
    <row r="1277" spans="1:30" x14ac:dyDescent="0.25">
      <c r="H1277" t="s">
        <v>2690</v>
      </c>
    </row>
    <row r="1278" spans="1:30" x14ac:dyDescent="0.25">
      <c r="A1278">
        <v>636</v>
      </c>
      <c r="B1278">
        <v>195</v>
      </c>
      <c r="C1278" t="s">
        <v>2691</v>
      </c>
      <c r="D1278" t="s">
        <v>121</v>
      </c>
      <c r="E1278" t="s">
        <v>146</v>
      </c>
      <c r="F1278" t="s">
        <v>2692</v>
      </c>
      <c r="G1278" t="str">
        <f>"201604005552"</f>
        <v>201604005552</v>
      </c>
      <c r="H1278" t="s">
        <v>869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14</v>
      </c>
      <c r="W1278">
        <v>98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2693</v>
      </c>
    </row>
    <row r="1279" spans="1:30" x14ac:dyDescent="0.25">
      <c r="H1279" t="s">
        <v>2694</v>
      </c>
    </row>
    <row r="1280" spans="1:30" x14ac:dyDescent="0.25">
      <c r="A1280">
        <v>637</v>
      </c>
      <c r="B1280">
        <v>1438</v>
      </c>
      <c r="C1280" t="s">
        <v>2695</v>
      </c>
      <c r="D1280" t="s">
        <v>24</v>
      </c>
      <c r="E1280" t="s">
        <v>2696</v>
      </c>
      <c r="F1280" t="s">
        <v>2697</v>
      </c>
      <c r="G1280" t="str">
        <f>"201412004274"</f>
        <v>201412004274</v>
      </c>
      <c r="H1280" t="s">
        <v>2698</v>
      </c>
      <c r="I1280">
        <v>0</v>
      </c>
      <c r="J1280">
        <v>0</v>
      </c>
      <c r="K1280">
        <v>0</v>
      </c>
      <c r="L1280">
        <v>200</v>
      </c>
      <c r="M1280">
        <v>0</v>
      </c>
      <c r="N1280">
        <v>30</v>
      </c>
      <c r="O1280">
        <v>30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2693</v>
      </c>
    </row>
    <row r="1281" spans="1:30" x14ac:dyDescent="0.25">
      <c r="H1281" t="s">
        <v>2699</v>
      </c>
    </row>
    <row r="1282" spans="1:30" x14ac:dyDescent="0.25">
      <c r="A1282">
        <v>638</v>
      </c>
      <c r="B1282">
        <v>2626</v>
      </c>
      <c r="C1282" t="s">
        <v>2700</v>
      </c>
      <c r="D1282" t="s">
        <v>168</v>
      </c>
      <c r="E1282" t="s">
        <v>221</v>
      </c>
      <c r="F1282" t="s">
        <v>2701</v>
      </c>
      <c r="G1282" t="str">
        <f>"201510002528"</f>
        <v>201510002528</v>
      </c>
      <c r="H1282" t="s">
        <v>1113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35</v>
      </c>
      <c r="W1282">
        <v>245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2702</v>
      </c>
    </row>
    <row r="1283" spans="1:30" x14ac:dyDescent="0.25">
      <c r="H1283" t="s">
        <v>2703</v>
      </c>
    </row>
    <row r="1284" spans="1:30" x14ac:dyDescent="0.25">
      <c r="A1284">
        <v>639</v>
      </c>
      <c r="B1284">
        <v>2918</v>
      </c>
      <c r="C1284" t="s">
        <v>2704</v>
      </c>
      <c r="D1284" t="s">
        <v>358</v>
      </c>
      <c r="E1284" t="s">
        <v>55</v>
      </c>
      <c r="F1284" t="s">
        <v>2705</v>
      </c>
      <c r="G1284" t="str">
        <f>"00156224"</f>
        <v>00156224</v>
      </c>
      <c r="H1284" t="s">
        <v>405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28</v>
      </c>
      <c r="W1284">
        <v>196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2706</v>
      </c>
    </row>
    <row r="1285" spans="1:30" x14ac:dyDescent="0.25">
      <c r="H1285" t="s">
        <v>2707</v>
      </c>
    </row>
    <row r="1286" spans="1:30" x14ac:dyDescent="0.25">
      <c r="A1286">
        <v>640</v>
      </c>
      <c r="B1286">
        <v>4138</v>
      </c>
      <c r="C1286" t="s">
        <v>2708</v>
      </c>
      <c r="D1286" t="s">
        <v>28</v>
      </c>
      <c r="E1286" t="s">
        <v>221</v>
      </c>
      <c r="F1286" t="s">
        <v>2709</v>
      </c>
      <c r="G1286" t="str">
        <f>"00238061"</f>
        <v>00238061</v>
      </c>
      <c r="H1286" t="s">
        <v>664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Z1286">
        <v>1</v>
      </c>
      <c r="AA1286">
        <v>0</v>
      </c>
      <c r="AB1286">
        <v>0</v>
      </c>
      <c r="AC1286">
        <v>0</v>
      </c>
      <c r="AD1286" t="s">
        <v>2710</v>
      </c>
    </row>
    <row r="1287" spans="1:30" x14ac:dyDescent="0.25">
      <c r="H1287" t="s">
        <v>2711</v>
      </c>
    </row>
    <row r="1288" spans="1:30" x14ac:dyDescent="0.25">
      <c r="A1288">
        <v>641</v>
      </c>
      <c r="B1288">
        <v>5637</v>
      </c>
      <c r="C1288" t="s">
        <v>2712</v>
      </c>
      <c r="D1288" t="s">
        <v>566</v>
      </c>
      <c r="E1288" t="s">
        <v>55</v>
      </c>
      <c r="F1288" t="s">
        <v>2713</v>
      </c>
      <c r="G1288" t="str">
        <f>"00194446"</f>
        <v>00194446</v>
      </c>
      <c r="H1288" t="s">
        <v>853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24</v>
      </c>
      <c r="W1288">
        <v>168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2714</v>
      </c>
    </row>
    <row r="1289" spans="1:30" x14ac:dyDescent="0.25">
      <c r="H1289" t="s">
        <v>2715</v>
      </c>
    </row>
    <row r="1290" spans="1:30" x14ac:dyDescent="0.25">
      <c r="A1290">
        <v>642</v>
      </c>
      <c r="B1290">
        <v>3789</v>
      </c>
      <c r="C1290" t="s">
        <v>1470</v>
      </c>
      <c r="D1290" t="s">
        <v>1724</v>
      </c>
      <c r="E1290" t="s">
        <v>34</v>
      </c>
      <c r="F1290" t="s">
        <v>2716</v>
      </c>
      <c r="G1290" t="str">
        <f>"201406006045"</f>
        <v>201406006045</v>
      </c>
      <c r="H1290" t="s">
        <v>753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1</v>
      </c>
      <c r="AA1290">
        <v>0</v>
      </c>
      <c r="AB1290">
        <v>13</v>
      </c>
      <c r="AC1290">
        <v>221</v>
      </c>
      <c r="AD1290" t="s">
        <v>2717</v>
      </c>
    </row>
    <row r="1291" spans="1:30" x14ac:dyDescent="0.25">
      <c r="H1291" t="s">
        <v>2718</v>
      </c>
    </row>
    <row r="1292" spans="1:30" x14ac:dyDescent="0.25">
      <c r="A1292">
        <v>643</v>
      </c>
      <c r="B1292">
        <v>5895</v>
      </c>
      <c r="C1292" t="s">
        <v>2719</v>
      </c>
      <c r="D1292" t="s">
        <v>44</v>
      </c>
      <c r="E1292" t="s">
        <v>28</v>
      </c>
      <c r="F1292" t="s">
        <v>2720</v>
      </c>
      <c r="G1292" t="str">
        <f>"00252891"</f>
        <v>00252891</v>
      </c>
      <c r="H1292" t="s">
        <v>1720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35</v>
      </c>
      <c r="W1292">
        <v>245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2721</v>
      </c>
    </row>
    <row r="1293" spans="1:30" x14ac:dyDescent="0.25">
      <c r="H1293" t="s">
        <v>2722</v>
      </c>
    </row>
    <row r="1294" spans="1:30" x14ac:dyDescent="0.25">
      <c r="A1294">
        <v>644</v>
      </c>
      <c r="B1294">
        <v>5015</v>
      </c>
      <c r="C1294" t="s">
        <v>50</v>
      </c>
      <c r="D1294" t="s">
        <v>2723</v>
      </c>
      <c r="E1294" t="s">
        <v>1458</v>
      </c>
      <c r="F1294" t="s">
        <v>2724</v>
      </c>
      <c r="G1294" t="str">
        <f>"00365711"</f>
        <v>00365711</v>
      </c>
      <c r="H1294" t="s">
        <v>1680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2725</v>
      </c>
    </row>
    <row r="1295" spans="1:30" x14ac:dyDescent="0.25">
      <c r="H1295" t="s">
        <v>2726</v>
      </c>
    </row>
    <row r="1296" spans="1:30" x14ac:dyDescent="0.25">
      <c r="A1296">
        <v>645</v>
      </c>
      <c r="B1296">
        <v>5218</v>
      </c>
      <c r="C1296" t="s">
        <v>2727</v>
      </c>
      <c r="D1296" t="s">
        <v>158</v>
      </c>
      <c r="E1296" t="s">
        <v>44</v>
      </c>
      <c r="F1296" t="s">
        <v>2728</v>
      </c>
      <c r="G1296" t="str">
        <f>"200801001658"</f>
        <v>200801001658</v>
      </c>
      <c r="H1296" t="s">
        <v>576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30</v>
      </c>
      <c r="W1296">
        <v>210</v>
      </c>
      <c r="X1296">
        <v>0</v>
      </c>
      <c r="Z1296">
        <v>2</v>
      </c>
      <c r="AA1296">
        <v>0</v>
      </c>
      <c r="AB1296">
        <v>0</v>
      </c>
      <c r="AC1296">
        <v>0</v>
      </c>
      <c r="AD1296" t="s">
        <v>2729</v>
      </c>
    </row>
    <row r="1297" spans="1:30" x14ac:dyDescent="0.25">
      <c r="H1297" t="s">
        <v>2730</v>
      </c>
    </row>
    <row r="1298" spans="1:30" x14ac:dyDescent="0.25">
      <c r="A1298">
        <v>646</v>
      </c>
      <c r="B1298">
        <v>545</v>
      </c>
      <c r="C1298" t="s">
        <v>2731</v>
      </c>
      <c r="D1298" t="s">
        <v>2732</v>
      </c>
      <c r="E1298" t="s">
        <v>873</v>
      </c>
      <c r="F1298" t="s">
        <v>2733</v>
      </c>
      <c r="G1298" t="str">
        <f>"00278625"</f>
        <v>00278625</v>
      </c>
      <c r="H1298" t="s">
        <v>1414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27</v>
      </c>
      <c r="W1298">
        <v>189</v>
      </c>
      <c r="X1298">
        <v>0</v>
      </c>
      <c r="Z1298">
        <v>2</v>
      </c>
      <c r="AA1298">
        <v>0</v>
      </c>
      <c r="AB1298">
        <v>0</v>
      </c>
      <c r="AC1298">
        <v>0</v>
      </c>
      <c r="AD1298" t="s">
        <v>2734</v>
      </c>
    </row>
    <row r="1299" spans="1:30" x14ac:dyDescent="0.25">
      <c r="H1299" t="s">
        <v>2735</v>
      </c>
    </row>
    <row r="1300" spans="1:30" x14ac:dyDescent="0.25">
      <c r="A1300">
        <v>647</v>
      </c>
      <c r="B1300">
        <v>4962</v>
      </c>
      <c r="C1300" t="s">
        <v>2736</v>
      </c>
      <c r="D1300" t="s">
        <v>28</v>
      </c>
      <c r="E1300" t="s">
        <v>100</v>
      </c>
      <c r="F1300" t="s">
        <v>2737</v>
      </c>
      <c r="G1300" t="str">
        <f>"00080326"</f>
        <v>00080326</v>
      </c>
      <c r="H1300">
        <v>836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5</v>
      </c>
      <c r="W1300">
        <v>35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941</v>
      </c>
    </row>
    <row r="1301" spans="1:30" x14ac:dyDescent="0.25">
      <c r="H1301" t="s">
        <v>2738</v>
      </c>
    </row>
    <row r="1302" spans="1:30" x14ac:dyDescent="0.25">
      <c r="A1302">
        <v>648</v>
      </c>
      <c r="B1302">
        <v>4750</v>
      </c>
      <c r="C1302" t="s">
        <v>2739</v>
      </c>
      <c r="D1302" t="s">
        <v>93</v>
      </c>
      <c r="E1302" t="s">
        <v>34</v>
      </c>
      <c r="F1302" t="s">
        <v>2740</v>
      </c>
      <c r="G1302" t="str">
        <f>"00229192"</f>
        <v>00229192</v>
      </c>
      <c r="H1302" t="s">
        <v>1716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6</v>
      </c>
      <c r="W1302">
        <v>42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2741</v>
      </c>
    </row>
    <row r="1303" spans="1:30" x14ac:dyDescent="0.25">
      <c r="H1303" t="s">
        <v>2742</v>
      </c>
    </row>
    <row r="1304" spans="1:30" x14ac:dyDescent="0.25">
      <c r="A1304">
        <v>649</v>
      </c>
      <c r="B1304">
        <v>1153</v>
      </c>
      <c r="C1304" t="s">
        <v>2743</v>
      </c>
      <c r="D1304" t="s">
        <v>15</v>
      </c>
      <c r="E1304" t="s">
        <v>511</v>
      </c>
      <c r="F1304" t="s">
        <v>2744</v>
      </c>
      <c r="G1304" t="str">
        <f>"201406001394"</f>
        <v>201406001394</v>
      </c>
      <c r="H1304" t="s">
        <v>445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50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25</v>
      </c>
      <c r="W1304">
        <v>175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2745</v>
      </c>
    </row>
    <row r="1305" spans="1:30" x14ac:dyDescent="0.25">
      <c r="H1305" t="s">
        <v>2746</v>
      </c>
    </row>
    <row r="1306" spans="1:30" x14ac:dyDescent="0.25">
      <c r="A1306">
        <v>650</v>
      </c>
      <c r="B1306">
        <v>2611</v>
      </c>
      <c r="C1306" t="s">
        <v>2302</v>
      </c>
      <c r="D1306" t="s">
        <v>158</v>
      </c>
      <c r="E1306" t="s">
        <v>1527</v>
      </c>
      <c r="F1306" t="s">
        <v>2747</v>
      </c>
      <c r="G1306" t="str">
        <f>"201511022413"</f>
        <v>201511022413</v>
      </c>
      <c r="H1306" t="s">
        <v>1586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31</v>
      </c>
      <c r="W1306">
        <v>217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2745</v>
      </c>
    </row>
    <row r="1307" spans="1:30" x14ac:dyDescent="0.25">
      <c r="H1307" t="s">
        <v>2748</v>
      </c>
    </row>
    <row r="1308" spans="1:30" x14ac:dyDescent="0.25">
      <c r="A1308">
        <v>651</v>
      </c>
      <c r="B1308">
        <v>3352</v>
      </c>
      <c r="C1308" t="s">
        <v>2749</v>
      </c>
      <c r="D1308" t="s">
        <v>154</v>
      </c>
      <c r="E1308" t="s">
        <v>34</v>
      </c>
      <c r="F1308" t="s">
        <v>2750</v>
      </c>
      <c r="G1308" t="str">
        <f>"00367460"</f>
        <v>00367460</v>
      </c>
      <c r="H1308" t="s">
        <v>65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25</v>
      </c>
      <c r="W1308">
        <v>175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2751</v>
      </c>
    </row>
    <row r="1309" spans="1:30" x14ac:dyDescent="0.25">
      <c r="H1309" t="s">
        <v>2752</v>
      </c>
    </row>
    <row r="1310" spans="1:30" x14ac:dyDescent="0.25">
      <c r="A1310">
        <v>652</v>
      </c>
      <c r="B1310">
        <v>4690</v>
      </c>
      <c r="C1310" t="s">
        <v>2753</v>
      </c>
      <c r="D1310" t="s">
        <v>2754</v>
      </c>
      <c r="E1310" t="s">
        <v>34</v>
      </c>
      <c r="F1310" t="s">
        <v>2755</v>
      </c>
      <c r="G1310" t="str">
        <f>"201406013112"</f>
        <v>201406013112</v>
      </c>
      <c r="H1310" t="s">
        <v>1941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15</v>
      </c>
      <c r="W1310">
        <v>105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2756</v>
      </c>
    </row>
    <row r="1311" spans="1:30" x14ac:dyDescent="0.25">
      <c r="H1311" t="s">
        <v>2757</v>
      </c>
    </row>
    <row r="1312" spans="1:30" x14ac:dyDescent="0.25">
      <c r="A1312">
        <v>653</v>
      </c>
      <c r="B1312">
        <v>3923</v>
      </c>
      <c r="C1312" t="s">
        <v>1955</v>
      </c>
      <c r="D1312" t="s">
        <v>1907</v>
      </c>
      <c r="E1312" t="s">
        <v>319</v>
      </c>
      <c r="F1312" t="s">
        <v>2758</v>
      </c>
      <c r="G1312" t="str">
        <f>"00156836"</f>
        <v>00156836</v>
      </c>
      <c r="H1312" t="s">
        <v>1444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22</v>
      </c>
      <c r="W1312">
        <v>154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2759</v>
      </c>
    </row>
    <row r="1313" spans="1:30" x14ac:dyDescent="0.25">
      <c r="H1313" t="s">
        <v>2760</v>
      </c>
    </row>
    <row r="1314" spans="1:30" x14ac:dyDescent="0.25">
      <c r="A1314">
        <v>654</v>
      </c>
      <c r="B1314">
        <v>2955</v>
      </c>
      <c r="C1314" t="s">
        <v>2761</v>
      </c>
      <c r="D1314" t="s">
        <v>34</v>
      </c>
      <c r="E1314" t="s">
        <v>689</v>
      </c>
      <c r="F1314" t="s">
        <v>2762</v>
      </c>
      <c r="G1314" t="str">
        <f>"00268816"</f>
        <v>00268816</v>
      </c>
      <c r="H1314" t="s">
        <v>2763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1</v>
      </c>
      <c r="W1314">
        <v>7</v>
      </c>
      <c r="X1314">
        <v>0</v>
      </c>
      <c r="Z1314">
        <v>0</v>
      </c>
      <c r="AA1314">
        <v>0</v>
      </c>
      <c r="AB1314">
        <v>15</v>
      </c>
      <c r="AC1314">
        <v>255</v>
      </c>
      <c r="AD1314" t="s">
        <v>2764</v>
      </c>
    </row>
    <row r="1315" spans="1:30" x14ac:dyDescent="0.25">
      <c r="H1315" t="s">
        <v>2765</v>
      </c>
    </row>
    <row r="1316" spans="1:30" x14ac:dyDescent="0.25">
      <c r="A1316">
        <v>655</v>
      </c>
      <c r="B1316">
        <v>6215</v>
      </c>
      <c r="C1316" t="s">
        <v>2766</v>
      </c>
      <c r="D1316" t="s">
        <v>392</v>
      </c>
      <c r="E1316" t="s">
        <v>44</v>
      </c>
      <c r="F1316" t="s">
        <v>2767</v>
      </c>
      <c r="G1316" t="str">
        <f>"00160679"</f>
        <v>00160679</v>
      </c>
      <c r="H1316" t="s">
        <v>2433</v>
      </c>
      <c r="I1316">
        <v>150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Z1316">
        <v>2</v>
      </c>
      <c r="AA1316">
        <v>0</v>
      </c>
      <c r="AB1316">
        <v>0</v>
      </c>
      <c r="AC1316">
        <v>0</v>
      </c>
      <c r="AD1316" t="s">
        <v>2768</v>
      </c>
    </row>
    <row r="1317" spans="1:30" x14ac:dyDescent="0.25">
      <c r="H1317" t="s">
        <v>2769</v>
      </c>
    </row>
    <row r="1318" spans="1:30" x14ac:dyDescent="0.25">
      <c r="A1318">
        <v>656</v>
      </c>
      <c r="B1318">
        <v>813</v>
      </c>
      <c r="C1318" t="s">
        <v>2770</v>
      </c>
      <c r="D1318" t="s">
        <v>2771</v>
      </c>
      <c r="E1318" t="s">
        <v>2772</v>
      </c>
      <c r="F1318" t="s">
        <v>2773</v>
      </c>
      <c r="G1318" t="str">
        <f>"00002141"</f>
        <v>00002141</v>
      </c>
      <c r="H1318" t="s">
        <v>507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2774</v>
      </c>
    </row>
    <row r="1319" spans="1:30" x14ac:dyDescent="0.25">
      <c r="H1319" t="s">
        <v>2775</v>
      </c>
    </row>
    <row r="1320" spans="1:30" x14ac:dyDescent="0.25">
      <c r="A1320">
        <v>657</v>
      </c>
      <c r="B1320">
        <v>4203</v>
      </c>
      <c r="C1320" t="s">
        <v>2776</v>
      </c>
      <c r="D1320" t="s">
        <v>479</v>
      </c>
      <c r="E1320" t="s">
        <v>2777</v>
      </c>
      <c r="F1320" t="s">
        <v>2778</v>
      </c>
      <c r="G1320" t="str">
        <f>"201410003930"</f>
        <v>201410003930</v>
      </c>
      <c r="H1320" t="s">
        <v>676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50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32</v>
      </c>
      <c r="W1320">
        <v>224</v>
      </c>
      <c r="X1320">
        <v>0</v>
      </c>
      <c r="Z1320">
        <v>0</v>
      </c>
      <c r="AA1320">
        <v>0</v>
      </c>
      <c r="AB1320">
        <v>0</v>
      </c>
      <c r="AC1320">
        <v>0</v>
      </c>
      <c r="AD1320" t="s">
        <v>2779</v>
      </c>
    </row>
    <row r="1321" spans="1:30" x14ac:dyDescent="0.25">
      <c r="H1321" t="s">
        <v>2780</v>
      </c>
    </row>
    <row r="1322" spans="1:30" x14ac:dyDescent="0.25">
      <c r="A1322">
        <v>658</v>
      </c>
      <c r="B1322">
        <v>4687</v>
      </c>
      <c r="C1322" t="s">
        <v>1532</v>
      </c>
      <c r="D1322" t="s">
        <v>246</v>
      </c>
      <c r="E1322" t="s">
        <v>34</v>
      </c>
      <c r="F1322" t="s">
        <v>2781</v>
      </c>
      <c r="G1322" t="str">
        <f>"00199060"</f>
        <v>00199060</v>
      </c>
      <c r="H1322" t="s">
        <v>2782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32</v>
      </c>
      <c r="W1322">
        <v>224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2783</v>
      </c>
    </row>
    <row r="1323" spans="1:30" x14ac:dyDescent="0.25">
      <c r="H1323" t="s">
        <v>2784</v>
      </c>
    </row>
    <row r="1324" spans="1:30" x14ac:dyDescent="0.25">
      <c r="A1324">
        <v>659</v>
      </c>
      <c r="B1324">
        <v>4769</v>
      </c>
      <c r="C1324" t="s">
        <v>2785</v>
      </c>
      <c r="D1324" t="s">
        <v>2786</v>
      </c>
      <c r="E1324" t="s">
        <v>93</v>
      </c>
      <c r="F1324" t="s">
        <v>2787</v>
      </c>
      <c r="G1324" t="str">
        <f>"00365553"</f>
        <v>00365553</v>
      </c>
      <c r="H1324" t="s">
        <v>1414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25</v>
      </c>
      <c r="W1324">
        <v>175</v>
      </c>
      <c r="X1324">
        <v>0</v>
      </c>
      <c r="Z1324">
        <v>1</v>
      </c>
      <c r="AA1324">
        <v>0</v>
      </c>
      <c r="AB1324">
        <v>0</v>
      </c>
      <c r="AC1324">
        <v>0</v>
      </c>
      <c r="AD1324" t="s">
        <v>2788</v>
      </c>
    </row>
    <row r="1325" spans="1:30" x14ac:dyDescent="0.25">
      <c r="H1325" t="s">
        <v>2789</v>
      </c>
    </row>
    <row r="1326" spans="1:30" x14ac:dyDescent="0.25">
      <c r="A1326">
        <v>660</v>
      </c>
      <c r="B1326">
        <v>3742</v>
      </c>
      <c r="C1326" t="s">
        <v>2790</v>
      </c>
      <c r="D1326" t="s">
        <v>883</v>
      </c>
      <c r="E1326" t="s">
        <v>268</v>
      </c>
      <c r="F1326" t="s">
        <v>2791</v>
      </c>
      <c r="G1326" t="str">
        <f>"00361521"</f>
        <v>00361521</v>
      </c>
      <c r="H1326" t="s">
        <v>2792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39</v>
      </c>
      <c r="W1326">
        <v>273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2793</v>
      </c>
    </row>
    <row r="1327" spans="1:30" x14ac:dyDescent="0.25">
      <c r="H1327" t="s">
        <v>2794</v>
      </c>
    </row>
    <row r="1328" spans="1:30" x14ac:dyDescent="0.25">
      <c r="A1328">
        <v>661</v>
      </c>
      <c r="B1328">
        <v>2647</v>
      </c>
      <c r="C1328" t="s">
        <v>1069</v>
      </c>
      <c r="D1328" t="s">
        <v>2795</v>
      </c>
      <c r="E1328" t="s">
        <v>44</v>
      </c>
      <c r="F1328" t="s">
        <v>2796</v>
      </c>
      <c r="G1328" t="str">
        <f>"00323545"</f>
        <v>00323545</v>
      </c>
      <c r="H1328" t="s">
        <v>2797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24</v>
      </c>
      <c r="W1328">
        <v>168</v>
      </c>
      <c r="X1328">
        <v>0</v>
      </c>
      <c r="Z1328">
        <v>2</v>
      </c>
      <c r="AA1328">
        <v>0</v>
      </c>
      <c r="AB1328">
        <v>0</v>
      </c>
      <c r="AC1328">
        <v>0</v>
      </c>
      <c r="AD1328" t="s">
        <v>2081</v>
      </c>
    </row>
    <row r="1329" spans="1:30" x14ac:dyDescent="0.25">
      <c r="H1329" t="s">
        <v>2798</v>
      </c>
    </row>
    <row r="1330" spans="1:30" x14ac:dyDescent="0.25">
      <c r="A1330">
        <v>662</v>
      </c>
      <c r="B1330">
        <v>1617</v>
      </c>
      <c r="C1330" t="s">
        <v>2799</v>
      </c>
      <c r="D1330" t="s">
        <v>526</v>
      </c>
      <c r="E1330" t="s">
        <v>34</v>
      </c>
      <c r="F1330" t="s">
        <v>2800</v>
      </c>
      <c r="G1330" t="str">
        <f>"00308897"</f>
        <v>00308897</v>
      </c>
      <c r="H1330" t="s">
        <v>787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31</v>
      </c>
      <c r="W1330">
        <v>217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2801</v>
      </c>
    </row>
    <row r="1331" spans="1:30" x14ac:dyDescent="0.25">
      <c r="H1331" t="s">
        <v>2802</v>
      </c>
    </row>
    <row r="1332" spans="1:30" x14ac:dyDescent="0.25">
      <c r="A1332">
        <v>663</v>
      </c>
      <c r="B1332">
        <v>4407</v>
      </c>
      <c r="C1332" t="s">
        <v>2803</v>
      </c>
      <c r="D1332" t="s">
        <v>92</v>
      </c>
      <c r="E1332" t="s">
        <v>319</v>
      </c>
      <c r="F1332" t="s">
        <v>2804</v>
      </c>
      <c r="G1332" t="str">
        <f>"00151841"</f>
        <v>00151841</v>
      </c>
      <c r="H1332" t="s">
        <v>664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28</v>
      </c>
      <c r="W1332">
        <v>196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2805</v>
      </c>
    </row>
    <row r="1333" spans="1:30" x14ac:dyDescent="0.25">
      <c r="H1333" t="s">
        <v>2806</v>
      </c>
    </row>
    <row r="1334" spans="1:30" x14ac:dyDescent="0.25">
      <c r="A1334">
        <v>664</v>
      </c>
      <c r="B1334">
        <v>6134</v>
      </c>
      <c r="C1334" t="s">
        <v>2807</v>
      </c>
      <c r="D1334" t="s">
        <v>200</v>
      </c>
      <c r="E1334" t="s">
        <v>220</v>
      </c>
      <c r="F1334" t="s">
        <v>2808</v>
      </c>
      <c r="G1334" t="str">
        <f>"00368936"</f>
        <v>00368936</v>
      </c>
      <c r="H1334" t="s">
        <v>1896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2809</v>
      </c>
    </row>
    <row r="1335" spans="1:30" x14ac:dyDescent="0.25">
      <c r="H1335" t="s">
        <v>2810</v>
      </c>
    </row>
    <row r="1336" spans="1:30" x14ac:dyDescent="0.25">
      <c r="A1336">
        <v>665</v>
      </c>
      <c r="B1336">
        <v>4546</v>
      </c>
      <c r="C1336" t="s">
        <v>2811</v>
      </c>
      <c r="D1336" t="s">
        <v>2812</v>
      </c>
      <c r="E1336" t="s">
        <v>93</v>
      </c>
      <c r="F1336" t="s">
        <v>2813</v>
      </c>
      <c r="G1336" t="str">
        <f>"201402006922"</f>
        <v>201402006922</v>
      </c>
      <c r="H1336" t="s">
        <v>869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70</v>
      </c>
      <c r="O1336">
        <v>30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2814</v>
      </c>
    </row>
    <row r="1337" spans="1:30" x14ac:dyDescent="0.25">
      <c r="H1337" t="s">
        <v>2815</v>
      </c>
    </row>
    <row r="1338" spans="1:30" x14ac:dyDescent="0.25">
      <c r="A1338">
        <v>666</v>
      </c>
      <c r="B1338">
        <v>118</v>
      </c>
      <c r="C1338" t="s">
        <v>2816</v>
      </c>
      <c r="D1338" t="s">
        <v>246</v>
      </c>
      <c r="E1338" t="s">
        <v>44</v>
      </c>
      <c r="F1338" t="s">
        <v>2817</v>
      </c>
      <c r="G1338" t="str">
        <f>"200904000149"</f>
        <v>200904000149</v>
      </c>
      <c r="H1338" t="s">
        <v>47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9</v>
      </c>
      <c r="W1338">
        <v>63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2818</v>
      </c>
    </row>
    <row r="1339" spans="1:30" x14ac:dyDescent="0.25">
      <c r="H1339" t="s">
        <v>2819</v>
      </c>
    </row>
    <row r="1340" spans="1:30" x14ac:dyDescent="0.25">
      <c r="A1340">
        <v>667</v>
      </c>
      <c r="B1340">
        <v>3030</v>
      </c>
      <c r="C1340" t="s">
        <v>2820</v>
      </c>
      <c r="D1340" t="s">
        <v>55</v>
      </c>
      <c r="E1340" t="s">
        <v>93</v>
      </c>
      <c r="F1340" t="s">
        <v>2821</v>
      </c>
      <c r="G1340" t="str">
        <f>"00346798"</f>
        <v>00346798</v>
      </c>
      <c r="H1340" t="s">
        <v>1152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12</v>
      </c>
      <c r="W1340">
        <v>84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2822</v>
      </c>
    </row>
    <row r="1341" spans="1:30" x14ac:dyDescent="0.25">
      <c r="H1341" t="s">
        <v>2823</v>
      </c>
    </row>
    <row r="1342" spans="1:30" x14ac:dyDescent="0.25">
      <c r="A1342">
        <v>668</v>
      </c>
      <c r="B1342">
        <v>4475</v>
      </c>
      <c r="C1342" t="s">
        <v>2824</v>
      </c>
      <c r="D1342" t="s">
        <v>179</v>
      </c>
      <c r="E1342" t="s">
        <v>107</v>
      </c>
      <c r="F1342" t="s">
        <v>2825</v>
      </c>
      <c r="G1342" t="str">
        <f>"201412005819"</f>
        <v>201412005819</v>
      </c>
      <c r="H1342" t="s">
        <v>489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70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15</v>
      </c>
      <c r="W1342">
        <v>105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2826</v>
      </c>
    </row>
    <row r="1343" spans="1:30" x14ac:dyDescent="0.25">
      <c r="H1343">
        <v>1201</v>
      </c>
    </row>
    <row r="1344" spans="1:30" x14ac:dyDescent="0.25">
      <c r="A1344">
        <v>669</v>
      </c>
      <c r="B1344">
        <v>1908</v>
      </c>
      <c r="C1344" t="s">
        <v>2827</v>
      </c>
      <c r="D1344" t="s">
        <v>76</v>
      </c>
      <c r="E1344" t="s">
        <v>268</v>
      </c>
      <c r="F1344" t="s">
        <v>2828</v>
      </c>
      <c r="G1344" t="str">
        <f>"201406001204"</f>
        <v>201406001204</v>
      </c>
      <c r="H1344" t="s">
        <v>2829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10</v>
      </c>
      <c r="W1344">
        <v>70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2830</v>
      </c>
    </row>
    <row r="1345" spans="1:30" x14ac:dyDescent="0.25">
      <c r="H1345" t="s">
        <v>2831</v>
      </c>
    </row>
    <row r="1346" spans="1:30" x14ac:dyDescent="0.25">
      <c r="A1346">
        <v>670</v>
      </c>
      <c r="B1346">
        <v>2376</v>
      </c>
      <c r="C1346" t="s">
        <v>2832</v>
      </c>
      <c r="D1346" t="s">
        <v>906</v>
      </c>
      <c r="E1346" t="s">
        <v>416</v>
      </c>
      <c r="F1346" t="s">
        <v>2833</v>
      </c>
      <c r="G1346" t="str">
        <f>"201412005028"</f>
        <v>201412005028</v>
      </c>
      <c r="H1346" t="s">
        <v>773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50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35</v>
      </c>
      <c r="W1346">
        <v>245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2834</v>
      </c>
    </row>
    <row r="1347" spans="1:30" x14ac:dyDescent="0.25">
      <c r="H1347" t="s">
        <v>2835</v>
      </c>
    </row>
    <row r="1348" spans="1:30" x14ac:dyDescent="0.25">
      <c r="A1348">
        <v>671</v>
      </c>
      <c r="B1348">
        <v>5302</v>
      </c>
      <c r="C1348" t="s">
        <v>2836</v>
      </c>
      <c r="D1348" t="s">
        <v>185</v>
      </c>
      <c r="E1348" t="s">
        <v>122</v>
      </c>
      <c r="F1348" t="s">
        <v>2837</v>
      </c>
      <c r="G1348" t="str">
        <f>"00333899"</f>
        <v>00333899</v>
      </c>
      <c r="H1348" t="s">
        <v>388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22</v>
      </c>
      <c r="W1348">
        <v>154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2838</v>
      </c>
    </row>
    <row r="1349" spans="1:30" x14ac:dyDescent="0.25">
      <c r="H1349" t="s">
        <v>1765</v>
      </c>
    </row>
    <row r="1350" spans="1:30" x14ac:dyDescent="0.25">
      <c r="A1350">
        <v>672</v>
      </c>
      <c r="B1350">
        <v>3828</v>
      </c>
      <c r="C1350" t="s">
        <v>2839</v>
      </c>
      <c r="D1350" t="s">
        <v>715</v>
      </c>
      <c r="E1350" t="s">
        <v>44</v>
      </c>
      <c r="F1350" t="s">
        <v>2840</v>
      </c>
      <c r="G1350" t="str">
        <f>"201511015778"</f>
        <v>201511015778</v>
      </c>
      <c r="H1350">
        <v>748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70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14</v>
      </c>
      <c r="W1350">
        <v>98</v>
      </c>
      <c r="X1350">
        <v>0</v>
      </c>
      <c r="Z1350">
        <v>0</v>
      </c>
      <c r="AA1350">
        <v>0</v>
      </c>
      <c r="AB1350">
        <v>0</v>
      </c>
      <c r="AC1350">
        <v>0</v>
      </c>
      <c r="AD1350">
        <v>916</v>
      </c>
    </row>
    <row r="1351" spans="1:30" x14ac:dyDescent="0.25">
      <c r="H1351" t="s">
        <v>2841</v>
      </c>
    </row>
    <row r="1352" spans="1:30" x14ac:dyDescent="0.25">
      <c r="A1352">
        <v>673</v>
      </c>
      <c r="B1352">
        <v>12</v>
      </c>
      <c r="C1352" t="s">
        <v>2842</v>
      </c>
      <c r="D1352" t="s">
        <v>2812</v>
      </c>
      <c r="E1352" t="s">
        <v>1164</v>
      </c>
      <c r="F1352" t="s">
        <v>2843</v>
      </c>
      <c r="G1352" t="str">
        <f>"00183746"</f>
        <v>00183746</v>
      </c>
      <c r="H1352" t="s">
        <v>346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50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-8</v>
      </c>
      <c r="W1352">
        <v>-56</v>
      </c>
      <c r="X1352">
        <v>0</v>
      </c>
      <c r="Z1352">
        <v>0</v>
      </c>
      <c r="AA1352">
        <v>0</v>
      </c>
      <c r="AB1352">
        <v>8</v>
      </c>
      <c r="AC1352">
        <v>136</v>
      </c>
      <c r="AD1352" t="s">
        <v>2844</v>
      </c>
    </row>
    <row r="1353" spans="1:30" x14ac:dyDescent="0.25">
      <c r="H1353" t="s">
        <v>2845</v>
      </c>
    </row>
    <row r="1354" spans="1:30" x14ac:dyDescent="0.25">
      <c r="A1354">
        <v>674</v>
      </c>
      <c r="B1354">
        <v>4051</v>
      </c>
      <c r="C1354" t="s">
        <v>2846</v>
      </c>
      <c r="D1354" t="s">
        <v>262</v>
      </c>
      <c r="E1354" t="s">
        <v>220</v>
      </c>
      <c r="F1354" t="s">
        <v>2847</v>
      </c>
      <c r="G1354" t="str">
        <f>"00354224"</f>
        <v>00354224</v>
      </c>
      <c r="H1354" t="s">
        <v>827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50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4</v>
      </c>
      <c r="W1354">
        <v>28</v>
      </c>
      <c r="X1354">
        <v>0</v>
      </c>
      <c r="Z1354">
        <v>0</v>
      </c>
      <c r="AA1354">
        <v>0</v>
      </c>
      <c r="AB1354">
        <v>6</v>
      </c>
      <c r="AC1354">
        <v>102</v>
      </c>
      <c r="AD1354" t="s">
        <v>2848</v>
      </c>
    </row>
    <row r="1355" spans="1:30" x14ac:dyDescent="0.25">
      <c r="H1355" t="s">
        <v>2849</v>
      </c>
    </row>
    <row r="1356" spans="1:30" x14ac:dyDescent="0.25">
      <c r="A1356">
        <v>675</v>
      </c>
      <c r="B1356">
        <v>4817</v>
      </c>
      <c r="C1356" t="s">
        <v>2850</v>
      </c>
      <c r="D1356" t="s">
        <v>69</v>
      </c>
      <c r="E1356" t="s">
        <v>15</v>
      </c>
      <c r="F1356" t="s">
        <v>2851</v>
      </c>
      <c r="G1356" t="str">
        <f>"00229424"</f>
        <v>00229424</v>
      </c>
      <c r="H1356" t="s">
        <v>2852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2853</v>
      </c>
    </row>
    <row r="1357" spans="1:30" x14ac:dyDescent="0.25">
      <c r="H1357" t="s">
        <v>2854</v>
      </c>
    </row>
    <row r="1358" spans="1:30" x14ac:dyDescent="0.25">
      <c r="A1358">
        <v>676</v>
      </c>
      <c r="B1358">
        <v>1598</v>
      </c>
      <c r="C1358" t="s">
        <v>2855</v>
      </c>
      <c r="D1358" t="s">
        <v>604</v>
      </c>
      <c r="E1358" t="s">
        <v>44</v>
      </c>
      <c r="F1358" t="s">
        <v>2856</v>
      </c>
      <c r="G1358" t="str">
        <f>"00310578"</f>
        <v>00310578</v>
      </c>
      <c r="H1358" t="s">
        <v>175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22</v>
      </c>
      <c r="W1358">
        <v>154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2857</v>
      </c>
    </row>
    <row r="1359" spans="1:30" x14ac:dyDescent="0.25">
      <c r="H1359" t="s">
        <v>2858</v>
      </c>
    </row>
    <row r="1360" spans="1:30" x14ac:dyDescent="0.25">
      <c r="A1360">
        <v>677</v>
      </c>
      <c r="B1360">
        <v>551</v>
      </c>
      <c r="C1360" t="s">
        <v>2859</v>
      </c>
      <c r="D1360" t="s">
        <v>55</v>
      </c>
      <c r="E1360" t="s">
        <v>34</v>
      </c>
      <c r="F1360" t="s">
        <v>2860</v>
      </c>
      <c r="G1360" t="str">
        <f>"201604000693"</f>
        <v>201604000693</v>
      </c>
      <c r="H1360" t="s">
        <v>1439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Z1360">
        <v>0</v>
      </c>
      <c r="AA1360">
        <v>0</v>
      </c>
      <c r="AB1360">
        <v>8</v>
      </c>
      <c r="AC1360">
        <v>136</v>
      </c>
      <c r="AD1360" t="s">
        <v>2861</v>
      </c>
    </row>
    <row r="1361" spans="1:30" x14ac:dyDescent="0.25">
      <c r="H1361" t="s">
        <v>2862</v>
      </c>
    </row>
    <row r="1362" spans="1:30" x14ac:dyDescent="0.25">
      <c r="A1362">
        <v>678</v>
      </c>
      <c r="B1362">
        <v>4298</v>
      </c>
      <c r="C1362" t="s">
        <v>2863</v>
      </c>
      <c r="D1362" t="s">
        <v>530</v>
      </c>
      <c r="E1362" t="s">
        <v>93</v>
      </c>
      <c r="F1362" t="s">
        <v>2864</v>
      </c>
      <c r="G1362" t="str">
        <f>"201604005044"</f>
        <v>201604005044</v>
      </c>
      <c r="H1362" t="s">
        <v>2865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36</v>
      </c>
      <c r="W1362">
        <v>252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2866</v>
      </c>
    </row>
    <row r="1363" spans="1:30" x14ac:dyDescent="0.25">
      <c r="H1363" t="s">
        <v>2867</v>
      </c>
    </row>
    <row r="1364" spans="1:30" x14ac:dyDescent="0.25">
      <c r="A1364">
        <v>679</v>
      </c>
      <c r="B1364">
        <v>4930</v>
      </c>
      <c r="C1364" t="s">
        <v>2868</v>
      </c>
      <c r="D1364" t="s">
        <v>604</v>
      </c>
      <c r="E1364" t="s">
        <v>319</v>
      </c>
      <c r="F1364" t="s">
        <v>2869</v>
      </c>
      <c r="G1364" t="str">
        <f>"200810000016"</f>
        <v>200810000016</v>
      </c>
      <c r="H1364" t="s">
        <v>1675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23</v>
      </c>
      <c r="W1364">
        <v>161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2870</v>
      </c>
    </row>
    <row r="1365" spans="1:30" x14ac:dyDescent="0.25">
      <c r="H1365" t="s">
        <v>2871</v>
      </c>
    </row>
    <row r="1366" spans="1:30" x14ac:dyDescent="0.25">
      <c r="A1366">
        <v>680</v>
      </c>
      <c r="B1366">
        <v>5634</v>
      </c>
      <c r="C1366" t="s">
        <v>1422</v>
      </c>
      <c r="D1366" t="s">
        <v>69</v>
      </c>
      <c r="E1366" t="s">
        <v>107</v>
      </c>
      <c r="F1366" t="s">
        <v>2872</v>
      </c>
      <c r="G1366" t="str">
        <f>"201406010234"</f>
        <v>201406010234</v>
      </c>
      <c r="H1366" t="s">
        <v>2441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27</v>
      </c>
      <c r="W1366">
        <v>189</v>
      </c>
      <c r="X1366">
        <v>0</v>
      </c>
      <c r="Z1366">
        <v>1</v>
      </c>
      <c r="AA1366">
        <v>0</v>
      </c>
      <c r="AB1366">
        <v>0</v>
      </c>
      <c r="AC1366">
        <v>0</v>
      </c>
      <c r="AD1366" t="s">
        <v>2873</v>
      </c>
    </row>
    <row r="1367" spans="1:30" x14ac:dyDescent="0.25">
      <c r="H1367" t="s">
        <v>2874</v>
      </c>
    </row>
    <row r="1368" spans="1:30" x14ac:dyDescent="0.25">
      <c r="A1368">
        <v>681</v>
      </c>
      <c r="B1368">
        <v>3494</v>
      </c>
      <c r="C1368" t="s">
        <v>2875</v>
      </c>
      <c r="D1368" t="s">
        <v>2876</v>
      </c>
      <c r="E1368" t="s">
        <v>107</v>
      </c>
      <c r="F1368" t="s">
        <v>2877</v>
      </c>
      <c r="G1368" t="str">
        <f>"00357818"</f>
        <v>00357818</v>
      </c>
      <c r="H1368" t="s">
        <v>1357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21</v>
      </c>
      <c r="W1368">
        <v>147</v>
      </c>
      <c r="X1368">
        <v>0</v>
      </c>
      <c r="Z1368">
        <v>2</v>
      </c>
      <c r="AA1368">
        <v>0</v>
      </c>
      <c r="AB1368">
        <v>0</v>
      </c>
      <c r="AC1368">
        <v>0</v>
      </c>
      <c r="AD1368" t="s">
        <v>2878</v>
      </c>
    </row>
    <row r="1369" spans="1:30" x14ac:dyDescent="0.25">
      <c r="H1369" t="s">
        <v>2879</v>
      </c>
    </row>
    <row r="1370" spans="1:30" x14ac:dyDescent="0.25">
      <c r="A1370">
        <v>682</v>
      </c>
      <c r="B1370">
        <v>6183</v>
      </c>
      <c r="C1370" t="s">
        <v>267</v>
      </c>
      <c r="D1370" t="s">
        <v>2880</v>
      </c>
      <c r="E1370" t="s">
        <v>220</v>
      </c>
      <c r="F1370" t="s">
        <v>2881</v>
      </c>
      <c r="G1370" t="str">
        <f>"201406002893"</f>
        <v>201406002893</v>
      </c>
      <c r="H1370" t="s">
        <v>2882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</v>
      </c>
      <c r="W1370">
        <v>56</v>
      </c>
      <c r="X1370">
        <v>0</v>
      </c>
      <c r="Z1370">
        <v>3</v>
      </c>
      <c r="AA1370">
        <v>0</v>
      </c>
      <c r="AB1370">
        <v>0</v>
      </c>
      <c r="AC1370">
        <v>0</v>
      </c>
      <c r="AD1370" t="s">
        <v>2883</v>
      </c>
    </row>
    <row r="1371" spans="1:30" x14ac:dyDescent="0.25">
      <c r="H1371" t="s">
        <v>2884</v>
      </c>
    </row>
    <row r="1372" spans="1:30" x14ac:dyDescent="0.25">
      <c r="A1372">
        <v>683</v>
      </c>
      <c r="B1372">
        <v>2950</v>
      </c>
      <c r="C1372" t="s">
        <v>289</v>
      </c>
      <c r="D1372" t="s">
        <v>2885</v>
      </c>
      <c r="E1372" t="s">
        <v>34</v>
      </c>
      <c r="F1372" t="s">
        <v>2886</v>
      </c>
      <c r="G1372" t="str">
        <f>"00205500"</f>
        <v>00205500</v>
      </c>
      <c r="H1372" t="s">
        <v>2887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2888</v>
      </c>
    </row>
    <row r="1373" spans="1:30" x14ac:dyDescent="0.25">
      <c r="H1373" t="s">
        <v>2889</v>
      </c>
    </row>
    <row r="1374" spans="1:30" x14ac:dyDescent="0.25">
      <c r="A1374">
        <v>684</v>
      </c>
      <c r="B1374">
        <v>292</v>
      </c>
      <c r="C1374" t="s">
        <v>2890</v>
      </c>
      <c r="D1374" t="s">
        <v>93</v>
      </c>
      <c r="E1374" t="s">
        <v>1366</v>
      </c>
      <c r="F1374" t="s">
        <v>2891</v>
      </c>
      <c r="G1374" t="str">
        <f>"201406016170"</f>
        <v>201406016170</v>
      </c>
      <c r="H1374" t="s">
        <v>787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28</v>
      </c>
      <c r="W1374">
        <v>196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2892</v>
      </c>
    </row>
    <row r="1375" spans="1:30" x14ac:dyDescent="0.25">
      <c r="H1375" t="s">
        <v>2893</v>
      </c>
    </row>
    <row r="1376" spans="1:30" x14ac:dyDescent="0.25">
      <c r="A1376">
        <v>685</v>
      </c>
      <c r="B1376">
        <v>771</v>
      </c>
      <c r="C1376" t="s">
        <v>2894</v>
      </c>
      <c r="D1376" t="s">
        <v>566</v>
      </c>
      <c r="E1376" t="s">
        <v>28</v>
      </c>
      <c r="F1376" t="s">
        <v>2895</v>
      </c>
      <c r="G1376" t="str">
        <f>"201412000231"</f>
        <v>201412000231</v>
      </c>
      <c r="H1376" t="s">
        <v>226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50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2896</v>
      </c>
    </row>
    <row r="1377" spans="1:30" x14ac:dyDescent="0.25">
      <c r="H1377" t="s">
        <v>2897</v>
      </c>
    </row>
    <row r="1378" spans="1:30" x14ac:dyDescent="0.25">
      <c r="A1378">
        <v>686</v>
      </c>
      <c r="B1378">
        <v>1030</v>
      </c>
      <c r="C1378" t="s">
        <v>2898</v>
      </c>
      <c r="D1378" t="s">
        <v>23</v>
      </c>
      <c r="E1378" t="s">
        <v>2899</v>
      </c>
      <c r="F1378" t="s">
        <v>2900</v>
      </c>
      <c r="G1378" t="str">
        <f>"201412003121"</f>
        <v>201412003121</v>
      </c>
      <c r="H1378" t="s">
        <v>576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30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24</v>
      </c>
      <c r="W1378">
        <v>168</v>
      </c>
      <c r="X1378">
        <v>0</v>
      </c>
      <c r="Z1378">
        <v>1</v>
      </c>
      <c r="AA1378">
        <v>0</v>
      </c>
      <c r="AB1378">
        <v>0</v>
      </c>
      <c r="AC1378">
        <v>0</v>
      </c>
      <c r="AD1378" t="s">
        <v>88</v>
      </c>
    </row>
    <row r="1379" spans="1:30" x14ac:dyDescent="0.25">
      <c r="H1379" t="s">
        <v>2901</v>
      </c>
    </row>
    <row r="1380" spans="1:30" x14ac:dyDescent="0.25">
      <c r="A1380">
        <v>687</v>
      </c>
      <c r="B1380">
        <v>5146</v>
      </c>
      <c r="C1380" t="s">
        <v>2902</v>
      </c>
      <c r="D1380" t="s">
        <v>168</v>
      </c>
      <c r="E1380" t="s">
        <v>146</v>
      </c>
      <c r="F1380" t="s">
        <v>2903</v>
      </c>
      <c r="G1380" t="str">
        <f>"201511042848"</f>
        <v>201511042848</v>
      </c>
      <c r="H1380" t="s">
        <v>2887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5</v>
      </c>
      <c r="W1380">
        <v>35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2904</v>
      </c>
    </row>
    <row r="1381" spans="1:30" x14ac:dyDescent="0.25">
      <c r="H1381" t="s">
        <v>2905</v>
      </c>
    </row>
    <row r="1382" spans="1:30" x14ac:dyDescent="0.25">
      <c r="A1382">
        <v>688</v>
      </c>
      <c r="B1382">
        <v>4167</v>
      </c>
      <c r="C1382" t="s">
        <v>2906</v>
      </c>
      <c r="D1382" t="s">
        <v>771</v>
      </c>
      <c r="E1382" t="s">
        <v>2907</v>
      </c>
      <c r="F1382" t="s">
        <v>2908</v>
      </c>
      <c r="G1382" t="str">
        <f>"00360685"</f>
        <v>00360685</v>
      </c>
      <c r="H1382" t="s">
        <v>1266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24</v>
      </c>
      <c r="W1382">
        <v>168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581</v>
      </c>
    </row>
    <row r="1383" spans="1:30" x14ac:dyDescent="0.25">
      <c r="H1383" t="s">
        <v>2909</v>
      </c>
    </row>
    <row r="1384" spans="1:30" x14ac:dyDescent="0.25">
      <c r="A1384">
        <v>689</v>
      </c>
      <c r="B1384">
        <v>3297</v>
      </c>
      <c r="C1384" t="s">
        <v>2910</v>
      </c>
      <c r="D1384" t="s">
        <v>2911</v>
      </c>
      <c r="E1384" t="s">
        <v>24</v>
      </c>
      <c r="F1384" t="s">
        <v>2912</v>
      </c>
      <c r="G1384" t="str">
        <f>"00360241"</f>
        <v>00360241</v>
      </c>
      <c r="H1384" t="s">
        <v>2312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0</v>
      </c>
      <c r="P1384">
        <v>0</v>
      </c>
      <c r="Q1384">
        <v>30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2913</v>
      </c>
    </row>
    <row r="1385" spans="1:30" x14ac:dyDescent="0.25">
      <c r="H1385" t="s">
        <v>2914</v>
      </c>
    </row>
    <row r="1386" spans="1:30" x14ac:dyDescent="0.25">
      <c r="A1386">
        <v>690</v>
      </c>
      <c r="B1386">
        <v>6121</v>
      </c>
      <c r="C1386" t="s">
        <v>2915</v>
      </c>
      <c r="D1386" t="s">
        <v>1705</v>
      </c>
      <c r="E1386" t="s">
        <v>644</v>
      </c>
      <c r="F1386" t="s">
        <v>2916</v>
      </c>
      <c r="G1386" t="str">
        <f>"201507001510"</f>
        <v>201507001510</v>
      </c>
      <c r="H1386" t="s">
        <v>576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23</v>
      </c>
      <c r="W1386">
        <v>161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2917</v>
      </c>
    </row>
    <row r="1387" spans="1:30" x14ac:dyDescent="0.25">
      <c r="H1387" t="s">
        <v>2918</v>
      </c>
    </row>
    <row r="1388" spans="1:30" x14ac:dyDescent="0.25">
      <c r="A1388">
        <v>691</v>
      </c>
      <c r="B1388">
        <v>3724</v>
      </c>
      <c r="C1388" t="s">
        <v>2919</v>
      </c>
      <c r="D1388" t="s">
        <v>2920</v>
      </c>
      <c r="E1388" t="s">
        <v>511</v>
      </c>
      <c r="F1388" t="s">
        <v>2921</v>
      </c>
      <c r="G1388" t="str">
        <f>"00344005"</f>
        <v>00344005</v>
      </c>
      <c r="H1388" t="s">
        <v>1793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17</v>
      </c>
      <c r="W1388">
        <v>119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2922</v>
      </c>
    </row>
    <row r="1389" spans="1:30" x14ac:dyDescent="0.25">
      <c r="H1389" t="s">
        <v>2923</v>
      </c>
    </row>
    <row r="1390" spans="1:30" x14ac:dyDescent="0.25">
      <c r="A1390">
        <v>692</v>
      </c>
      <c r="B1390">
        <v>1398</v>
      </c>
      <c r="C1390" t="s">
        <v>2924</v>
      </c>
      <c r="D1390" t="s">
        <v>23</v>
      </c>
      <c r="E1390" t="s">
        <v>644</v>
      </c>
      <c r="F1390" t="s">
        <v>2925</v>
      </c>
      <c r="G1390" t="str">
        <f>"00305057"</f>
        <v>00305057</v>
      </c>
      <c r="H1390">
        <v>858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Z1390">
        <v>0</v>
      </c>
      <c r="AA1390">
        <v>0</v>
      </c>
      <c r="AB1390">
        <v>0</v>
      </c>
      <c r="AC1390">
        <v>0</v>
      </c>
      <c r="AD1390">
        <v>888</v>
      </c>
    </row>
    <row r="1391" spans="1:30" x14ac:dyDescent="0.25">
      <c r="H1391" t="s">
        <v>2926</v>
      </c>
    </row>
    <row r="1392" spans="1:30" x14ac:dyDescent="0.25">
      <c r="A1392">
        <v>693</v>
      </c>
      <c r="B1392">
        <v>4663</v>
      </c>
      <c r="C1392" t="s">
        <v>2927</v>
      </c>
      <c r="D1392" t="s">
        <v>2928</v>
      </c>
      <c r="E1392" t="s">
        <v>28</v>
      </c>
      <c r="F1392" t="s">
        <v>2929</v>
      </c>
      <c r="G1392" t="str">
        <f>"00231043"</f>
        <v>00231043</v>
      </c>
      <c r="H1392" t="s">
        <v>2508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6</v>
      </c>
      <c r="W1392">
        <v>42</v>
      </c>
      <c r="X1392">
        <v>0</v>
      </c>
      <c r="Z1392">
        <v>0</v>
      </c>
      <c r="AA1392">
        <v>0</v>
      </c>
      <c r="AB1392">
        <v>2</v>
      </c>
      <c r="AC1392">
        <v>34</v>
      </c>
      <c r="AD1392" t="s">
        <v>2930</v>
      </c>
    </row>
    <row r="1393" spans="1:30" x14ac:dyDescent="0.25">
      <c r="H1393" t="s">
        <v>2931</v>
      </c>
    </row>
    <row r="1394" spans="1:30" x14ac:dyDescent="0.25">
      <c r="A1394">
        <v>694</v>
      </c>
      <c r="B1394">
        <v>5231</v>
      </c>
      <c r="C1394" t="s">
        <v>2932</v>
      </c>
      <c r="D1394" t="s">
        <v>93</v>
      </c>
      <c r="E1394" t="s">
        <v>150</v>
      </c>
      <c r="F1394" t="s">
        <v>2933</v>
      </c>
      <c r="G1394" t="str">
        <f>"201511029213"</f>
        <v>201511029213</v>
      </c>
      <c r="H1394" t="s">
        <v>2934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14</v>
      </c>
      <c r="W1394">
        <v>98</v>
      </c>
      <c r="X1394">
        <v>0</v>
      </c>
      <c r="Z1394">
        <v>0</v>
      </c>
      <c r="AA1394">
        <v>0</v>
      </c>
      <c r="AB1394">
        <v>5</v>
      </c>
      <c r="AC1394">
        <v>85</v>
      </c>
      <c r="AD1394" t="s">
        <v>2935</v>
      </c>
    </row>
    <row r="1395" spans="1:30" x14ac:dyDescent="0.25">
      <c r="H1395" t="s">
        <v>1765</v>
      </c>
    </row>
    <row r="1396" spans="1:30" x14ac:dyDescent="0.25">
      <c r="A1396">
        <v>695</v>
      </c>
      <c r="B1396">
        <v>6120</v>
      </c>
      <c r="C1396" t="s">
        <v>2936</v>
      </c>
      <c r="D1396" t="s">
        <v>168</v>
      </c>
      <c r="E1396" t="s">
        <v>530</v>
      </c>
      <c r="F1396" t="s">
        <v>2937</v>
      </c>
      <c r="G1396" t="str">
        <f>"00364261"</f>
        <v>00364261</v>
      </c>
      <c r="H1396" t="s">
        <v>1685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70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14</v>
      </c>
      <c r="W1396">
        <v>98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2938</v>
      </c>
    </row>
    <row r="1397" spans="1:30" x14ac:dyDescent="0.25">
      <c r="H1397" t="s">
        <v>2889</v>
      </c>
    </row>
    <row r="1398" spans="1:30" x14ac:dyDescent="0.25">
      <c r="A1398">
        <v>696</v>
      </c>
      <c r="B1398">
        <v>5150</v>
      </c>
      <c r="C1398" t="s">
        <v>2939</v>
      </c>
      <c r="D1398" t="s">
        <v>1934</v>
      </c>
      <c r="E1398" t="s">
        <v>107</v>
      </c>
      <c r="F1398" t="s">
        <v>2940</v>
      </c>
      <c r="G1398" t="str">
        <f>"201402005149"</f>
        <v>201402005149</v>
      </c>
      <c r="H1398" t="s">
        <v>1716</v>
      </c>
      <c r="I1398">
        <v>0</v>
      </c>
      <c r="J1398">
        <v>0</v>
      </c>
      <c r="K1398">
        <v>0</v>
      </c>
      <c r="L1398">
        <v>0</v>
      </c>
      <c r="M1398">
        <v>100</v>
      </c>
      <c r="N1398">
        <v>50</v>
      </c>
      <c r="O1398">
        <v>0</v>
      </c>
      <c r="P1398">
        <v>0</v>
      </c>
      <c r="Q1398">
        <v>0</v>
      </c>
      <c r="R1398">
        <v>30</v>
      </c>
      <c r="S1398">
        <v>0</v>
      </c>
      <c r="T1398">
        <v>0</v>
      </c>
      <c r="U1398">
        <v>0</v>
      </c>
      <c r="V1398">
        <v>5</v>
      </c>
      <c r="W1398">
        <v>35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2941</v>
      </c>
    </row>
    <row r="1399" spans="1:30" x14ac:dyDescent="0.25">
      <c r="H1399" t="s">
        <v>2942</v>
      </c>
    </row>
    <row r="1400" spans="1:30" x14ac:dyDescent="0.25">
      <c r="A1400">
        <v>697</v>
      </c>
      <c r="B1400">
        <v>5242</v>
      </c>
      <c r="C1400" t="s">
        <v>2943</v>
      </c>
      <c r="D1400" t="s">
        <v>2360</v>
      </c>
      <c r="E1400" t="s">
        <v>107</v>
      </c>
      <c r="F1400" t="s">
        <v>2944</v>
      </c>
      <c r="G1400" t="str">
        <f>"201511020563"</f>
        <v>201511020563</v>
      </c>
      <c r="H1400">
        <v>671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26</v>
      </c>
      <c r="W1400">
        <v>182</v>
      </c>
      <c r="X1400">
        <v>0</v>
      </c>
      <c r="Z1400">
        <v>0</v>
      </c>
      <c r="AA1400">
        <v>0</v>
      </c>
      <c r="AB1400">
        <v>0</v>
      </c>
      <c r="AC1400">
        <v>0</v>
      </c>
      <c r="AD1400">
        <v>883</v>
      </c>
    </row>
    <row r="1401" spans="1:30" x14ac:dyDescent="0.25">
      <c r="H1401" t="s">
        <v>2945</v>
      </c>
    </row>
    <row r="1402" spans="1:30" x14ac:dyDescent="0.25">
      <c r="A1402">
        <v>698</v>
      </c>
      <c r="B1402">
        <v>3830</v>
      </c>
      <c r="C1402" t="s">
        <v>2946</v>
      </c>
      <c r="D1402" t="s">
        <v>210</v>
      </c>
      <c r="E1402" t="s">
        <v>24</v>
      </c>
      <c r="F1402" t="s">
        <v>2947</v>
      </c>
      <c r="G1402" t="str">
        <f>"00154436"</f>
        <v>00154436</v>
      </c>
      <c r="H1402" t="s">
        <v>2698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23</v>
      </c>
      <c r="W1402">
        <v>161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2948</v>
      </c>
    </row>
    <row r="1403" spans="1:30" x14ac:dyDescent="0.25">
      <c r="H1403" t="s">
        <v>2949</v>
      </c>
    </row>
    <row r="1404" spans="1:30" x14ac:dyDescent="0.25">
      <c r="A1404">
        <v>699</v>
      </c>
      <c r="B1404">
        <v>891</v>
      </c>
      <c r="C1404" t="s">
        <v>2950</v>
      </c>
      <c r="D1404" t="s">
        <v>685</v>
      </c>
      <c r="E1404" t="s">
        <v>330</v>
      </c>
      <c r="F1404" t="s">
        <v>2951</v>
      </c>
      <c r="G1404" t="str">
        <f>"201409002391"</f>
        <v>201409002391</v>
      </c>
      <c r="H1404" t="s">
        <v>1260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12</v>
      </c>
      <c r="W1404">
        <v>84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2952</v>
      </c>
    </row>
    <row r="1405" spans="1:30" x14ac:dyDescent="0.25">
      <c r="H1405" t="s">
        <v>2953</v>
      </c>
    </row>
    <row r="1406" spans="1:30" x14ac:dyDescent="0.25">
      <c r="A1406">
        <v>700</v>
      </c>
      <c r="B1406">
        <v>4522</v>
      </c>
      <c r="C1406" t="s">
        <v>2954</v>
      </c>
      <c r="D1406" t="s">
        <v>2955</v>
      </c>
      <c r="E1406" t="s">
        <v>2956</v>
      </c>
      <c r="F1406" t="s">
        <v>2957</v>
      </c>
      <c r="G1406" t="str">
        <f>"00363258"</f>
        <v>00363258</v>
      </c>
      <c r="H1406" t="s">
        <v>1266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30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17</v>
      </c>
      <c r="W1406">
        <v>119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2958</v>
      </c>
    </row>
    <row r="1407" spans="1:30" x14ac:dyDescent="0.25">
      <c r="H1407" t="s">
        <v>2959</v>
      </c>
    </row>
    <row r="1408" spans="1:30" x14ac:dyDescent="0.25">
      <c r="A1408">
        <v>701</v>
      </c>
      <c r="B1408">
        <v>4885</v>
      </c>
      <c r="C1408" t="s">
        <v>2960</v>
      </c>
      <c r="D1408" t="s">
        <v>566</v>
      </c>
      <c r="E1408" t="s">
        <v>146</v>
      </c>
      <c r="F1408" t="s">
        <v>2961</v>
      </c>
      <c r="G1408" t="str">
        <f>"201511010136"</f>
        <v>201511010136</v>
      </c>
      <c r="H1408" t="s">
        <v>2433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14</v>
      </c>
      <c r="W1408">
        <v>98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2962</v>
      </c>
    </row>
    <row r="1409" spans="1:30" x14ac:dyDescent="0.25">
      <c r="H1409" t="s">
        <v>2963</v>
      </c>
    </row>
    <row r="1410" spans="1:30" x14ac:dyDescent="0.25">
      <c r="A1410">
        <v>702</v>
      </c>
      <c r="B1410">
        <v>2714</v>
      </c>
      <c r="C1410" t="s">
        <v>2964</v>
      </c>
      <c r="D1410" t="s">
        <v>24</v>
      </c>
      <c r="E1410" t="s">
        <v>34</v>
      </c>
      <c r="F1410" t="s">
        <v>2965</v>
      </c>
      <c r="G1410" t="str">
        <f>"201406011255"</f>
        <v>201406011255</v>
      </c>
      <c r="H1410" t="s">
        <v>627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11</v>
      </c>
      <c r="W1410">
        <v>77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2966</v>
      </c>
    </row>
    <row r="1411" spans="1:30" x14ac:dyDescent="0.25">
      <c r="H1411" t="s">
        <v>2967</v>
      </c>
    </row>
    <row r="1412" spans="1:30" x14ac:dyDescent="0.25">
      <c r="A1412">
        <v>703</v>
      </c>
      <c r="B1412">
        <v>3470</v>
      </c>
      <c r="C1412" t="s">
        <v>2968</v>
      </c>
      <c r="D1412" t="s">
        <v>2969</v>
      </c>
      <c r="E1412" t="s">
        <v>146</v>
      </c>
      <c r="F1412" t="s">
        <v>2970</v>
      </c>
      <c r="G1412" t="str">
        <f>"00161587"</f>
        <v>00161587</v>
      </c>
      <c r="H1412">
        <v>660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27</v>
      </c>
      <c r="W1412">
        <v>189</v>
      </c>
      <c r="X1412">
        <v>0</v>
      </c>
      <c r="Z1412">
        <v>0</v>
      </c>
      <c r="AA1412">
        <v>0</v>
      </c>
      <c r="AB1412">
        <v>0</v>
      </c>
      <c r="AC1412">
        <v>0</v>
      </c>
      <c r="AD1412">
        <v>879</v>
      </c>
    </row>
    <row r="1413" spans="1:30" x14ac:dyDescent="0.25">
      <c r="H1413" t="s">
        <v>2971</v>
      </c>
    </row>
    <row r="1414" spans="1:30" x14ac:dyDescent="0.25">
      <c r="A1414">
        <v>704</v>
      </c>
      <c r="B1414">
        <v>5175</v>
      </c>
      <c r="C1414" t="s">
        <v>2972</v>
      </c>
      <c r="D1414" t="s">
        <v>146</v>
      </c>
      <c r="E1414" t="s">
        <v>107</v>
      </c>
      <c r="F1414" t="s">
        <v>2973</v>
      </c>
      <c r="G1414" t="str">
        <f>"201604000222"</f>
        <v>201604000222</v>
      </c>
      <c r="H1414" t="s">
        <v>2974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20</v>
      </c>
      <c r="W1414">
        <v>140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2975</v>
      </c>
    </row>
    <row r="1415" spans="1:30" x14ac:dyDescent="0.25">
      <c r="H1415" t="s">
        <v>2976</v>
      </c>
    </row>
    <row r="1416" spans="1:30" x14ac:dyDescent="0.25">
      <c r="A1416">
        <v>705</v>
      </c>
      <c r="B1416">
        <v>6169</v>
      </c>
      <c r="C1416" t="s">
        <v>670</v>
      </c>
      <c r="D1416" t="s">
        <v>358</v>
      </c>
      <c r="E1416" t="s">
        <v>146</v>
      </c>
      <c r="F1416" t="s">
        <v>2977</v>
      </c>
      <c r="G1416" t="str">
        <f>"201412005335"</f>
        <v>201412005335</v>
      </c>
      <c r="H1416" t="s">
        <v>1651</v>
      </c>
      <c r="I1416">
        <v>0</v>
      </c>
      <c r="J1416">
        <v>0</v>
      </c>
      <c r="K1416">
        <v>0</v>
      </c>
      <c r="L1416">
        <v>0</v>
      </c>
      <c r="M1416">
        <v>100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14</v>
      </c>
      <c r="W1416">
        <v>98</v>
      </c>
      <c r="X1416">
        <v>0</v>
      </c>
      <c r="Z1416">
        <v>2</v>
      </c>
      <c r="AA1416">
        <v>0</v>
      </c>
      <c r="AB1416">
        <v>0</v>
      </c>
      <c r="AC1416">
        <v>0</v>
      </c>
      <c r="AD1416" t="s">
        <v>2978</v>
      </c>
    </row>
    <row r="1417" spans="1:30" x14ac:dyDescent="0.25">
      <c r="H1417">
        <v>1201</v>
      </c>
    </row>
    <row r="1418" spans="1:30" x14ac:dyDescent="0.25">
      <c r="A1418">
        <v>706</v>
      </c>
      <c r="B1418">
        <v>1764</v>
      </c>
      <c r="C1418" t="s">
        <v>2979</v>
      </c>
      <c r="D1418" t="s">
        <v>168</v>
      </c>
      <c r="E1418" t="s">
        <v>44</v>
      </c>
      <c r="F1418" t="s">
        <v>2980</v>
      </c>
      <c r="G1418" t="str">
        <f>"200802004245"</f>
        <v>200802004245</v>
      </c>
      <c r="H1418" t="s">
        <v>1272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3</v>
      </c>
      <c r="W1418">
        <v>21</v>
      </c>
      <c r="X1418">
        <v>0</v>
      </c>
      <c r="Z1418">
        <v>2</v>
      </c>
      <c r="AA1418">
        <v>0</v>
      </c>
      <c r="AB1418">
        <v>5</v>
      </c>
      <c r="AC1418">
        <v>85</v>
      </c>
      <c r="AD1418" t="s">
        <v>2981</v>
      </c>
    </row>
    <row r="1419" spans="1:30" x14ac:dyDescent="0.25">
      <c r="H1419" t="s">
        <v>2982</v>
      </c>
    </row>
    <row r="1420" spans="1:30" x14ac:dyDescent="0.25">
      <c r="A1420">
        <v>707</v>
      </c>
      <c r="B1420">
        <v>3433</v>
      </c>
      <c r="C1420" t="s">
        <v>2983</v>
      </c>
      <c r="D1420" t="s">
        <v>2984</v>
      </c>
      <c r="E1420" t="s">
        <v>100</v>
      </c>
      <c r="F1420" t="s">
        <v>2985</v>
      </c>
      <c r="G1420" t="str">
        <f>"00223996"</f>
        <v>00223996</v>
      </c>
      <c r="H1420" t="s">
        <v>2986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30</v>
      </c>
      <c r="W1420">
        <v>210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2987</v>
      </c>
    </row>
    <row r="1421" spans="1:30" x14ac:dyDescent="0.25">
      <c r="H1421" t="s">
        <v>2988</v>
      </c>
    </row>
    <row r="1422" spans="1:30" x14ac:dyDescent="0.25">
      <c r="A1422">
        <v>708</v>
      </c>
      <c r="B1422">
        <v>2319</v>
      </c>
      <c r="C1422" t="s">
        <v>1088</v>
      </c>
      <c r="D1422" t="s">
        <v>34</v>
      </c>
      <c r="E1422" t="s">
        <v>2989</v>
      </c>
      <c r="F1422" t="s">
        <v>2990</v>
      </c>
      <c r="G1422" t="str">
        <f>"00157918"</f>
        <v>00157918</v>
      </c>
      <c r="H1422" t="s">
        <v>551</v>
      </c>
      <c r="I1422">
        <v>0</v>
      </c>
      <c r="J1422">
        <v>0</v>
      </c>
      <c r="K1422">
        <v>0</v>
      </c>
      <c r="L1422">
        <v>0</v>
      </c>
      <c r="M1422">
        <v>100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2991</v>
      </c>
    </row>
    <row r="1423" spans="1:30" x14ac:dyDescent="0.25">
      <c r="H1423" t="s">
        <v>2992</v>
      </c>
    </row>
    <row r="1424" spans="1:30" x14ac:dyDescent="0.25">
      <c r="A1424">
        <v>709</v>
      </c>
      <c r="B1424">
        <v>2834</v>
      </c>
      <c r="C1424" t="s">
        <v>2993</v>
      </c>
      <c r="D1424" t="s">
        <v>34</v>
      </c>
      <c r="E1424" t="s">
        <v>93</v>
      </c>
      <c r="F1424" t="s">
        <v>2994</v>
      </c>
      <c r="G1424" t="str">
        <f>"201406006382"</f>
        <v>201406006382</v>
      </c>
      <c r="H1424" t="s">
        <v>1077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27</v>
      </c>
      <c r="W1424">
        <v>189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2995</v>
      </c>
    </row>
    <row r="1425" spans="1:30" x14ac:dyDescent="0.25">
      <c r="H1425" t="s">
        <v>2996</v>
      </c>
    </row>
    <row r="1426" spans="1:30" x14ac:dyDescent="0.25">
      <c r="A1426">
        <v>710</v>
      </c>
      <c r="B1426">
        <v>3663</v>
      </c>
      <c r="C1426" t="s">
        <v>2997</v>
      </c>
      <c r="D1426" t="s">
        <v>685</v>
      </c>
      <c r="E1426" t="s">
        <v>416</v>
      </c>
      <c r="F1426" t="s">
        <v>2998</v>
      </c>
      <c r="G1426" t="str">
        <f>"00158985"</f>
        <v>00158985</v>
      </c>
      <c r="H1426" t="s">
        <v>424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70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2999</v>
      </c>
    </row>
    <row r="1427" spans="1:30" x14ac:dyDescent="0.25">
      <c r="H1427" t="s">
        <v>3000</v>
      </c>
    </row>
    <row r="1428" spans="1:30" x14ac:dyDescent="0.25">
      <c r="A1428">
        <v>711</v>
      </c>
      <c r="B1428">
        <v>4936</v>
      </c>
      <c r="C1428" t="s">
        <v>3001</v>
      </c>
      <c r="D1428" t="s">
        <v>246</v>
      </c>
      <c r="E1428" t="s">
        <v>93</v>
      </c>
      <c r="F1428" t="s">
        <v>3002</v>
      </c>
      <c r="G1428" t="str">
        <f>"00247444"</f>
        <v>00247444</v>
      </c>
      <c r="H1428" t="s">
        <v>1439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14</v>
      </c>
      <c r="W1428">
        <v>98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3003</v>
      </c>
    </row>
    <row r="1429" spans="1:30" x14ac:dyDescent="0.25">
      <c r="H1429" t="s">
        <v>3004</v>
      </c>
    </row>
    <row r="1430" spans="1:30" x14ac:dyDescent="0.25">
      <c r="A1430">
        <v>712</v>
      </c>
      <c r="B1430">
        <v>6146</v>
      </c>
      <c r="C1430" t="s">
        <v>3005</v>
      </c>
      <c r="D1430" t="s">
        <v>28</v>
      </c>
      <c r="E1430" t="s">
        <v>3006</v>
      </c>
      <c r="F1430" t="s">
        <v>3007</v>
      </c>
      <c r="G1430" t="str">
        <f>"201511037281"</f>
        <v>201511037281</v>
      </c>
      <c r="H1430" t="s">
        <v>3008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3009</v>
      </c>
    </row>
    <row r="1431" spans="1:30" x14ac:dyDescent="0.25">
      <c r="H1431" t="s">
        <v>1399</v>
      </c>
    </row>
    <row r="1432" spans="1:30" x14ac:dyDescent="0.25">
      <c r="A1432">
        <v>713</v>
      </c>
      <c r="B1432">
        <v>3911</v>
      </c>
      <c r="C1432" t="s">
        <v>3010</v>
      </c>
      <c r="D1432" t="s">
        <v>757</v>
      </c>
      <c r="E1432" t="s">
        <v>24</v>
      </c>
      <c r="F1432" t="s">
        <v>3011</v>
      </c>
      <c r="G1432" t="str">
        <f>"00201957"</f>
        <v>00201957</v>
      </c>
      <c r="H1432" t="s">
        <v>1921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16</v>
      </c>
      <c r="W1432">
        <v>112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3012</v>
      </c>
    </row>
    <row r="1433" spans="1:30" x14ac:dyDescent="0.25">
      <c r="H1433" t="s">
        <v>3013</v>
      </c>
    </row>
    <row r="1434" spans="1:30" x14ac:dyDescent="0.25">
      <c r="A1434">
        <v>714</v>
      </c>
      <c r="B1434">
        <v>4692</v>
      </c>
      <c r="C1434" t="s">
        <v>3014</v>
      </c>
      <c r="D1434" t="s">
        <v>604</v>
      </c>
      <c r="E1434" t="s">
        <v>44</v>
      </c>
      <c r="F1434" t="s">
        <v>3015</v>
      </c>
      <c r="G1434" t="str">
        <f>"201406000672"</f>
        <v>201406000672</v>
      </c>
      <c r="H1434" t="s">
        <v>3016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32</v>
      </c>
      <c r="W1434">
        <v>224</v>
      </c>
      <c r="X1434">
        <v>0</v>
      </c>
      <c r="Z1434">
        <v>2</v>
      </c>
      <c r="AA1434">
        <v>0</v>
      </c>
      <c r="AB1434">
        <v>0</v>
      </c>
      <c r="AC1434">
        <v>0</v>
      </c>
      <c r="AD1434" t="s">
        <v>3017</v>
      </c>
    </row>
    <row r="1435" spans="1:30" x14ac:dyDescent="0.25">
      <c r="H1435" t="s">
        <v>897</v>
      </c>
    </row>
    <row r="1436" spans="1:30" x14ac:dyDescent="0.25">
      <c r="A1436">
        <v>715</v>
      </c>
      <c r="B1436">
        <v>3461</v>
      </c>
      <c r="C1436" t="s">
        <v>3018</v>
      </c>
      <c r="D1436" t="s">
        <v>23</v>
      </c>
      <c r="E1436" t="s">
        <v>24</v>
      </c>
      <c r="F1436" t="s">
        <v>3019</v>
      </c>
      <c r="G1436" t="str">
        <f>"201510000866"</f>
        <v>201510000866</v>
      </c>
      <c r="H1436" t="s">
        <v>621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10</v>
      </c>
      <c r="W1436">
        <v>70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3020</v>
      </c>
    </row>
    <row r="1437" spans="1:30" x14ac:dyDescent="0.25">
      <c r="H1437" t="s">
        <v>3021</v>
      </c>
    </row>
    <row r="1438" spans="1:30" x14ac:dyDescent="0.25">
      <c r="A1438">
        <v>716</v>
      </c>
      <c r="B1438">
        <v>4079</v>
      </c>
      <c r="C1438" t="s">
        <v>3022</v>
      </c>
      <c r="D1438" t="s">
        <v>644</v>
      </c>
      <c r="E1438" t="s">
        <v>34</v>
      </c>
      <c r="F1438" t="s">
        <v>3023</v>
      </c>
      <c r="G1438" t="str">
        <f>"201405000291"</f>
        <v>201405000291</v>
      </c>
      <c r="H1438" t="s">
        <v>489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12</v>
      </c>
      <c r="W1438">
        <v>84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3024</v>
      </c>
    </row>
    <row r="1439" spans="1:30" x14ac:dyDescent="0.25">
      <c r="H1439" t="s">
        <v>3025</v>
      </c>
    </row>
    <row r="1440" spans="1:30" x14ac:dyDescent="0.25">
      <c r="A1440">
        <v>717</v>
      </c>
      <c r="B1440">
        <v>3488</v>
      </c>
      <c r="C1440" t="s">
        <v>3026</v>
      </c>
      <c r="D1440" t="s">
        <v>358</v>
      </c>
      <c r="E1440" t="s">
        <v>289</v>
      </c>
      <c r="F1440" t="s">
        <v>3027</v>
      </c>
      <c r="G1440" t="str">
        <f>"201412003946"</f>
        <v>201412003946</v>
      </c>
      <c r="H1440" t="s">
        <v>1335</v>
      </c>
      <c r="I1440">
        <v>0</v>
      </c>
      <c r="J1440">
        <v>0</v>
      </c>
      <c r="K1440">
        <v>0</v>
      </c>
      <c r="L1440">
        <v>0</v>
      </c>
      <c r="M1440">
        <v>100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3028</v>
      </c>
    </row>
    <row r="1441" spans="1:30" x14ac:dyDescent="0.25">
      <c r="H1441" t="s">
        <v>3029</v>
      </c>
    </row>
    <row r="1442" spans="1:30" x14ac:dyDescent="0.25">
      <c r="A1442">
        <v>718</v>
      </c>
      <c r="B1442">
        <v>49</v>
      </c>
      <c r="C1442" t="s">
        <v>3030</v>
      </c>
      <c r="D1442" t="s">
        <v>3031</v>
      </c>
      <c r="E1442" t="s">
        <v>63</v>
      </c>
      <c r="F1442" t="s">
        <v>3032</v>
      </c>
      <c r="G1442" t="str">
        <f>"00264726"</f>
        <v>00264726</v>
      </c>
      <c r="H1442" t="s">
        <v>1958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50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10</v>
      </c>
      <c r="W1442">
        <v>70</v>
      </c>
      <c r="X1442">
        <v>0</v>
      </c>
      <c r="Z1442">
        <v>2</v>
      </c>
      <c r="AA1442">
        <v>0</v>
      </c>
      <c r="AB1442">
        <v>0</v>
      </c>
      <c r="AC1442">
        <v>0</v>
      </c>
      <c r="AD1442" t="s">
        <v>3033</v>
      </c>
    </row>
    <row r="1443" spans="1:30" x14ac:dyDescent="0.25">
      <c r="H1443" t="s">
        <v>3034</v>
      </c>
    </row>
    <row r="1444" spans="1:30" x14ac:dyDescent="0.25">
      <c r="A1444">
        <v>719</v>
      </c>
      <c r="B1444">
        <v>5613</v>
      </c>
      <c r="C1444" t="s">
        <v>3035</v>
      </c>
      <c r="D1444" t="s">
        <v>122</v>
      </c>
      <c r="E1444" t="s">
        <v>107</v>
      </c>
      <c r="F1444" t="s">
        <v>3036</v>
      </c>
      <c r="G1444" t="str">
        <f>"201411003581"</f>
        <v>201411003581</v>
      </c>
      <c r="H1444" t="s">
        <v>787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23</v>
      </c>
      <c r="W1444">
        <v>161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3037</v>
      </c>
    </row>
    <row r="1445" spans="1:30" x14ac:dyDescent="0.25">
      <c r="H1445" t="s">
        <v>3038</v>
      </c>
    </row>
    <row r="1446" spans="1:30" x14ac:dyDescent="0.25">
      <c r="A1446">
        <v>720</v>
      </c>
      <c r="B1446">
        <v>5928</v>
      </c>
      <c r="C1446" t="s">
        <v>913</v>
      </c>
      <c r="D1446" t="s">
        <v>3039</v>
      </c>
      <c r="E1446" t="s">
        <v>107</v>
      </c>
      <c r="F1446" t="s">
        <v>3040</v>
      </c>
      <c r="G1446" t="str">
        <f>"00275254"</f>
        <v>00275254</v>
      </c>
      <c r="H1446" t="s">
        <v>3041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30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1</v>
      </c>
      <c r="AA1446">
        <v>0</v>
      </c>
      <c r="AB1446">
        <v>0</v>
      </c>
      <c r="AC1446">
        <v>0</v>
      </c>
      <c r="AD1446" t="s">
        <v>3042</v>
      </c>
    </row>
    <row r="1447" spans="1:30" x14ac:dyDescent="0.25">
      <c r="H1447" t="s">
        <v>3043</v>
      </c>
    </row>
    <row r="1448" spans="1:30" x14ac:dyDescent="0.25">
      <c r="A1448">
        <v>721</v>
      </c>
      <c r="B1448">
        <v>4</v>
      </c>
      <c r="C1448" t="s">
        <v>2377</v>
      </c>
      <c r="D1448" t="s">
        <v>140</v>
      </c>
      <c r="E1448" t="s">
        <v>330</v>
      </c>
      <c r="F1448" t="s">
        <v>3044</v>
      </c>
      <c r="G1448" t="str">
        <f>"201511018649"</f>
        <v>201511018649</v>
      </c>
      <c r="H1448" t="s">
        <v>2312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6</v>
      </c>
      <c r="W1448">
        <v>42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3045</v>
      </c>
    </row>
    <row r="1449" spans="1:30" x14ac:dyDescent="0.25">
      <c r="H1449" t="s">
        <v>3046</v>
      </c>
    </row>
    <row r="1450" spans="1:30" x14ac:dyDescent="0.25">
      <c r="A1450">
        <v>722</v>
      </c>
      <c r="B1450">
        <v>6070</v>
      </c>
      <c r="C1450" t="s">
        <v>3047</v>
      </c>
      <c r="D1450" t="s">
        <v>62</v>
      </c>
      <c r="E1450" t="s">
        <v>721</v>
      </c>
      <c r="F1450" t="s">
        <v>3048</v>
      </c>
      <c r="G1450" t="str">
        <f>"00369000"</f>
        <v>00369000</v>
      </c>
      <c r="H1450">
        <v>836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Z1450">
        <v>0</v>
      </c>
      <c r="AA1450">
        <v>0</v>
      </c>
      <c r="AB1450">
        <v>0</v>
      </c>
      <c r="AC1450">
        <v>0</v>
      </c>
      <c r="AD1450">
        <v>866</v>
      </c>
    </row>
    <row r="1451" spans="1:30" x14ac:dyDescent="0.25">
      <c r="H1451" t="s">
        <v>3049</v>
      </c>
    </row>
    <row r="1452" spans="1:30" x14ac:dyDescent="0.25">
      <c r="A1452">
        <v>723</v>
      </c>
      <c r="B1452">
        <v>4253</v>
      </c>
      <c r="C1452" t="s">
        <v>519</v>
      </c>
      <c r="D1452" t="s">
        <v>479</v>
      </c>
      <c r="E1452" t="s">
        <v>289</v>
      </c>
      <c r="F1452" t="s">
        <v>3050</v>
      </c>
      <c r="G1452" t="str">
        <f>"00361633"</f>
        <v>00361633</v>
      </c>
      <c r="H1452" t="s">
        <v>2090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11</v>
      </c>
      <c r="W1452">
        <v>77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3051</v>
      </c>
    </row>
    <row r="1453" spans="1:30" x14ac:dyDescent="0.25">
      <c r="H1453" t="s">
        <v>3052</v>
      </c>
    </row>
    <row r="1454" spans="1:30" x14ac:dyDescent="0.25">
      <c r="A1454">
        <v>724</v>
      </c>
      <c r="B1454">
        <v>5786</v>
      </c>
      <c r="C1454" t="s">
        <v>3053</v>
      </c>
      <c r="D1454" t="s">
        <v>93</v>
      </c>
      <c r="E1454" t="s">
        <v>303</v>
      </c>
      <c r="F1454" t="s">
        <v>3054</v>
      </c>
      <c r="G1454" t="str">
        <f>"00152393"</f>
        <v>00152393</v>
      </c>
      <c r="H1454" t="s">
        <v>717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14</v>
      </c>
      <c r="W1454">
        <v>98</v>
      </c>
      <c r="X1454">
        <v>0</v>
      </c>
      <c r="Z1454">
        <v>0</v>
      </c>
      <c r="AA1454">
        <v>0</v>
      </c>
      <c r="AB1454">
        <v>0</v>
      </c>
      <c r="AC1454">
        <v>0</v>
      </c>
      <c r="AD1454" t="s">
        <v>3055</v>
      </c>
    </row>
    <row r="1455" spans="1:30" x14ac:dyDescent="0.25">
      <c r="H1455" t="s">
        <v>3056</v>
      </c>
    </row>
    <row r="1456" spans="1:30" x14ac:dyDescent="0.25">
      <c r="A1456">
        <v>725</v>
      </c>
      <c r="B1456">
        <v>6107</v>
      </c>
      <c r="C1456" t="s">
        <v>3057</v>
      </c>
      <c r="D1456" t="s">
        <v>2570</v>
      </c>
      <c r="E1456" t="s">
        <v>268</v>
      </c>
      <c r="F1456" t="s">
        <v>3058</v>
      </c>
      <c r="G1456" t="str">
        <f>"00106956"</f>
        <v>00106956</v>
      </c>
      <c r="H1456" t="s">
        <v>445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50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14</v>
      </c>
      <c r="W1456">
        <v>98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3059</v>
      </c>
    </row>
    <row r="1457" spans="1:30" x14ac:dyDescent="0.25">
      <c r="H1457" t="s">
        <v>3060</v>
      </c>
    </row>
    <row r="1458" spans="1:30" x14ac:dyDescent="0.25">
      <c r="A1458">
        <v>726</v>
      </c>
      <c r="B1458">
        <v>2547</v>
      </c>
      <c r="C1458" t="s">
        <v>3061</v>
      </c>
      <c r="D1458" t="s">
        <v>93</v>
      </c>
      <c r="E1458" t="s">
        <v>44</v>
      </c>
      <c r="F1458" t="s">
        <v>3062</v>
      </c>
      <c r="G1458" t="str">
        <f>"00316517"</f>
        <v>00316517</v>
      </c>
      <c r="H1458" t="s">
        <v>2211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17</v>
      </c>
      <c r="W1458">
        <v>119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3063</v>
      </c>
    </row>
    <row r="1459" spans="1:30" x14ac:dyDescent="0.25">
      <c r="H1459" t="s">
        <v>3064</v>
      </c>
    </row>
    <row r="1460" spans="1:30" x14ac:dyDescent="0.25">
      <c r="A1460">
        <v>727</v>
      </c>
      <c r="B1460">
        <v>1654</v>
      </c>
      <c r="C1460" t="s">
        <v>3065</v>
      </c>
      <c r="D1460" t="s">
        <v>24</v>
      </c>
      <c r="E1460" t="s">
        <v>56</v>
      </c>
      <c r="F1460" t="s">
        <v>3066</v>
      </c>
      <c r="G1460" t="str">
        <f>"00230178"</f>
        <v>00230178</v>
      </c>
      <c r="H1460" t="s">
        <v>1072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70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3067</v>
      </c>
    </row>
    <row r="1461" spans="1:30" x14ac:dyDescent="0.25">
      <c r="H1461" t="s">
        <v>3068</v>
      </c>
    </row>
    <row r="1462" spans="1:30" x14ac:dyDescent="0.25">
      <c r="A1462">
        <v>728</v>
      </c>
      <c r="B1462">
        <v>4715</v>
      </c>
      <c r="C1462" t="s">
        <v>3069</v>
      </c>
      <c r="D1462" t="s">
        <v>185</v>
      </c>
      <c r="E1462" t="s">
        <v>70</v>
      </c>
      <c r="F1462" t="s">
        <v>3070</v>
      </c>
      <c r="G1462" t="str">
        <f>"201411003474"</f>
        <v>201411003474</v>
      </c>
      <c r="H1462" t="s">
        <v>2508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0</v>
      </c>
      <c r="AA1462">
        <v>0</v>
      </c>
      <c r="AB1462">
        <v>5</v>
      </c>
      <c r="AC1462">
        <v>85</v>
      </c>
      <c r="AD1462" t="s">
        <v>3071</v>
      </c>
    </row>
    <row r="1463" spans="1:30" x14ac:dyDescent="0.25">
      <c r="H1463" t="s">
        <v>3072</v>
      </c>
    </row>
    <row r="1464" spans="1:30" x14ac:dyDescent="0.25">
      <c r="A1464">
        <v>729</v>
      </c>
      <c r="B1464">
        <v>2652</v>
      </c>
      <c r="C1464" t="s">
        <v>3073</v>
      </c>
      <c r="D1464" t="s">
        <v>3074</v>
      </c>
      <c r="E1464" t="s">
        <v>44</v>
      </c>
      <c r="F1464" t="s">
        <v>3075</v>
      </c>
      <c r="G1464" t="str">
        <f>"00344019"</f>
        <v>00344019</v>
      </c>
      <c r="H1464">
        <v>682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6</v>
      </c>
      <c r="W1464">
        <v>42</v>
      </c>
      <c r="X1464">
        <v>0</v>
      </c>
      <c r="Z1464">
        <v>0</v>
      </c>
      <c r="AA1464">
        <v>0</v>
      </c>
      <c r="AB1464">
        <v>6</v>
      </c>
      <c r="AC1464">
        <v>102</v>
      </c>
      <c r="AD1464">
        <v>856</v>
      </c>
    </row>
    <row r="1465" spans="1:30" x14ac:dyDescent="0.25">
      <c r="H1465">
        <v>1201</v>
      </c>
    </row>
    <row r="1466" spans="1:30" x14ac:dyDescent="0.25">
      <c r="A1466">
        <v>730</v>
      </c>
      <c r="B1466">
        <v>1503</v>
      </c>
      <c r="C1466" t="s">
        <v>3076</v>
      </c>
      <c r="D1466" t="s">
        <v>604</v>
      </c>
      <c r="E1466" t="s">
        <v>55</v>
      </c>
      <c r="F1466" t="s">
        <v>3077</v>
      </c>
      <c r="G1466" t="str">
        <f>"00303721"</f>
        <v>00303721</v>
      </c>
      <c r="H1466" t="s">
        <v>1745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5</v>
      </c>
      <c r="W1466">
        <v>35</v>
      </c>
      <c r="X1466">
        <v>0</v>
      </c>
      <c r="Z1466">
        <v>0</v>
      </c>
      <c r="AA1466">
        <v>0</v>
      </c>
      <c r="AB1466">
        <v>5</v>
      </c>
      <c r="AC1466">
        <v>85</v>
      </c>
      <c r="AD1466" t="s">
        <v>3078</v>
      </c>
    </row>
    <row r="1467" spans="1:30" x14ac:dyDescent="0.25">
      <c r="H1467" t="s">
        <v>3079</v>
      </c>
    </row>
    <row r="1468" spans="1:30" x14ac:dyDescent="0.25">
      <c r="A1468">
        <v>731</v>
      </c>
      <c r="B1468">
        <v>2693</v>
      </c>
      <c r="C1468" t="s">
        <v>3080</v>
      </c>
      <c r="D1468" t="s">
        <v>246</v>
      </c>
      <c r="E1468" t="s">
        <v>262</v>
      </c>
      <c r="F1468" t="s">
        <v>3081</v>
      </c>
      <c r="G1468" t="str">
        <f>"200712005597"</f>
        <v>200712005597</v>
      </c>
      <c r="H1468" t="s">
        <v>291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30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Z1468">
        <v>2</v>
      </c>
      <c r="AA1468">
        <v>0</v>
      </c>
      <c r="AB1468">
        <v>0</v>
      </c>
      <c r="AC1468">
        <v>0</v>
      </c>
      <c r="AD1468" t="s">
        <v>3082</v>
      </c>
    </row>
    <row r="1469" spans="1:30" x14ac:dyDescent="0.25">
      <c r="H1469" t="s">
        <v>3083</v>
      </c>
    </row>
    <row r="1470" spans="1:30" x14ac:dyDescent="0.25">
      <c r="A1470">
        <v>732</v>
      </c>
      <c r="B1470">
        <v>6273</v>
      </c>
      <c r="C1470" t="s">
        <v>3084</v>
      </c>
      <c r="D1470" t="s">
        <v>3085</v>
      </c>
      <c r="E1470" t="s">
        <v>146</v>
      </c>
      <c r="F1470" t="s">
        <v>3086</v>
      </c>
      <c r="G1470" t="str">
        <f>"00212000"</f>
        <v>00212000</v>
      </c>
      <c r="H1470" t="s">
        <v>2609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3087</v>
      </c>
    </row>
    <row r="1471" spans="1:30" x14ac:dyDescent="0.25">
      <c r="H1471" t="s">
        <v>3088</v>
      </c>
    </row>
    <row r="1472" spans="1:30" x14ac:dyDescent="0.25">
      <c r="A1472">
        <v>733</v>
      </c>
      <c r="B1472">
        <v>6083</v>
      </c>
      <c r="C1472" t="s">
        <v>3089</v>
      </c>
      <c r="D1472" t="s">
        <v>34</v>
      </c>
      <c r="E1472" t="s">
        <v>107</v>
      </c>
      <c r="F1472" t="s">
        <v>3090</v>
      </c>
      <c r="G1472" t="str">
        <f>"201601001088"</f>
        <v>201601001088</v>
      </c>
      <c r="H1472" t="s">
        <v>3091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3092</v>
      </c>
    </row>
    <row r="1473" spans="1:30" x14ac:dyDescent="0.25">
      <c r="H1473" t="s">
        <v>3093</v>
      </c>
    </row>
    <row r="1474" spans="1:30" x14ac:dyDescent="0.25">
      <c r="A1474">
        <v>734</v>
      </c>
      <c r="B1474">
        <v>4975</v>
      </c>
      <c r="C1474" t="s">
        <v>3094</v>
      </c>
      <c r="D1474" t="s">
        <v>146</v>
      </c>
      <c r="E1474" t="s">
        <v>70</v>
      </c>
      <c r="F1474" t="s">
        <v>3095</v>
      </c>
      <c r="G1474" t="str">
        <f>"00222722"</f>
        <v>00222722</v>
      </c>
      <c r="H1474" t="s">
        <v>481</v>
      </c>
      <c r="I1474">
        <v>0</v>
      </c>
      <c r="J1474">
        <v>0</v>
      </c>
      <c r="K1474">
        <v>0</v>
      </c>
      <c r="L1474">
        <v>0</v>
      </c>
      <c r="M1474">
        <v>100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3096</v>
      </c>
    </row>
    <row r="1475" spans="1:30" x14ac:dyDescent="0.25">
      <c r="H1475" t="s">
        <v>3097</v>
      </c>
    </row>
    <row r="1476" spans="1:30" x14ac:dyDescent="0.25">
      <c r="A1476">
        <v>735</v>
      </c>
      <c r="B1476">
        <v>1710</v>
      </c>
      <c r="C1476" t="s">
        <v>3098</v>
      </c>
      <c r="D1476" t="s">
        <v>146</v>
      </c>
      <c r="E1476" t="s">
        <v>15</v>
      </c>
      <c r="F1476" t="s">
        <v>3099</v>
      </c>
      <c r="G1476" t="str">
        <f>"200802010039"</f>
        <v>200802010039</v>
      </c>
      <c r="H1476" t="s">
        <v>1113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50</v>
      </c>
      <c r="O1476">
        <v>0</v>
      </c>
      <c r="P1476">
        <v>0</v>
      </c>
      <c r="Q1476">
        <v>50</v>
      </c>
      <c r="R1476">
        <v>0</v>
      </c>
      <c r="S1476">
        <v>0</v>
      </c>
      <c r="T1476">
        <v>0</v>
      </c>
      <c r="U1476">
        <v>0</v>
      </c>
      <c r="V1476">
        <v>10</v>
      </c>
      <c r="W1476">
        <v>70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3100</v>
      </c>
    </row>
    <row r="1477" spans="1:30" x14ac:dyDescent="0.25">
      <c r="H1477" t="s">
        <v>3101</v>
      </c>
    </row>
    <row r="1478" spans="1:30" x14ac:dyDescent="0.25">
      <c r="A1478">
        <v>736</v>
      </c>
      <c r="B1478">
        <v>3105</v>
      </c>
      <c r="C1478" t="s">
        <v>3102</v>
      </c>
      <c r="D1478" t="s">
        <v>15</v>
      </c>
      <c r="E1478" t="s">
        <v>28</v>
      </c>
      <c r="F1478" t="s">
        <v>3103</v>
      </c>
      <c r="G1478" t="str">
        <f>"00107316"</f>
        <v>00107316</v>
      </c>
      <c r="H1478" t="s">
        <v>1879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17</v>
      </c>
      <c r="W1478">
        <v>119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3104</v>
      </c>
    </row>
    <row r="1479" spans="1:30" x14ac:dyDescent="0.25">
      <c r="H1479" t="s">
        <v>3105</v>
      </c>
    </row>
    <row r="1480" spans="1:30" x14ac:dyDescent="0.25">
      <c r="A1480">
        <v>737</v>
      </c>
      <c r="B1480">
        <v>6164</v>
      </c>
      <c r="C1480" t="s">
        <v>3106</v>
      </c>
      <c r="D1480" t="s">
        <v>812</v>
      </c>
      <c r="E1480" t="s">
        <v>220</v>
      </c>
      <c r="F1480" t="s">
        <v>3107</v>
      </c>
      <c r="G1480" t="str">
        <f>"201511008416"</f>
        <v>201511008416</v>
      </c>
      <c r="H1480" t="s">
        <v>3108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5</v>
      </c>
      <c r="W1480">
        <v>35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3109</v>
      </c>
    </row>
    <row r="1481" spans="1:30" x14ac:dyDescent="0.25">
      <c r="H1481" t="s">
        <v>3110</v>
      </c>
    </row>
    <row r="1482" spans="1:30" x14ac:dyDescent="0.25">
      <c r="A1482">
        <v>738</v>
      </c>
      <c r="B1482">
        <v>3492</v>
      </c>
      <c r="C1482" t="s">
        <v>3111</v>
      </c>
      <c r="D1482" t="s">
        <v>158</v>
      </c>
      <c r="E1482" t="s">
        <v>2269</v>
      </c>
      <c r="F1482" t="s">
        <v>3112</v>
      </c>
      <c r="G1482" t="str">
        <f>"201402002757"</f>
        <v>201402002757</v>
      </c>
      <c r="H1482" t="s">
        <v>551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70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Z1482">
        <v>2</v>
      </c>
      <c r="AA1482">
        <v>0</v>
      </c>
      <c r="AB1482">
        <v>0</v>
      </c>
      <c r="AC1482">
        <v>0</v>
      </c>
      <c r="AD1482" t="s">
        <v>3113</v>
      </c>
    </row>
    <row r="1483" spans="1:30" x14ac:dyDescent="0.25">
      <c r="H1483" t="s">
        <v>3114</v>
      </c>
    </row>
    <row r="1484" spans="1:30" x14ac:dyDescent="0.25">
      <c r="A1484">
        <v>739</v>
      </c>
      <c r="B1484">
        <v>5677</v>
      </c>
      <c r="C1484" t="s">
        <v>3115</v>
      </c>
      <c r="D1484" t="s">
        <v>479</v>
      </c>
      <c r="E1484" t="s">
        <v>34</v>
      </c>
      <c r="F1484" t="s">
        <v>3116</v>
      </c>
      <c r="G1484" t="str">
        <f>"00306490"</f>
        <v>00306490</v>
      </c>
      <c r="H1484" t="s">
        <v>321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50</v>
      </c>
      <c r="O1484">
        <v>30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3117</v>
      </c>
    </row>
    <row r="1485" spans="1:30" x14ac:dyDescent="0.25">
      <c r="H1485" t="s">
        <v>3118</v>
      </c>
    </row>
    <row r="1486" spans="1:30" x14ac:dyDescent="0.25">
      <c r="A1486">
        <v>740</v>
      </c>
      <c r="B1486">
        <v>4551</v>
      </c>
      <c r="C1486" t="s">
        <v>3119</v>
      </c>
      <c r="D1486" t="s">
        <v>436</v>
      </c>
      <c r="E1486" t="s">
        <v>93</v>
      </c>
      <c r="F1486" t="s">
        <v>3120</v>
      </c>
      <c r="G1486" t="str">
        <f>"201411001030"</f>
        <v>201411001030</v>
      </c>
      <c r="H1486" t="s">
        <v>1984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3121</v>
      </c>
    </row>
    <row r="1487" spans="1:30" x14ac:dyDescent="0.25">
      <c r="H1487" t="s">
        <v>3122</v>
      </c>
    </row>
    <row r="1488" spans="1:30" x14ac:dyDescent="0.25">
      <c r="A1488">
        <v>741</v>
      </c>
      <c r="B1488">
        <v>4847</v>
      </c>
      <c r="C1488" t="s">
        <v>3123</v>
      </c>
      <c r="D1488" t="s">
        <v>93</v>
      </c>
      <c r="E1488" t="s">
        <v>268</v>
      </c>
      <c r="F1488" t="s">
        <v>3124</v>
      </c>
      <c r="G1488" t="str">
        <f>"00352363"</f>
        <v>00352363</v>
      </c>
      <c r="H1488" t="s">
        <v>1113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50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17</v>
      </c>
      <c r="W1488">
        <v>119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3121</v>
      </c>
    </row>
    <row r="1489" spans="1:30" x14ac:dyDescent="0.25">
      <c r="H1489" t="s">
        <v>3125</v>
      </c>
    </row>
    <row r="1490" spans="1:30" x14ac:dyDescent="0.25">
      <c r="A1490">
        <v>742</v>
      </c>
      <c r="B1490">
        <v>1565</v>
      </c>
      <c r="C1490" t="s">
        <v>3126</v>
      </c>
      <c r="D1490" t="s">
        <v>92</v>
      </c>
      <c r="E1490" t="s">
        <v>146</v>
      </c>
      <c r="F1490" t="s">
        <v>3127</v>
      </c>
      <c r="G1490" t="str">
        <f>"201406016343"</f>
        <v>201406016343</v>
      </c>
      <c r="H1490" t="s">
        <v>627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6</v>
      </c>
      <c r="W1490">
        <v>42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3128</v>
      </c>
    </row>
    <row r="1491" spans="1:30" x14ac:dyDescent="0.25">
      <c r="H1491" t="s">
        <v>3129</v>
      </c>
    </row>
    <row r="1492" spans="1:30" x14ac:dyDescent="0.25">
      <c r="A1492">
        <v>743</v>
      </c>
      <c r="B1492">
        <v>4619</v>
      </c>
      <c r="C1492" t="s">
        <v>1532</v>
      </c>
      <c r="D1492" t="s">
        <v>107</v>
      </c>
      <c r="E1492" t="s">
        <v>3130</v>
      </c>
      <c r="F1492" t="s">
        <v>3131</v>
      </c>
      <c r="G1492" t="str">
        <f>"00159076"</f>
        <v>00159076</v>
      </c>
      <c r="H1492" t="s">
        <v>3132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27</v>
      </c>
      <c r="W1492">
        <v>189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3133</v>
      </c>
    </row>
    <row r="1493" spans="1:30" x14ac:dyDescent="0.25">
      <c r="H1493" t="s">
        <v>3134</v>
      </c>
    </row>
    <row r="1494" spans="1:30" x14ac:dyDescent="0.25">
      <c r="A1494">
        <v>744</v>
      </c>
      <c r="B1494">
        <v>1729</v>
      </c>
      <c r="C1494" t="s">
        <v>3135</v>
      </c>
      <c r="D1494" t="s">
        <v>3136</v>
      </c>
      <c r="E1494" t="s">
        <v>3137</v>
      </c>
      <c r="F1494" t="s">
        <v>3138</v>
      </c>
      <c r="G1494" t="str">
        <f>"00172316"</f>
        <v>00172316</v>
      </c>
      <c r="H1494" t="s">
        <v>3139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50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11</v>
      </c>
      <c r="W1494">
        <v>77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3140</v>
      </c>
    </row>
    <row r="1495" spans="1:30" x14ac:dyDescent="0.25">
      <c r="H1495" t="s">
        <v>3141</v>
      </c>
    </row>
    <row r="1496" spans="1:30" x14ac:dyDescent="0.25">
      <c r="A1496">
        <v>745</v>
      </c>
      <c r="B1496">
        <v>2243</v>
      </c>
      <c r="C1496" t="s">
        <v>3142</v>
      </c>
      <c r="D1496" t="s">
        <v>92</v>
      </c>
      <c r="E1496" t="s">
        <v>530</v>
      </c>
      <c r="F1496" t="s">
        <v>3143</v>
      </c>
      <c r="G1496" t="str">
        <f>"00320289"</f>
        <v>00320289</v>
      </c>
      <c r="H1496" t="s">
        <v>3144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3145</v>
      </c>
    </row>
    <row r="1497" spans="1:30" x14ac:dyDescent="0.25">
      <c r="H1497" t="s">
        <v>3146</v>
      </c>
    </row>
    <row r="1498" spans="1:30" x14ac:dyDescent="0.25">
      <c r="A1498">
        <v>746</v>
      </c>
      <c r="B1498">
        <v>3843</v>
      </c>
      <c r="C1498" t="s">
        <v>3147</v>
      </c>
      <c r="D1498" t="s">
        <v>1925</v>
      </c>
      <c r="E1498" t="s">
        <v>34</v>
      </c>
      <c r="F1498" t="s">
        <v>3148</v>
      </c>
      <c r="G1498" t="str">
        <f>"00355192"</f>
        <v>00355192</v>
      </c>
      <c r="H1498" t="s">
        <v>711</v>
      </c>
      <c r="I1498">
        <v>150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Z1498">
        <v>1</v>
      </c>
      <c r="AA1498">
        <v>0</v>
      </c>
      <c r="AB1498">
        <v>0</v>
      </c>
      <c r="AC1498">
        <v>0</v>
      </c>
      <c r="AD1498" t="s">
        <v>3149</v>
      </c>
    </row>
    <row r="1499" spans="1:30" x14ac:dyDescent="0.25">
      <c r="H1499" t="s">
        <v>3150</v>
      </c>
    </row>
    <row r="1500" spans="1:30" x14ac:dyDescent="0.25">
      <c r="A1500">
        <v>747</v>
      </c>
      <c r="B1500">
        <v>1676</v>
      </c>
      <c r="C1500" t="s">
        <v>2712</v>
      </c>
      <c r="D1500" t="s">
        <v>76</v>
      </c>
      <c r="E1500" t="s">
        <v>1382</v>
      </c>
      <c r="F1500" t="s">
        <v>3151</v>
      </c>
      <c r="G1500" t="str">
        <f>"201511017759"</f>
        <v>201511017759</v>
      </c>
      <c r="H1500">
        <v>715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13</v>
      </c>
      <c r="W1500">
        <v>91</v>
      </c>
      <c r="X1500">
        <v>0</v>
      </c>
      <c r="Z1500">
        <v>0</v>
      </c>
      <c r="AA1500">
        <v>0</v>
      </c>
      <c r="AB1500">
        <v>0</v>
      </c>
      <c r="AC1500">
        <v>0</v>
      </c>
      <c r="AD1500">
        <v>836</v>
      </c>
    </row>
    <row r="1501" spans="1:30" x14ac:dyDescent="0.25">
      <c r="H1501" t="s">
        <v>3152</v>
      </c>
    </row>
    <row r="1502" spans="1:30" x14ac:dyDescent="0.25">
      <c r="A1502">
        <v>748</v>
      </c>
      <c r="B1502">
        <v>982</v>
      </c>
      <c r="C1502" t="s">
        <v>3153</v>
      </c>
      <c r="D1502" t="s">
        <v>3154</v>
      </c>
      <c r="E1502" t="s">
        <v>86</v>
      </c>
      <c r="F1502" t="s">
        <v>3155</v>
      </c>
      <c r="G1502" t="str">
        <f>"201405000509"</f>
        <v>201405000509</v>
      </c>
      <c r="H1502" t="s">
        <v>817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30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3156</v>
      </c>
    </row>
    <row r="1503" spans="1:30" x14ac:dyDescent="0.25">
      <c r="H1503" t="s">
        <v>863</v>
      </c>
    </row>
    <row r="1504" spans="1:30" x14ac:dyDescent="0.25">
      <c r="A1504">
        <v>749</v>
      </c>
      <c r="B1504">
        <v>407</v>
      </c>
      <c r="C1504" t="s">
        <v>3157</v>
      </c>
      <c r="D1504" t="s">
        <v>63</v>
      </c>
      <c r="E1504" t="s">
        <v>93</v>
      </c>
      <c r="F1504" t="s">
        <v>3158</v>
      </c>
      <c r="G1504" t="str">
        <f>"201406000878"</f>
        <v>201406000878</v>
      </c>
      <c r="H1504" t="s">
        <v>885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6</v>
      </c>
      <c r="W1504">
        <v>42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3159</v>
      </c>
    </row>
    <row r="1505" spans="1:30" x14ac:dyDescent="0.25">
      <c r="H1505" t="s">
        <v>3160</v>
      </c>
    </row>
    <row r="1506" spans="1:30" x14ac:dyDescent="0.25">
      <c r="A1506">
        <v>750</v>
      </c>
      <c r="B1506">
        <v>627</v>
      </c>
      <c r="C1506" t="s">
        <v>3161</v>
      </c>
      <c r="D1506" t="s">
        <v>34</v>
      </c>
      <c r="E1506" t="s">
        <v>93</v>
      </c>
      <c r="F1506">
        <v>451895</v>
      </c>
      <c r="G1506" t="str">
        <f>"00009107"</f>
        <v>00009107</v>
      </c>
      <c r="H1506" t="s">
        <v>1523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14</v>
      </c>
      <c r="W1506">
        <v>98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3162</v>
      </c>
    </row>
    <row r="1507" spans="1:30" x14ac:dyDescent="0.25">
      <c r="H1507" t="s">
        <v>3163</v>
      </c>
    </row>
    <row r="1508" spans="1:30" x14ac:dyDescent="0.25">
      <c r="A1508">
        <v>751</v>
      </c>
      <c r="B1508">
        <v>2425</v>
      </c>
      <c r="C1508" t="s">
        <v>3164</v>
      </c>
      <c r="D1508" t="s">
        <v>186</v>
      </c>
      <c r="E1508" t="s">
        <v>15</v>
      </c>
      <c r="F1508" t="s">
        <v>3165</v>
      </c>
      <c r="G1508" t="str">
        <f>"201603000075"</f>
        <v>201603000075</v>
      </c>
      <c r="H1508">
        <v>748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</v>
      </c>
      <c r="W1508">
        <v>56</v>
      </c>
      <c r="X1508">
        <v>0</v>
      </c>
      <c r="Z1508">
        <v>0</v>
      </c>
      <c r="AA1508">
        <v>0</v>
      </c>
      <c r="AB1508">
        <v>0</v>
      </c>
      <c r="AC1508">
        <v>0</v>
      </c>
      <c r="AD1508">
        <v>834</v>
      </c>
    </row>
    <row r="1509" spans="1:30" x14ac:dyDescent="0.25">
      <c r="H1509" t="s">
        <v>3166</v>
      </c>
    </row>
    <row r="1510" spans="1:30" x14ac:dyDescent="0.25">
      <c r="A1510">
        <v>752</v>
      </c>
      <c r="B1510">
        <v>4411</v>
      </c>
      <c r="C1510" t="s">
        <v>3167</v>
      </c>
      <c r="D1510" t="s">
        <v>685</v>
      </c>
      <c r="E1510" t="s">
        <v>1098</v>
      </c>
      <c r="F1510" t="s">
        <v>3168</v>
      </c>
      <c r="G1510" t="str">
        <f>"201412005835"</f>
        <v>201412005835</v>
      </c>
      <c r="H1510" t="s">
        <v>1152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5</v>
      </c>
      <c r="W1510">
        <v>35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3169</v>
      </c>
    </row>
    <row r="1511" spans="1:30" x14ac:dyDescent="0.25">
      <c r="H1511" t="s">
        <v>3170</v>
      </c>
    </row>
    <row r="1512" spans="1:30" x14ac:dyDescent="0.25">
      <c r="A1512">
        <v>753</v>
      </c>
      <c r="B1512">
        <v>5862</v>
      </c>
      <c r="C1512" t="s">
        <v>3171</v>
      </c>
      <c r="D1512" t="s">
        <v>625</v>
      </c>
      <c r="E1512" t="s">
        <v>86</v>
      </c>
      <c r="F1512" t="s">
        <v>3172</v>
      </c>
      <c r="G1512" t="str">
        <f>"00202894"</f>
        <v>00202894</v>
      </c>
      <c r="H1512" t="s">
        <v>2167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15</v>
      </c>
      <c r="W1512">
        <v>105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3173</v>
      </c>
    </row>
    <row r="1513" spans="1:30" x14ac:dyDescent="0.25">
      <c r="H1513" t="s">
        <v>3174</v>
      </c>
    </row>
    <row r="1514" spans="1:30" x14ac:dyDescent="0.25">
      <c r="A1514">
        <v>754</v>
      </c>
      <c r="B1514">
        <v>2251</v>
      </c>
      <c r="C1514" t="s">
        <v>3175</v>
      </c>
      <c r="D1514" t="s">
        <v>28</v>
      </c>
      <c r="E1514" t="s">
        <v>220</v>
      </c>
      <c r="F1514" t="s">
        <v>3176</v>
      </c>
      <c r="G1514" t="str">
        <f>"201406009686"</f>
        <v>201406009686</v>
      </c>
      <c r="H1514" t="s">
        <v>2494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18</v>
      </c>
      <c r="W1514">
        <v>126</v>
      </c>
      <c r="X1514">
        <v>0</v>
      </c>
      <c r="Z1514">
        <v>1</v>
      </c>
      <c r="AA1514">
        <v>0</v>
      </c>
      <c r="AB1514">
        <v>0</v>
      </c>
      <c r="AC1514">
        <v>0</v>
      </c>
      <c r="AD1514" t="s">
        <v>3177</v>
      </c>
    </row>
    <row r="1515" spans="1:30" x14ac:dyDescent="0.25">
      <c r="H1515" t="s">
        <v>3178</v>
      </c>
    </row>
    <row r="1516" spans="1:30" x14ac:dyDescent="0.25">
      <c r="A1516">
        <v>755</v>
      </c>
      <c r="B1516">
        <v>4462</v>
      </c>
      <c r="C1516" t="s">
        <v>3179</v>
      </c>
      <c r="D1516" t="s">
        <v>3180</v>
      </c>
      <c r="E1516" t="s">
        <v>28</v>
      </c>
      <c r="F1516" t="s">
        <v>3181</v>
      </c>
      <c r="G1516" t="str">
        <f>"00007478"</f>
        <v>00007478</v>
      </c>
      <c r="H1516" t="s">
        <v>2698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15</v>
      </c>
      <c r="W1516">
        <v>105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3182</v>
      </c>
    </row>
    <row r="1517" spans="1:30" x14ac:dyDescent="0.25">
      <c r="H1517" t="s">
        <v>3183</v>
      </c>
    </row>
    <row r="1518" spans="1:30" x14ac:dyDescent="0.25">
      <c r="A1518">
        <v>756</v>
      </c>
      <c r="B1518">
        <v>1830</v>
      </c>
      <c r="C1518" t="s">
        <v>3184</v>
      </c>
      <c r="D1518" t="s">
        <v>246</v>
      </c>
      <c r="E1518" t="s">
        <v>34</v>
      </c>
      <c r="F1518" t="s">
        <v>3185</v>
      </c>
      <c r="G1518" t="str">
        <f>"00179922"</f>
        <v>00179922</v>
      </c>
      <c r="H1518" t="s">
        <v>3186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Z1518">
        <v>2</v>
      </c>
      <c r="AA1518">
        <v>0</v>
      </c>
      <c r="AB1518">
        <v>0</v>
      </c>
      <c r="AC1518">
        <v>0</v>
      </c>
      <c r="AD1518" t="s">
        <v>3187</v>
      </c>
    </row>
    <row r="1519" spans="1:30" x14ac:dyDescent="0.25">
      <c r="H1519" t="s">
        <v>3188</v>
      </c>
    </row>
    <row r="1520" spans="1:30" x14ac:dyDescent="0.25">
      <c r="A1520">
        <v>757</v>
      </c>
      <c r="B1520">
        <v>4085</v>
      </c>
      <c r="C1520" t="s">
        <v>3189</v>
      </c>
      <c r="D1520" t="s">
        <v>24</v>
      </c>
      <c r="E1520" t="s">
        <v>146</v>
      </c>
      <c r="F1520" t="s">
        <v>3190</v>
      </c>
      <c r="G1520" t="str">
        <f>"00135267"</f>
        <v>00135267</v>
      </c>
      <c r="H1520" t="s">
        <v>1387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3191</v>
      </c>
    </row>
    <row r="1521" spans="1:30" x14ac:dyDescent="0.25">
      <c r="H1521" t="s">
        <v>3192</v>
      </c>
    </row>
    <row r="1522" spans="1:30" x14ac:dyDescent="0.25">
      <c r="A1522">
        <v>758</v>
      </c>
      <c r="B1522">
        <v>4496</v>
      </c>
      <c r="C1522" t="s">
        <v>2263</v>
      </c>
      <c r="D1522" t="s">
        <v>15</v>
      </c>
      <c r="E1522" t="s">
        <v>3193</v>
      </c>
      <c r="F1522">
        <v>1042629</v>
      </c>
      <c r="G1522" t="str">
        <f>"00363007"</f>
        <v>00363007</v>
      </c>
      <c r="H1522">
        <v>693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X1522">
        <v>0</v>
      </c>
      <c r="Z1522">
        <v>0</v>
      </c>
      <c r="AA1522">
        <v>0</v>
      </c>
      <c r="AB1522">
        <v>6</v>
      </c>
      <c r="AC1522">
        <v>102</v>
      </c>
      <c r="AD1522">
        <v>825</v>
      </c>
    </row>
    <row r="1523" spans="1:30" x14ac:dyDescent="0.25">
      <c r="H1523" t="s">
        <v>2314</v>
      </c>
    </row>
    <row r="1524" spans="1:30" x14ac:dyDescent="0.25">
      <c r="A1524">
        <v>759</v>
      </c>
      <c r="B1524">
        <v>689</v>
      </c>
      <c r="C1524" t="s">
        <v>3194</v>
      </c>
      <c r="D1524" t="s">
        <v>392</v>
      </c>
      <c r="E1524" t="s">
        <v>34</v>
      </c>
      <c r="F1524" t="s">
        <v>3195</v>
      </c>
      <c r="G1524" t="str">
        <f>"00108745"</f>
        <v>00108745</v>
      </c>
      <c r="H1524" t="s">
        <v>2974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12</v>
      </c>
      <c r="W1524">
        <v>84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3196</v>
      </c>
    </row>
    <row r="1525" spans="1:30" x14ac:dyDescent="0.25">
      <c r="H1525" t="s">
        <v>305</v>
      </c>
    </row>
    <row r="1526" spans="1:30" x14ac:dyDescent="0.25">
      <c r="A1526">
        <v>760</v>
      </c>
      <c r="B1526">
        <v>277</v>
      </c>
      <c r="C1526" t="s">
        <v>3197</v>
      </c>
      <c r="D1526" t="s">
        <v>185</v>
      </c>
      <c r="E1526" t="s">
        <v>44</v>
      </c>
      <c r="F1526" t="s">
        <v>3198</v>
      </c>
      <c r="G1526" t="str">
        <f>"201406010984"</f>
        <v>201406010984</v>
      </c>
      <c r="H1526" t="s">
        <v>1330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20</v>
      </c>
      <c r="W1526">
        <v>140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3199</v>
      </c>
    </row>
    <row r="1527" spans="1:30" x14ac:dyDescent="0.25">
      <c r="H1527" t="s">
        <v>3200</v>
      </c>
    </row>
    <row r="1528" spans="1:30" x14ac:dyDescent="0.25">
      <c r="A1528">
        <v>761</v>
      </c>
      <c r="B1528">
        <v>646</v>
      </c>
      <c r="C1528" t="s">
        <v>3201</v>
      </c>
      <c r="D1528" t="s">
        <v>107</v>
      </c>
      <c r="E1528" t="s">
        <v>93</v>
      </c>
      <c r="F1528" t="s">
        <v>3202</v>
      </c>
      <c r="G1528" t="str">
        <f>"00190117"</f>
        <v>00190117</v>
      </c>
      <c r="H1528" t="s">
        <v>489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50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8</v>
      </c>
      <c r="W1528">
        <v>56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3203</v>
      </c>
    </row>
    <row r="1529" spans="1:30" x14ac:dyDescent="0.25">
      <c r="H1529" t="s">
        <v>3204</v>
      </c>
    </row>
    <row r="1530" spans="1:30" x14ac:dyDescent="0.25">
      <c r="A1530">
        <v>762</v>
      </c>
      <c r="B1530">
        <v>2669</v>
      </c>
      <c r="C1530" t="s">
        <v>3205</v>
      </c>
      <c r="D1530" t="s">
        <v>282</v>
      </c>
      <c r="E1530" t="s">
        <v>28</v>
      </c>
      <c r="F1530" t="s">
        <v>3206</v>
      </c>
      <c r="G1530" t="str">
        <f>"00235731"</f>
        <v>00235731</v>
      </c>
      <c r="H1530" t="s">
        <v>2433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3207</v>
      </c>
    </row>
    <row r="1531" spans="1:30" x14ac:dyDescent="0.25">
      <c r="H1531" t="s">
        <v>3208</v>
      </c>
    </row>
    <row r="1532" spans="1:30" x14ac:dyDescent="0.25">
      <c r="A1532">
        <v>763</v>
      </c>
      <c r="B1532">
        <v>5127</v>
      </c>
      <c r="C1532" t="s">
        <v>1470</v>
      </c>
      <c r="D1532" t="s">
        <v>3209</v>
      </c>
      <c r="E1532" t="s">
        <v>34</v>
      </c>
      <c r="F1532" t="s">
        <v>3210</v>
      </c>
      <c r="G1532" t="str">
        <f>"00241250"</f>
        <v>00241250</v>
      </c>
      <c r="H1532" t="s">
        <v>78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3211</v>
      </c>
    </row>
    <row r="1533" spans="1:30" x14ac:dyDescent="0.25">
      <c r="H1533" t="s">
        <v>3212</v>
      </c>
    </row>
    <row r="1534" spans="1:30" x14ac:dyDescent="0.25">
      <c r="A1534">
        <v>764</v>
      </c>
      <c r="B1534">
        <v>4925</v>
      </c>
      <c r="C1534" t="s">
        <v>3213</v>
      </c>
      <c r="D1534" t="s">
        <v>3214</v>
      </c>
      <c r="E1534" t="s">
        <v>359</v>
      </c>
      <c r="F1534" t="s">
        <v>3215</v>
      </c>
      <c r="G1534" t="str">
        <f>"201402004996"</f>
        <v>201402004996</v>
      </c>
      <c r="H1534" t="s">
        <v>2797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9</v>
      </c>
      <c r="W1534">
        <v>63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3216</v>
      </c>
    </row>
    <row r="1535" spans="1:30" x14ac:dyDescent="0.25">
      <c r="H1535" t="s">
        <v>3204</v>
      </c>
    </row>
    <row r="1536" spans="1:30" x14ac:dyDescent="0.25">
      <c r="A1536">
        <v>765</v>
      </c>
      <c r="B1536">
        <v>2033</v>
      </c>
      <c r="C1536" t="s">
        <v>3217</v>
      </c>
      <c r="D1536" t="s">
        <v>23</v>
      </c>
      <c r="E1536" t="s">
        <v>1452</v>
      </c>
      <c r="F1536" t="s">
        <v>3218</v>
      </c>
      <c r="G1536" t="str">
        <f>"00150046"</f>
        <v>00150046</v>
      </c>
      <c r="H1536" t="s">
        <v>142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3219</v>
      </c>
    </row>
    <row r="1537" spans="1:30" x14ac:dyDescent="0.25">
      <c r="H1537" t="s">
        <v>3220</v>
      </c>
    </row>
    <row r="1538" spans="1:30" x14ac:dyDescent="0.25">
      <c r="A1538">
        <v>766</v>
      </c>
      <c r="B1538">
        <v>4004</v>
      </c>
      <c r="C1538" t="s">
        <v>3221</v>
      </c>
      <c r="D1538" t="s">
        <v>158</v>
      </c>
      <c r="E1538" t="s">
        <v>24</v>
      </c>
      <c r="F1538" t="s">
        <v>3222</v>
      </c>
      <c r="G1538" t="str">
        <f>"00362731"</f>
        <v>00362731</v>
      </c>
      <c r="H1538" t="s">
        <v>142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3219</v>
      </c>
    </row>
    <row r="1539" spans="1:30" x14ac:dyDescent="0.25">
      <c r="H1539" t="s">
        <v>863</v>
      </c>
    </row>
    <row r="1540" spans="1:30" x14ac:dyDescent="0.25">
      <c r="A1540">
        <v>767</v>
      </c>
      <c r="B1540">
        <v>3643</v>
      </c>
      <c r="C1540" t="s">
        <v>3223</v>
      </c>
      <c r="D1540" t="s">
        <v>330</v>
      </c>
      <c r="E1540" t="s">
        <v>55</v>
      </c>
      <c r="F1540" t="s">
        <v>3224</v>
      </c>
      <c r="G1540" t="str">
        <f>"00290968"</f>
        <v>00290968</v>
      </c>
      <c r="H1540" t="s">
        <v>676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19</v>
      </c>
      <c r="W1540">
        <v>133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3225</v>
      </c>
    </row>
    <row r="1541" spans="1:30" x14ac:dyDescent="0.25">
      <c r="H1541" t="s">
        <v>3226</v>
      </c>
    </row>
    <row r="1542" spans="1:30" x14ac:dyDescent="0.25">
      <c r="A1542">
        <v>768</v>
      </c>
      <c r="B1542">
        <v>886</v>
      </c>
      <c r="C1542" t="s">
        <v>462</v>
      </c>
      <c r="D1542" t="s">
        <v>3227</v>
      </c>
      <c r="E1542" t="s">
        <v>15</v>
      </c>
      <c r="F1542" t="s">
        <v>3228</v>
      </c>
      <c r="G1542" t="str">
        <f>"200802010724"</f>
        <v>200802010724</v>
      </c>
      <c r="H1542" t="s">
        <v>124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10</v>
      </c>
      <c r="W1542">
        <v>70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3229</v>
      </c>
    </row>
    <row r="1543" spans="1:30" x14ac:dyDescent="0.25">
      <c r="H1543" t="s">
        <v>3230</v>
      </c>
    </row>
    <row r="1544" spans="1:30" x14ac:dyDescent="0.25">
      <c r="A1544">
        <v>769</v>
      </c>
      <c r="B1544">
        <v>3071</v>
      </c>
      <c r="C1544" t="s">
        <v>3231</v>
      </c>
      <c r="D1544" t="s">
        <v>3232</v>
      </c>
      <c r="E1544" t="s">
        <v>744</v>
      </c>
      <c r="F1544" t="s">
        <v>3233</v>
      </c>
      <c r="G1544" t="str">
        <f>"00223337"</f>
        <v>00223337</v>
      </c>
      <c r="H1544" t="s">
        <v>481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50</v>
      </c>
      <c r="O1544">
        <v>50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3234</v>
      </c>
    </row>
    <row r="1545" spans="1:30" x14ac:dyDescent="0.25">
      <c r="H1545" t="s">
        <v>2410</v>
      </c>
    </row>
    <row r="1546" spans="1:30" x14ac:dyDescent="0.25">
      <c r="A1546">
        <v>770</v>
      </c>
      <c r="B1546">
        <v>1320</v>
      </c>
      <c r="C1546" t="s">
        <v>3235</v>
      </c>
      <c r="D1546" t="s">
        <v>278</v>
      </c>
      <c r="E1546" t="s">
        <v>173</v>
      </c>
      <c r="F1546" t="s">
        <v>3236</v>
      </c>
      <c r="G1546" t="str">
        <f>"00305492"</f>
        <v>00305492</v>
      </c>
      <c r="H1546" t="s">
        <v>946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9</v>
      </c>
      <c r="W1546">
        <v>63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3237</v>
      </c>
    </row>
    <row r="1547" spans="1:30" x14ac:dyDescent="0.25">
      <c r="H1547" t="s">
        <v>863</v>
      </c>
    </row>
    <row r="1548" spans="1:30" x14ac:dyDescent="0.25">
      <c r="A1548">
        <v>771</v>
      </c>
      <c r="B1548">
        <v>5321</v>
      </c>
      <c r="C1548" t="s">
        <v>3238</v>
      </c>
      <c r="D1548" t="s">
        <v>1891</v>
      </c>
      <c r="E1548" t="s">
        <v>505</v>
      </c>
      <c r="F1548" t="s">
        <v>3239</v>
      </c>
      <c r="G1548" t="str">
        <f>"00200057"</f>
        <v>00200057</v>
      </c>
      <c r="H1548" t="s">
        <v>2441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-6</v>
      </c>
      <c r="W1548">
        <v>-42</v>
      </c>
      <c r="X1548">
        <v>0</v>
      </c>
      <c r="Z1548">
        <v>0</v>
      </c>
      <c r="AA1548">
        <v>0</v>
      </c>
      <c r="AB1548">
        <v>6</v>
      </c>
      <c r="AC1548">
        <v>102</v>
      </c>
      <c r="AD1548" t="s">
        <v>3240</v>
      </c>
    </row>
    <row r="1549" spans="1:30" x14ac:dyDescent="0.25">
      <c r="H1549" t="s">
        <v>3241</v>
      </c>
    </row>
    <row r="1550" spans="1:30" x14ac:dyDescent="0.25">
      <c r="A1550">
        <v>772</v>
      </c>
      <c r="B1550">
        <v>1336</v>
      </c>
      <c r="C1550" t="s">
        <v>3242</v>
      </c>
      <c r="D1550" t="s">
        <v>34</v>
      </c>
      <c r="E1550" t="s">
        <v>93</v>
      </c>
      <c r="F1550" t="s">
        <v>3243</v>
      </c>
      <c r="G1550" t="str">
        <f>"00026323"</f>
        <v>00026323</v>
      </c>
      <c r="H1550" t="s">
        <v>532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Z1550">
        <v>0</v>
      </c>
      <c r="AA1550">
        <v>0</v>
      </c>
      <c r="AB1550">
        <v>7</v>
      </c>
      <c r="AC1550">
        <v>119</v>
      </c>
      <c r="AD1550" t="s">
        <v>3244</v>
      </c>
    </row>
    <row r="1551" spans="1:30" x14ac:dyDescent="0.25">
      <c r="H1551" t="s">
        <v>3245</v>
      </c>
    </row>
    <row r="1552" spans="1:30" x14ac:dyDescent="0.25">
      <c r="A1552">
        <v>773</v>
      </c>
      <c r="B1552">
        <v>2182</v>
      </c>
      <c r="C1552" t="s">
        <v>2414</v>
      </c>
      <c r="D1552" t="s">
        <v>3246</v>
      </c>
      <c r="E1552" t="s">
        <v>15</v>
      </c>
      <c r="F1552" t="s">
        <v>3247</v>
      </c>
      <c r="G1552" t="str">
        <f>"00322743"</f>
        <v>00322743</v>
      </c>
      <c r="H1552" t="s">
        <v>58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3248</v>
      </c>
    </row>
    <row r="1553" spans="1:30" x14ac:dyDescent="0.25">
      <c r="H1553" t="s">
        <v>3249</v>
      </c>
    </row>
    <row r="1554" spans="1:30" x14ac:dyDescent="0.25">
      <c r="A1554">
        <v>774</v>
      </c>
      <c r="B1554">
        <v>3990</v>
      </c>
      <c r="C1554" t="s">
        <v>988</v>
      </c>
      <c r="D1554" t="s">
        <v>154</v>
      </c>
      <c r="E1554" t="s">
        <v>34</v>
      </c>
      <c r="F1554" t="s">
        <v>3250</v>
      </c>
      <c r="G1554" t="str">
        <f>"00198093"</f>
        <v>00198093</v>
      </c>
      <c r="H1554" t="s">
        <v>3016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30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Z1554">
        <v>0</v>
      </c>
      <c r="AA1554">
        <v>0</v>
      </c>
      <c r="AB1554">
        <v>8</v>
      </c>
      <c r="AC1554">
        <v>136</v>
      </c>
      <c r="AD1554" t="s">
        <v>3251</v>
      </c>
    </row>
    <row r="1555" spans="1:30" x14ac:dyDescent="0.25">
      <c r="H1555" t="s">
        <v>3252</v>
      </c>
    </row>
    <row r="1556" spans="1:30" x14ac:dyDescent="0.25">
      <c r="A1556">
        <v>775</v>
      </c>
      <c r="B1556">
        <v>5190</v>
      </c>
      <c r="C1556" t="s">
        <v>3253</v>
      </c>
      <c r="D1556" t="s">
        <v>3254</v>
      </c>
      <c r="E1556" t="s">
        <v>107</v>
      </c>
      <c r="F1556" t="s">
        <v>3255</v>
      </c>
      <c r="G1556" t="str">
        <f>"201511019811"</f>
        <v>201511019811</v>
      </c>
      <c r="H1556" t="s">
        <v>1619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14</v>
      </c>
      <c r="W1556">
        <v>98</v>
      </c>
      <c r="X1556">
        <v>0</v>
      </c>
      <c r="Z1556">
        <v>1</v>
      </c>
      <c r="AA1556">
        <v>0</v>
      </c>
      <c r="AB1556">
        <v>0</v>
      </c>
      <c r="AC1556">
        <v>0</v>
      </c>
      <c r="AD1556" t="s">
        <v>3256</v>
      </c>
    </row>
    <row r="1557" spans="1:30" x14ac:dyDescent="0.25">
      <c r="H1557" t="s">
        <v>3257</v>
      </c>
    </row>
    <row r="1558" spans="1:30" x14ac:dyDescent="0.25">
      <c r="A1558">
        <v>776</v>
      </c>
      <c r="B1558">
        <v>1812</v>
      </c>
      <c r="C1558" t="s">
        <v>3258</v>
      </c>
      <c r="D1558" t="s">
        <v>3259</v>
      </c>
      <c r="E1558" t="s">
        <v>3260</v>
      </c>
      <c r="F1558" t="s">
        <v>3261</v>
      </c>
      <c r="G1558" t="str">
        <f>"00317337"</f>
        <v>00317337</v>
      </c>
      <c r="H1558" t="s">
        <v>270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3262</v>
      </c>
    </row>
    <row r="1559" spans="1:30" x14ac:dyDescent="0.25">
      <c r="H1559" t="s">
        <v>2410</v>
      </c>
    </row>
    <row r="1560" spans="1:30" x14ac:dyDescent="0.25">
      <c r="A1560">
        <v>777</v>
      </c>
      <c r="B1560">
        <v>4347</v>
      </c>
      <c r="C1560" t="s">
        <v>3263</v>
      </c>
      <c r="D1560" t="s">
        <v>936</v>
      </c>
      <c r="E1560" t="s">
        <v>55</v>
      </c>
      <c r="F1560" t="s">
        <v>3264</v>
      </c>
      <c r="G1560" t="str">
        <f>"00345562"</f>
        <v>00345562</v>
      </c>
      <c r="H1560" t="s">
        <v>946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8</v>
      </c>
      <c r="W1560">
        <v>56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3265</v>
      </c>
    </row>
    <row r="1561" spans="1:30" x14ac:dyDescent="0.25">
      <c r="H1561" t="s">
        <v>3266</v>
      </c>
    </row>
    <row r="1562" spans="1:30" x14ac:dyDescent="0.25">
      <c r="A1562">
        <v>778</v>
      </c>
      <c r="B1562">
        <v>4006</v>
      </c>
      <c r="C1562" t="s">
        <v>3267</v>
      </c>
      <c r="D1562" t="s">
        <v>3268</v>
      </c>
      <c r="E1562" t="s">
        <v>44</v>
      </c>
      <c r="F1562" t="s">
        <v>3269</v>
      </c>
      <c r="G1562" t="str">
        <f>"00201958"</f>
        <v>00201958</v>
      </c>
      <c r="H1562" t="s">
        <v>2211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5</v>
      </c>
      <c r="W1562">
        <v>35</v>
      </c>
      <c r="X1562">
        <v>0</v>
      </c>
      <c r="Z1562">
        <v>0</v>
      </c>
      <c r="AA1562">
        <v>0</v>
      </c>
      <c r="AB1562">
        <v>2</v>
      </c>
      <c r="AC1562">
        <v>34</v>
      </c>
      <c r="AD1562" t="s">
        <v>309</v>
      </c>
    </row>
    <row r="1563" spans="1:30" x14ac:dyDescent="0.25">
      <c r="H1563" t="s">
        <v>3270</v>
      </c>
    </row>
    <row r="1564" spans="1:30" x14ac:dyDescent="0.25">
      <c r="A1564">
        <v>779</v>
      </c>
      <c r="B1564">
        <v>5363</v>
      </c>
      <c r="C1564" t="s">
        <v>2190</v>
      </c>
      <c r="D1564" t="s">
        <v>566</v>
      </c>
      <c r="E1564" t="s">
        <v>3271</v>
      </c>
      <c r="F1564" t="s">
        <v>3272</v>
      </c>
      <c r="G1564" t="str">
        <f>"00276020"</f>
        <v>00276020</v>
      </c>
      <c r="H1564" t="s">
        <v>231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30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7</v>
      </c>
      <c r="W1564">
        <v>49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3273</v>
      </c>
    </row>
    <row r="1565" spans="1:30" x14ac:dyDescent="0.25">
      <c r="H1565" t="s">
        <v>2192</v>
      </c>
    </row>
    <row r="1566" spans="1:30" x14ac:dyDescent="0.25">
      <c r="A1566">
        <v>780</v>
      </c>
      <c r="B1566">
        <v>4795</v>
      </c>
      <c r="C1566" t="s">
        <v>3274</v>
      </c>
      <c r="D1566" t="s">
        <v>185</v>
      </c>
      <c r="E1566" t="s">
        <v>330</v>
      </c>
      <c r="F1566" t="s">
        <v>3275</v>
      </c>
      <c r="G1566" t="str">
        <f>"00121465"</f>
        <v>00121465</v>
      </c>
      <c r="H1566">
        <v>693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12</v>
      </c>
      <c r="W1566">
        <v>84</v>
      </c>
      <c r="X1566">
        <v>0</v>
      </c>
      <c r="Z1566">
        <v>0</v>
      </c>
      <c r="AA1566">
        <v>0</v>
      </c>
      <c r="AB1566">
        <v>0</v>
      </c>
      <c r="AC1566">
        <v>0</v>
      </c>
      <c r="AD1566">
        <v>807</v>
      </c>
    </row>
    <row r="1567" spans="1:30" x14ac:dyDescent="0.25">
      <c r="H1567" t="s">
        <v>3276</v>
      </c>
    </row>
    <row r="1568" spans="1:30" x14ac:dyDescent="0.25">
      <c r="A1568">
        <v>781</v>
      </c>
      <c r="B1568">
        <v>3281</v>
      </c>
      <c r="C1568" t="s">
        <v>3277</v>
      </c>
      <c r="D1568" t="s">
        <v>530</v>
      </c>
      <c r="E1568" t="s">
        <v>93</v>
      </c>
      <c r="F1568" t="s">
        <v>3278</v>
      </c>
      <c r="G1568" t="str">
        <f>"00289072"</f>
        <v>00289072</v>
      </c>
      <c r="H1568" t="s">
        <v>206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3279</v>
      </c>
    </row>
    <row r="1569" spans="1:30" x14ac:dyDescent="0.25">
      <c r="H1569" t="s">
        <v>3280</v>
      </c>
    </row>
    <row r="1570" spans="1:30" x14ac:dyDescent="0.25">
      <c r="A1570">
        <v>782</v>
      </c>
      <c r="B1570">
        <v>5023</v>
      </c>
      <c r="C1570" t="s">
        <v>1244</v>
      </c>
      <c r="D1570" t="s">
        <v>761</v>
      </c>
      <c r="E1570" t="s">
        <v>107</v>
      </c>
      <c r="F1570" t="s">
        <v>3281</v>
      </c>
      <c r="G1570" t="str">
        <f>"00357953"</f>
        <v>00357953</v>
      </c>
      <c r="H1570" t="s">
        <v>314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50</v>
      </c>
      <c r="O1570">
        <v>0</v>
      </c>
      <c r="P1570">
        <v>70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3282</v>
      </c>
    </row>
    <row r="1571" spans="1:30" x14ac:dyDescent="0.25">
      <c r="H1571" t="s">
        <v>3283</v>
      </c>
    </row>
    <row r="1572" spans="1:30" x14ac:dyDescent="0.25">
      <c r="A1572">
        <v>783</v>
      </c>
      <c r="B1572">
        <v>1611</v>
      </c>
      <c r="C1572" t="s">
        <v>3284</v>
      </c>
      <c r="D1572" t="s">
        <v>34</v>
      </c>
      <c r="E1572" t="s">
        <v>220</v>
      </c>
      <c r="F1572" t="s">
        <v>3285</v>
      </c>
      <c r="G1572" t="str">
        <f>"201601000064"</f>
        <v>201601000064</v>
      </c>
      <c r="H1572" t="s">
        <v>1393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3286</v>
      </c>
    </row>
    <row r="1573" spans="1:30" x14ac:dyDescent="0.25">
      <c r="H1573" t="s">
        <v>3287</v>
      </c>
    </row>
    <row r="1574" spans="1:30" x14ac:dyDescent="0.25">
      <c r="A1574">
        <v>784</v>
      </c>
      <c r="B1574">
        <v>5017</v>
      </c>
      <c r="C1574" t="s">
        <v>3288</v>
      </c>
      <c r="D1574" t="s">
        <v>146</v>
      </c>
      <c r="E1574" t="s">
        <v>34</v>
      </c>
      <c r="F1574" t="s">
        <v>3289</v>
      </c>
      <c r="G1574" t="str">
        <f>"201306000094"</f>
        <v>201306000094</v>
      </c>
      <c r="H1574" t="s">
        <v>1444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9</v>
      </c>
      <c r="W1574">
        <v>63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3290</v>
      </c>
    </row>
    <row r="1575" spans="1:30" x14ac:dyDescent="0.25">
      <c r="H1575" t="s">
        <v>3291</v>
      </c>
    </row>
    <row r="1576" spans="1:30" x14ac:dyDescent="0.25">
      <c r="A1576">
        <v>785</v>
      </c>
      <c r="B1576">
        <v>1927</v>
      </c>
      <c r="C1576" t="s">
        <v>3292</v>
      </c>
      <c r="D1576" t="s">
        <v>158</v>
      </c>
      <c r="E1576" t="s">
        <v>55</v>
      </c>
      <c r="F1576" t="s">
        <v>3293</v>
      </c>
      <c r="G1576" t="str">
        <f>"00312544"</f>
        <v>00312544</v>
      </c>
      <c r="H1576" t="s">
        <v>621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3294</v>
      </c>
    </row>
    <row r="1577" spans="1:30" x14ac:dyDescent="0.25">
      <c r="H1577" t="s">
        <v>3295</v>
      </c>
    </row>
    <row r="1578" spans="1:30" x14ac:dyDescent="0.25">
      <c r="A1578">
        <v>786</v>
      </c>
      <c r="B1578">
        <v>1537</v>
      </c>
      <c r="C1578" t="s">
        <v>27</v>
      </c>
      <c r="D1578" t="s">
        <v>34</v>
      </c>
      <c r="E1578" t="s">
        <v>2347</v>
      </c>
      <c r="F1578" t="s">
        <v>3296</v>
      </c>
      <c r="G1578" t="str">
        <f>"201406010381"</f>
        <v>201406010381</v>
      </c>
      <c r="H1578">
        <v>770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Z1578">
        <v>0</v>
      </c>
      <c r="AA1578">
        <v>0</v>
      </c>
      <c r="AB1578">
        <v>0</v>
      </c>
      <c r="AC1578">
        <v>0</v>
      </c>
      <c r="AD1578">
        <v>800</v>
      </c>
    </row>
    <row r="1579" spans="1:30" x14ac:dyDescent="0.25">
      <c r="H1579" t="s">
        <v>3297</v>
      </c>
    </row>
    <row r="1580" spans="1:30" x14ac:dyDescent="0.25">
      <c r="A1580">
        <v>787</v>
      </c>
      <c r="B1580">
        <v>221</v>
      </c>
      <c r="C1580" t="s">
        <v>3298</v>
      </c>
      <c r="D1580" t="s">
        <v>210</v>
      </c>
      <c r="E1580" t="s">
        <v>34</v>
      </c>
      <c r="F1580" t="s">
        <v>3299</v>
      </c>
      <c r="G1580" t="str">
        <f>"00214883"</f>
        <v>00214883</v>
      </c>
      <c r="H1580" t="s">
        <v>1357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0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3300</v>
      </c>
    </row>
    <row r="1581" spans="1:30" x14ac:dyDescent="0.25">
      <c r="H1581" t="s">
        <v>3301</v>
      </c>
    </row>
    <row r="1582" spans="1:30" x14ac:dyDescent="0.25">
      <c r="A1582">
        <v>788</v>
      </c>
      <c r="B1582">
        <v>1677</v>
      </c>
      <c r="C1582" t="s">
        <v>3302</v>
      </c>
      <c r="D1582" t="s">
        <v>107</v>
      </c>
      <c r="E1582" t="s">
        <v>93</v>
      </c>
      <c r="F1582" t="s">
        <v>3303</v>
      </c>
      <c r="G1582" t="str">
        <f>"00229473"</f>
        <v>00229473</v>
      </c>
      <c r="H1582">
        <v>726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6</v>
      </c>
      <c r="W1582">
        <v>42</v>
      </c>
      <c r="X1582">
        <v>0</v>
      </c>
      <c r="Z1582">
        <v>0</v>
      </c>
      <c r="AA1582">
        <v>0</v>
      </c>
      <c r="AB1582">
        <v>0</v>
      </c>
      <c r="AC1582">
        <v>0</v>
      </c>
      <c r="AD1582">
        <v>798</v>
      </c>
    </row>
    <row r="1583" spans="1:30" x14ac:dyDescent="0.25">
      <c r="H1583" t="s">
        <v>3304</v>
      </c>
    </row>
    <row r="1584" spans="1:30" x14ac:dyDescent="0.25">
      <c r="A1584">
        <v>789</v>
      </c>
      <c r="B1584">
        <v>1802</v>
      </c>
      <c r="C1584" t="s">
        <v>3305</v>
      </c>
      <c r="D1584" t="s">
        <v>34</v>
      </c>
      <c r="E1584" t="s">
        <v>122</v>
      </c>
      <c r="F1584" t="s">
        <v>3306</v>
      </c>
      <c r="G1584" t="str">
        <f>"00249598"</f>
        <v>00249598</v>
      </c>
      <c r="H1584" t="s">
        <v>1152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Z1584">
        <v>1</v>
      </c>
      <c r="AA1584">
        <v>0</v>
      </c>
      <c r="AB1584">
        <v>0</v>
      </c>
      <c r="AC1584">
        <v>0</v>
      </c>
      <c r="AD1584" t="s">
        <v>3307</v>
      </c>
    </row>
    <row r="1585" spans="1:30" x14ac:dyDescent="0.25">
      <c r="H1585" t="s">
        <v>3308</v>
      </c>
    </row>
    <row r="1586" spans="1:30" x14ac:dyDescent="0.25">
      <c r="A1586">
        <v>790</v>
      </c>
      <c r="B1586">
        <v>130</v>
      </c>
      <c r="C1586" t="s">
        <v>3309</v>
      </c>
      <c r="D1586" t="s">
        <v>168</v>
      </c>
      <c r="E1586" t="s">
        <v>107</v>
      </c>
      <c r="F1586" t="s">
        <v>3310</v>
      </c>
      <c r="G1586" t="str">
        <f>"00295512"</f>
        <v>00295512</v>
      </c>
      <c r="H1586">
        <v>682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12</v>
      </c>
      <c r="W1586">
        <v>84</v>
      </c>
      <c r="X1586">
        <v>0</v>
      </c>
      <c r="Z1586">
        <v>0</v>
      </c>
      <c r="AA1586">
        <v>0</v>
      </c>
      <c r="AB1586">
        <v>0</v>
      </c>
      <c r="AC1586">
        <v>0</v>
      </c>
      <c r="AD1586">
        <v>796</v>
      </c>
    </row>
    <row r="1587" spans="1:30" x14ac:dyDescent="0.25">
      <c r="H1587" t="s">
        <v>3311</v>
      </c>
    </row>
    <row r="1588" spans="1:30" x14ac:dyDescent="0.25">
      <c r="A1588">
        <v>791</v>
      </c>
      <c r="B1588">
        <v>4871</v>
      </c>
      <c r="C1588" t="s">
        <v>3312</v>
      </c>
      <c r="D1588" t="s">
        <v>34</v>
      </c>
      <c r="E1588" t="s">
        <v>55</v>
      </c>
      <c r="F1588" t="s">
        <v>3313</v>
      </c>
      <c r="G1588" t="str">
        <f>"00361365"</f>
        <v>00361365</v>
      </c>
      <c r="H1588" t="s">
        <v>1644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50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9</v>
      </c>
      <c r="W1588">
        <v>63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3314</v>
      </c>
    </row>
    <row r="1589" spans="1:30" x14ac:dyDescent="0.25">
      <c r="H1589" t="s">
        <v>3315</v>
      </c>
    </row>
    <row r="1590" spans="1:30" x14ac:dyDescent="0.25">
      <c r="A1590">
        <v>792</v>
      </c>
      <c r="B1590">
        <v>592</v>
      </c>
      <c r="C1590" t="s">
        <v>3316</v>
      </c>
      <c r="D1590" t="s">
        <v>358</v>
      </c>
      <c r="E1590" t="s">
        <v>283</v>
      </c>
      <c r="F1590" t="s">
        <v>3317</v>
      </c>
      <c r="G1590" t="str">
        <f>"201511027085"</f>
        <v>201511027085</v>
      </c>
      <c r="H1590" t="s">
        <v>2408</v>
      </c>
      <c r="I1590">
        <v>0</v>
      </c>
      <c r="J1590">
        <v>0</v>
      </c>
      <c r="K1590">
        <v>0</v>
      </c>
      <c r="L1590">
        <v>0</v>
      </c>
      <c r="M1590">
        <v>100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3318</v>
      </c>
    </row>
    <row r="1591" spans="1:30" x14ac:dyDescent="0.25">
      <c r="H1591" t="s">
        <v>3319</v>
      </c>
    </row>
    <row r="1592" spans="1:30" x14ac:dyDescent="0.25">
      <c r="A1592">
        <v>793</v>
      </c>
      <c r="B1592">
        <v>1205</v>
      </c>
      <c r="C1592" t="s">
        <v>3320</v>
      </c>
      <c r="D1592" t="s">
        <v>76</v>
      </c>
      <c r="E1592" t="s">
        <v>146</v>
      </c>
      <c r="F1592" t="s">
        <v>3321</v>
      </c>
      <c r="G1592" t="str">
        <f>"201511026446"</f>
        <v>201511026446</v>
      </c>
      <c r="H1592" t="s">
        <v>1651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50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13</v>
      </c>
      <c r="W1592">
        <v>91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3318</v>
      </c>
    </row>
    <row r="1593" spans="1:30" x14ac:dyDescent="0.25">
      <c r="H1593" t="s">
        <v>3322</v>
      </c>
    </row>
    <row r="1594" spans="1:30" x14ac:dyDescent="0.25">
      <c r="A1594">
        <v>794</v>
      </c>
      <c r="B1594">
        <v>4773</v>
      </c>
      <c r="C1594" t="s">
        <v>408</v>
      </c>
      <c r="D1594" t="s">
        <v>28</v>
      </c>
      <c r="E1594" t="s">
        <v>3323</v>
      </c>
      <c r="F1594" t="s">
        <v>3324</v>
      </c>
      <c r="G1594" t="str">
        <f>"00202375"</f>
        <v>00202375</v>
      </c>
      <c r="H1594" t="s">
        <v>481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6</v>
      </c>
      <c r="W1594">
        <v>42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3325</v>
      </c>
    </row>
    <row r="1595" spans="1:30" x14ac:dyDescent="0.25">
      <c r="H1595" t="s">
        <v>3326</v>
      </c>
    </row>
    <row r="1596" spans="1:30" x14ac:dyDescent="0.25">
      <c r="A1596">
        <v>795</v>
      </c>
      <c r="B1596">
        <v>1378</v>
      </c>
      <c r="C1596" t="s">
        <v>267</v>
      </c>
      <c r="D1596" t="s">
        <v>3327</v>
      </c>
      <c r="E1596" t="s">
        <v>44</v>
      </c>
      <c r="F1596" t="s">
        <v>3328</v>
      </c>
      <c r="G1596" t="str">
        <f>"00253724"</f>
        <v>00253724</v>
      </c>
      <c r="H1596" t="s">
        <v>2342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Z1596">
        <v>2</v>
      </c>
      <c r="AA1596">
        <v>0</v>
      </c>
      <c r="AB1596">
        <v>0</v>
      </c>
      <c r="AC1596">
        <v>0</v>
      </c>
      <c r="AD1596" t="s">
        <v>3329</v>
      </c>
    </row>
    <row r="1597" spans="1:30" x14ac:dyDescent="0.25">
      <c r="H1597" t="s">
        <v>3330</v>
      </c>
    </row>
    <row r="1598" spans="1:30" x14ac:dyDescent="0.25">
      <c r="A1598">
        <v>796</v>
      </c>
      <c r="B1598">
        <v>1841</v>
      </c>
      <c r="C1598" t="s">
        <v>1784</v>
      </c>
      <c r="D1598" t="s">
        <v>158</v>
      </c>
      <c r="E1598" t="s">
        <v>122</v>
      </c>
      <c r="F1598" t="s">
        <v>3331</v>
      </c>
      <c r="G1598" t="str">
        <f>"201402002197"</f>
        <v>201402002197</v>
      </c>
      <c r="H1598" t="s">
        <v>1335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50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Z1598">
        <v>2</v>
      </c>
      <c r="AA1598">
        <v>0</v>
      </c>
      <c r="AB1598">
        <v>0</v>
      </c>
      <c r="AC1598">
        <v>0</v>
      </c>
      <c r="AD1598" t="s">
        <v>3332</v>
      </c>
    </row>
    <row r="1599" spans="1:30" x14ac:dyDescent="0.25">
      <c r="H1599" t="s">
        <v>3333</v>
      </c>
    </row>
    <row r="1600" spans="1:30" x14ac:dyDescent="0.25">
      <c r="A1600">
        <v>797</v>
      </c>
      <c r="B1600">
        <v>1278</v>
      </c>
      <c r="C1600" t="s">
        <v>3334</v>
      </c>
      <c r="D1600" t="s">
        <v>154</v>
      </c>
      <c r="E1600" t="s">
        <v>278</v>
      </c>
      <c r="F1600" t="s">
        <v>3335</v>
      </c>
      <c r="G1600" t="str">
        <f>"200801001547"</f>
        <v>200801001547</v>
      </c>
      <c r="H1600">
        <v>682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11</v>
      </c>
      <c r="W1600">
        <v>77</v>
      </c>
      <c r="X1600">
        <v>0</v>
      </c>
      <c r="Z1600">
        <v>0</v>
      </c>
      <c r="AA1600">
        <v>0</v>
      </c>
      <c r="AB1600">
        <v>0</v>
      </c>
      <c r="AC1600">
        <v>0</v>
      </c>
      <c r="AD1600">
        <v>789</v>
      </c>
    </row>
    <row r="1601" spans="1:30" x14ac:dyDescent="0.25">
      <c r="H1601" t="s">
        <v>3336</v>
      </c>
    </row>
    <row r="1602" spans="1:30" x14ac:dyDescent="0.25">
      <c r="A1602">
        <v>798</v>
      </c>
      <c r="B1602">
        <v>3809</v>
      </c>
      <c r="C1602" t="s">
        <v>3337</v>
      </c>
      <c r="D1602" t="s">
        <v>3130</v>
      </c>
      <c r="E1602" t="s">
        <v>34</v>
      </c>
      <c r="F1602" t="s">
        <v>3338</v>
      </c>
      <c r="G1602" t="str">
        <f>"00237141"</f>
        <v>00237141</v>
      </c>
      <c r="H1602" t="s">
        <v>489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6</v>
      </c>
      <c r="W1602">
        <v>42</v>
      </c>
      <c r="X1602">
        <v>0</v>
      </c>
      <c r="Z1602">
        <v>2</v>
      </c>
      <c r="AA1602">
        <v>0</v>
      </c>
      <c r="AB1602">
        <v>0</v>
      </c>
      <c r="AC1602">
        <v>0</v>
      </c>
      <c r="AD1602" t="s">
        <v>3339</v>
      </c>
    </row>
    <row r="1603" spans="1:30" x14ac:dyDescent="0.25">
      <c r="H1603" t="s">
        <v>3340</v>
      </c>
    </row>
    <row r="1604" spans="1:30" x14ac:dyDescent="0.25">
      <c r="A1604">
        <v>799</v>
      </c>
      <c r="B1604">
        <v>984</v>
      </c>
      <c r="C1604" t="s">
        <v>3341</v>
      </c>
      <c r="D1604" t="s">
        <v>412</v>
      </c>
      <c r="E1604" t="s">
        <v>28</v>
      </c>
      <c r="F1604" t="s">
        <v>3342</v>
      </c>
      <c r="G1604" t="str">
        <f>"201510001677"</f>
        <v>201510001677</v>
      </c>
      <c r="H1604" t="s">
        <v>1387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3343</v>
      </c>
    </row>
    <row r="1605" spans="1:30" x14ac:dyDescent="0.25">
      <c r="H1605" t="s">
        <v>3344</v>
      </c>
    </row>
    <row r="1606" spans="1:30" x14ac:dyDescent="0.25">
      <c r="A1606">
        <v>800</v>
      </c>
      <c r="B1606">
        <v>5124</v>
      </c>
      <c r="C1606" t="s">
        <v>3345</v>
      </c>
      <c r="D1606" t="s">
        <v>303</v>
      </c>
      <c r="E1606" t="s">
        <v>28</v>
      </c>
      <c r="F1606" t="s">
        <v>3346</v>
      </c>
      <c r="G1606" t="str">
        <f>"00347599"</f>
        <v>00347599</v>
      </c>
      <c r="H1606" t="s">
        <v>664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8</v>
      </c>
      <c r="W1606">
        <v>56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3347</v>
      </c>
    </row>
    <row r="1607" spans="1:30" x14ac:dyDescent="0.25">
      <c r="H1607" t="s">
        <v>3348</v>
      </c>
    </row>
    <row r="1608" spans="1:30" x14ac:dyDescent="0.25">
      <c r="A1608">
        <v>801</v>
      </c>
      <c r="B1608">
        <v>4994</v>
      </c>
      <c r="C1608" t="s">
        <v>3349</v>
      </c>
      <c r="D1608" t="s">
        <v>981</v>
      </c>
      <c r="E1608" t="s">
        <v>3350</v>
      </c>
      <c r="F1608" t="s">
        <v>3351</v>
      </c>
      <c r="G1608" t="str">
        <f>"00234048"</f>
        <v>00234048</v>
      </c>
      <c r="H1608" t="s">
        <v>3139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3352</v>
      </c>
    </row>
    <row r="1609" spans="1:30" x14ac:dyDescent="0.25">
      <c r="H1609" t="s">
        <v>3353</v>
      </c>
    </row>
    <row r="1610" spans="1:30" x14ac:dyDescent="0.25">
      <c r="A1610">
        <v>802</v>
      </c>
      <c r="B1610">
        <v>4901</v>
      </c>
      <c r="C1610" t="s">
        <v>3354</v>
      </c>
      <c r="D1610" t="s">
        <v>200</v>
      </c>
      <c r="E1610" t="s">
        <v>24</v>
      </c>
      <c r="F1610" t="s">
        <v>3355</v>
      </c>
      <c r="G1610" t="str">
        <f>"201511031069"</f>
        <v>201511031069</v>
      </c>
      <c r="H1610" t="s">
        <v>1685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5</v>
      </c>
      <c r="W1610">
        <v>35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3356</v>
      </c>
    </row>
    <row r="1611" spans="1:30" x14ac:dyDescent="0.25">
      <c r="H1611" t="s">
        <v>3357</v>
      </c>
    </row>
    <row r="1612" spans="1:30" x14ac:dyDescent="0.25">
      <c r="A1612">
        <v>803</v>
      </c>
      <c r="B1612">
        <v>2315</v>
      </c>
      <c r="C1612" t="s">
        <v>3358</v>
      </c>
      <c r="D1612" t="s">
        <v>24</v>
      </c>
      <c r="E1612" t="s">
        <v>644</v>
      </c>
      <c r="F1612" t="s">
        <v>3359</v>
      </c>
      <c r="G1612" t="str">
        <f>"00150101"</f>
        <v>00150101</v>
      </c>
      <c r="H1612" t="s">
        <v>445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3360</v>
      </c>
    </row>
    <row r="1613" spans="1:30" x14ac:dyDescent="0.25">
      <c r="H1613" t="s">
        <v>3361</v>
      </c>
    </row>
    <row r="1614" spans="1:30" x14ac:dyDescent="0.25">
      <c r="A1614">
        <v>804</v>
      </c>
      <c r="B1614">
        <v>3839</v>
      </c>
      <c r="C1614" t="s">
        <v>3362</v>
      </c>
      <c r="D1614" t="s">
        <v>3363</v>
      </c>
      <c r="E1614" t="s">
        <v>1659</v>
      </c>
      <c r="F1614" t="s">
        <v>3364</v>
      </c>
      <c r="G1614" t="str">
        <f>"201402001037"</f>
        <v>201402001037</v>
      </c>
      <c r="H1614" t="s">
        <v>3365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16</v>
      </c>
      <c r="W1614">
        <v>112</v>
      </c>
      <c r="X1614">
        <v>0</v>
      </c>
      <c r="Z1614">
        <v>1</v>
      </c>
      <c r="AA1614">
        <v>0</v>
      </c>
      <c r="AB1614">
        <v>0</v>
      </c>
      <c r="AC1614">
        <v>0</v>
      </c>
      <c r="AD1614" t="s">
        <v>3366</v>
      </c>
    </row>
    <row r="1615" spans="1:30" x14ac:dyDescent="0.25">
      <c r="H1615" t="s">
        <v>1765</v>
      </c>
    </row>
    <row r="1616" spans="1:30" x14ac:dyDescent="0.25">
      <c r="A1616">
        <v>805</v>
      </c>
      <c r="B1616">
        <v>3156</v>
      </c>
      <c r="C1616" t="s">
        <v>3367</v>
      </c>
      <c r="D1616" t="s">
        <v>3368</v>
      </c>
      <c r="E1616" t="s">
        <v>1098</v>
      </c>
      <c r="F1616" t="s">
        <v>3369</v>
      </c>
      <c r="G1616" t="str">
        <f>"00189736"</f>
        <v>00189736</v>
      </c>
      <c r="H1616" t="s">
        <v>2974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6</v>
      </c>
      <c r="W1616">
        <v>42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3370</v>
      </c>
    </row>
    <row r="1617" spans="1:30" x14ac:dyDescent="0.25">
      <c r="H1617" t="s">
        <v>3371</v>
      </c>
    </row>
    <row r="1618" spans="1:30" x14ac:dyDescent="0.25">
      <c r="A1618">
        <v>806</v>
      </c>
      <c r="B1618">
        <v>797</v>
      </c>
      <c r="C1618" t="s">
        <v>3372</v>
      </c>
      <c r="D1618" t="s">
        <v>154</v>
      </c>
      <c r="E1618" t="s">
        <v>146</v>
      </c>
      <c r="F1618" t="s">
        <v>3373</v>
      </c>
      <c r="G1618" t="str">
        <f>"00292681"</f>
        <v>00292681</v>
      </c>
      <c r="H1618" t="s">
        <v>853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3374</v>
      </c>
    </row>
    <row r="1619" spans="1:30" x14ac:dyDescent="0.25">
      <c r="H1619" t="s">
        <v>3375</v>
      </c>
    </row>
    <row r="1620" spans="1:30" x14ac:dyDescent="0.25">
      <c r="A1620">
        <v>807</v>
      </c>
      <c r="B1620">
        <v>5523</v>
      </c>
      <c r="C1620" t="s">
        <v>3376</v>
      </c>
      <c r="D1620" t="s">
        <v>44</v>
      </c>
      <c r="E1620" t="s">
        <v>34</v>
      </c>
      <c r="F1620" t="s">
        <v>3377</v>
      </c>
      <c r="G1620" t="str">
        <f>"00214916"</f>
        <v>00214916</v>
      </c>
      <c r="H1620">
        <v>638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16</v>
      </c>
      <c r="W1620">
        <v>112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780</v>
      </c>
    </row>
    <row r="1621" spans="1:30" x14ac:dyDescent="0.25">
      <c r="H1621" t="s">
        <v>3378</v>
      </c>
    </row>
    <row r="1622" spans="1:30" x14ac:dyDescent="0.25">
      <c r="A1622">
        <v>808</v>
      </c>
      <c r="B1622">
        <v>3709</v>
      </c>
      <c r="C1622" t="s">
        <v>3379</v>
      </c>
      <c r="D1622" t="s">
        <v>55</v>
      </c>
      <c r="E1622" t="s">
        <v>24</v>
      </c>
      <c r="F1622" t="s">
        <v>3380</v>
      </c>
      <c r="G1622" t="str">
        <f>"201409006218"</f>
        <v>201409006218</v>
      </c>
      <c r="H1622" t="s">
        <v>1958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3381</v>
      </c>
    </row>
    <row r="1623" spans="1:30" x14ac:dyDescent="0.25">
      <c r="H1623" t="s">
        <v>3382</v>
      </c>
    </row>
    <row r="1624" spans="1:30" x14ac:dyDescent="0.25">
      <c r="A1624">
        <v>809</v>
      </c>
      <c r="B1624">
        <v>734</v>
      </c>
      <c r="C1624" t="s">
        <v>3383</v>
      </c>
      <c r="D1624" t="s">
        <v>2161</v>
      </c>
      <c r="E1624" t="s">
        <v>146</v>
      </c>
      <c r="F1624" t="s">
        <v>3384</v>
      </c>
      <c r="G1624" t="str">
        <f>"00088854"</f>
        <v>00088854</v>
      </c>
      <c r="H1624">
        <v>693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8</v>
      </c>
      <c r="W1624">
        <v>56</v>
      </c>
      <c r="X1624">
        <v>0</v>
      </c>
      <c r="Z1624">
        <v>0</v>
      </c>
      <c r="AA1624">
        <v>0</v>
      </c>
      <c r="AB1624">
        <v>0</v>
      </c>
      <c r="AC1624">
        <v>0</v>
      </c>
      <c r="AD1624">
        <v>779</v>
      </c>
    </row>
    <row r="1625" spans="1:30" x14ac:dyDescent="0.25">
      <c r="H1625" t="s">
        <v>3385</v>
      </c>
    </row>
    <row r="1626" spans="1:30" x14ac:dyDescent="0.25">
      <c r="A1626">
        <v>810</v>
      </c>
      <c r="B1626">
        <v>1273</v>
      </c>
      <c r="C1626" t="s">
        <v>3386</v>
      </c>
      <c r="D1626" t="s">
        <v>318</v>
      </c>
      <c r="E1626" t="s">
        <v>44</v>
      </c>
      <c r="F1626" t="s">
        <v>3387</v>
      </c>
      <c r="G1626" t="str">
        <f>"200802007992"</f>
        <v>200802007992</v>
      </c>
      <c r="H1626">
        <v>748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Z1626">
        <v>0</v>
      </c>
      <c r="AA1626">
        <v>0</v>
      </c>
      <c r="AB1626">
        <v>0</v>
      </c>
      <c r="AC1626">
        <v>0</v>
      </c>
      <c r="AD1626">
        <v>778</v>
      </c>
    </row>
    <row r="1627" spans="1:30" x14ac:dyDescent="0.25">
      <c r="H1627" t="s">
        <v>3388</v>
      </c>
    </row>
    <row r="1628" spans="1:30" x14ac:dyDescent="0.25">
      <c r="A1628">
        <v>811</v>
      </c>
      <c r="B1628">
        <v>2551</v>
      </c>
      <c r="C1628" t="s">
        <v>3389</v>
      </c>
      <c r="D1628" t="s">
        <v>146</v>
      </c>
      <c r="E1628" t="s">
        <v>268</v>
      </c>
      <c r="F1628" t="s">
        <v>3390</v>
      </c>
      <c r="G1628" t="str">
        <f>"201402001328"</f>
        <v>201402001328</v>
      </c>
      <c r="H1628">
        <v>748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Z1628">
        <v>0</v>
      </c>
      <c r="AA1628">
        <v>0</v>
      </c>
      <c r="AB1628">
        <v>0</v>
      </c>
      <c r="AC1628">
        <v>0</v>
      </c>
      <c r="AD1628">
        <v>778</v>
      </c>
    </row>
    <row r="1629" spans="1:30" x14ac:dyDescent="0.25">
      <c r="H1629" t="s">
        <v>3204</v>
      </c>
    </row>
    <row r="1630" spans="1:30" x14ac:dyDescent="0.25">
      <c r="A1630">
        <v>812</v>
      </c>
      <c r="B1630">
        <v>5287</v>
      </c>
      <c r="C1630" t="s">
        <v>949</v>
      </c>
      <c r="D1630" t="s">
        <v>392</v>
      </c>
      <c r="E1630" t="s">
        <v>146</v>
      </c>
      <c r="F1630" t="s">
        <v>3391</v>
      </c>
      <c r="G1630" t="str">
        <f>"00166094"</f>
        <v>00166094</v>
      </c>
      <c r="H1630">
        <v>671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11</v>
      </c>
      <c r="W1630">
        <v>77</v>
      </c>
      <c r="X1630">
        <v>0</v>
      </c>
      <c r="Z1630">
        <v>2</v>
      </c>
      <c r="AA1630">
        <v>0</v>
      </c>
      <c r="AB1630">
        <v>0</v>
      </c>
      <c r="AC1630">
        <v>0</v>
      </c>
      <c r="AD1630">
        <v>778</v>
      </c>
    </row>
    <row r="1631" spans="1:30" x14ac:dyDescent="0.25">
      <c r="H1631" t="s">
        <v>3392</v>
      </c>
    </row>
    <row r="1632" spans="1:30" x14ac:dyDescent="0.25">
      <c r="A1632">
        <v>813</v>
      </c>
      <c r="B1632">
        <v>977</v>
      </c>
      <c r="C1632" t="s">
        <v>3393</v>
      </c>
      <c r="D1632" t="s">
        <v>179</v>
      </c>
      <c r="E1632" t="s">
        <v>359</v>
      </c>
      <c r="F1632" t="s">
        <v>3394</v>
      </c>
      <c r="G1632" t="str">
        <f>"00006088"</f>
        <v>00006088</v>
      </c>
      <c r="H1632" t="s">
        <v>1252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Z1632">
        <v>3</v>
      </c>
      <c r="AA1632">
        <v>0</v>
      </c>
      <c r="AB1632">
        <v>0</v>
      </c>
      <c r="AC1632">
        <v>0</v>
      </c>
      <c r="AD1632" t="s">
        <v>3395</v>
      </c>
    </row>
    <row r="1633" spans="1:30" x14ac:dyDescent="0.25">
      <c r="H1633" t="s">
        <v>3396</v>
      </c>
    </row>
    <row r="1634" spans="1:30" x14ac:dyDescent="0.25">
      <c r="A1634">
        <v>814</v>
      </c>
      <c r="B1634">
        <v>4178</v>
      </c>
      <c r="C1634" t="s">
        <v>3397</v>
      </c>
      <c r="D1634" t="s">
        <v>3398</v>
      </c>
      <c r="E1634" t="s">
        <v>28</v>
      </c>
      <c r="F1634" t="s">
        <v>3399</v>
      </c>
      <c r="G1634" t="str">
        <f>"201406003117"</f>
        <v>201406003117</v>
      </c>
      <c r="H1634">
        <v>704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Z1634">
        <v>0</v>
      </c>
      <c r="AA1634">
        <v>0</v>
      </c>
      <c r="AB1634">
        <v>0</v>
      </c>
      <c r="AC1634">
        <v>0</v>
      </c>
      <c r="AD1634">
        <v>774</v>
      </c>
    </row>
    <row r="1635" spans="1:30" x14ac:dyDescent="0.25">
      <c r="H1635" t="s">
        <v>3400</v>
      </c>
    </row>
    <row r="1636" spans="1:30" x14ac:dyDescent="0.25">
      <c r="A1636">
        <v>815</v>
      </c>
      <c r="B1636">
        <v>2116</v>
      </c>
      <c r="C1636" t="s">
        <v>3401</v>
      </c>
      <c r="D1636" t="s">
        <v>307</v>
      </c>
      <c r="E1636" t="s">
        <v>107</v>
      </c>
      <c r="F1636" t="s">
        <v>3402</v>
      </c>
      <c r="G1636" t="str">
        <f>"201511041346"</f>
        <v>201511041346</v>
      </c>
      <c r="H1636">
        <v>704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70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Z1636">
        <v>0</v>
      </c>
      <c r="AA1636">
        <v>0</v>
      </c>
      <c r="AB1636">
        <v>0</v>
      </c>
      <c r="AC1636">
        <v>0</v>
      </c>
      <c r="AD1636">
        <v>774</v>
      </c>
    </row>
    <row r="1637" spans="1:30" x14ac:dyDescent="0.25">
      <c r="H1637" t="s">
        <v>3403</v>
      </c>
    </row>
    <row r="1638" spans="1:30" x14ac:dyDescent="0.25">
      <c r="A1638">
        <v>816</v>
      </c>
      <c r="B1638">
        <v>1260</v>
      </c>
      <c r="C1638" t="s">
        <v>2501</v>
      </c>
      <c r="D1638" t="s">
        <v>185</v>
      </c>
      <c r="E1638" t="s">
        <v>55</v>
      </c>
      <c r="F1638" t="s">
        <v>3404</v>
      </c>
      <c r="G1638" t="str">
        <f>"00258719"</f>
        <v>00258719</v>
      </c>
      <c r="H1638" t="s">
        <v>1644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9</v>
      </c>
      <c r="W1638">
        <v>63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3405</v>
      </c>
    </row>
    <row r="1639" spans="1:30" x14ac:dyDescent="0.25">
      <c r="H1639" t="s">
        <v>2410</v>
      </c>
    </row>
    <row r="1640" spans="1:30" x14ac:dyDescent="0.25">
      <c r="A1640">
        <v>817</v>
      </c>
      <c r="B1640">
        <v>3413</v>
      </c>
      <c r="C1640" t="s">
        <v>3406</v>
      </c>
      <c r="D1640" t="s">
        <v>92</v>
      </c>
      <c r="E1640" t="s">
        <v>34</v>
      </c>
      <c r="F1640" t="s">
        <v>3407</v>
      </c>
      <c r="G1640" t="str">
        <f>"00369800"</f>
        <v>00369800</v>
      </c>
      <c r="H1640" t="s">
        <v>2575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3408</v>
      </c>
    </row>
    <row r="1641" spans="1:30" x14ac:dyDescent="0.25">
      <c r="H1641" t="s">
        <v>3409</v>
      </c>
    </row>
    <row r="1642" spans="1:30" x14ac:dyDescent="0.25">
      <c r="A1642">
        <v>818</v>
      </c>
      <c r="B1642">
        <v>3462</v>
      </c>
      <c r="C1642" t="s">
        <v>3410</v>
      </c>
      <c r="D1642" t="s">
        <v>3411</v>
      </c>
      <c r="E1642" t="s">
        <v>63</v>
      </c>
      <c r="F1642" t="s">
        <v>3412</v>
      </c>
      <c r="G1642" t="str">
        <f>"00364405"</f>
        <v>00364405</v>
      </c>
      <c r="H1642" t="s">
        <v>576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Z1642">
        <v>2</v>
      </c>
      <c r="AA1642">
        <v>0</v>
      </c>
      <c r="AB1642">
        <v>0</v>
      </c>
      <c r="AC1642">
        <v>0</v>
      </c>
      <c r="AD1642" t="s">
        <v>3413</v>
      </c>
    </row>
    <row r="1643" spans="1:30" x14ac:dyDescent="0.25">
      <c r="H1643" t="s">
        <v>3414</v>
      </c>
    </row>
    <row r="1644" spans="1:30" x14ac:dyDescent="0.25">
      <c r="A1644">
        <v>819</v>
      </c>
      <c r="B1644">
        <v>1865</v>
      </c>
      <c r="C1644" t="s">
        <v>3415</v>
      </c>
      <c r="D1644" t="s">
        <v>146</v>
      </c>
      <c r="E1644" t="s">
        <v>100</v>
      </c>
      <c r="F1644" t="s">
        <v>3416</v>
      </c>
      <c r="G1644" t="str">
        <f>"201403000024"</f>
        <v>201403000024</v>
      </c>
      <c r="H1644" t="s">
        <v>576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3413</v>
      </c>
    </row>
    <row r="1645" spans="1:30" x14ac:dyDescent="0.25">
      <c r="H1645" t="s">
        <v>3417</v>
      </c>
    </row>
    <row r="1646" spans="1:30" x14ac:dyDescent="0.25">
      <c r="A1646">
        <v>820</v>
      </c>
      <c r="B1646">
        <v>3913</v>
      </c>
      <c r="C1646" t="s">
        <v>3418</v>
      </c>
      <c r="D1646" t="s">
        <v>3419</v>
      </c>
      <c r="E1646" t="s">
        <v>55</v>
      </c>
      <c r="F1646" t="s">
        <v>3420</v>
      </c>
      <c r="G1646" t="str">
        <f>"00207897"</f>
        <v>00207897</v>
      </c>
      <c r="H1646" t="s">
        <v>2508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3421</v>
      </c>
    </row>
    <row r="1647" spans="1:30" x14ac:dyDescent="0.25">
      <c r="H1647" t="s">
        <v>3422</v>
      </c>
    </row>
    <row r="1648" spans="1:30" x14ac:dyDescent="0.25">
      <c r="A1648">
        <v>821</v>
      </c>
      <c r="B1648">
        <v>696</v>
      </c>
      <c r="C1648" t="s">
        <v>3423</v>
      </c>
      <c r="D1648" t="s">
        <v>1701</v>
      </c>
      <c r="E1648" t="s">
        <v>359</v>
      </c>
      <c r="F1648" t="s">
        <v>3424</v>
      </c>
      <c r="G1648" t="str">
        <f>"00199720"</f>
        <v>00199720</v>
      </c>
      <c r="H1648" t="s">
        <v>3425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50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Z1648">
        <v>2</v>
      </c>
      <c r="AA1648">
        <v>0</v>
      </c>
      <c r="AB1648">
        <v>0</v>
      </c>
      <c r="AC1648">
        <v>0</v>
      </c>
      <c r="AD1648" t="s">
        <v>3426</v>
      </c>
    </row>
    <row r="1649" spans="1:30" x14ac:dyDescent="0.25">
      <c r="H1649" t="s">
        <v>3427</v>
      </c>
    </row>
    <row r="1650" spans="1:30" x14ac:dyDescent="0.25">
      <c r="A1650">
        <v>822</v>
      </c>
      <c r="B1650">
        <v>3445</v>
      </c>
      <c r="C1650" t="s">
        <v>3428</v>
      </c>
      <c r="D1650" t="s">
        <v>185</v>
      </c>
      <c r="E1650" t="s">
        <v>3429</v>
      </c>
      <c r="F1650" t="s">
        <v>3430</v>
      </c>
      <c r="G1650" t="str">
        <f>"00246410"</f>
        <v>00246410</v>
      </c>
      <c r="H1650" t="s">
        <v>117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50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1</v>
      </c>
      <c r="AA1650">
        <v>0</v>
      </c>
      <c r="AB1650">
        <v>0</v>
      </c>
      <c r="AC1650">
        <v>0</v>
      </c>
      <c r="AD1650" t="s">
        <v>3431</v>
      </c>
    </row>
    <row r="1651" spans="1:30" x14ac:dyDescent="0.25">
      <c r="H1651" t="s">
        <v>3432</v>
      </c>
    </row>
    <row r="1652" spans="1:30" x14ac:dyDescent="0.25">
      <c r="A1652">
        <v>823</v>
      </c>
      <c r="B1652">
        <v>1344</v>
      </c>
      <c r="C1652" t="s">
        <v>3433</v>
      </c>
      <c r="D1652" t="s">
        <v>3434</v>
      </c>
      <c r="E1652" t="s">
        <v>107</v>
      </c>
      <c r="F1652" t="s">
        <v>3435</v>
      </c>
      <c r="G1652" t="str">
        <f>"201402010038"</f>
        <v>201402010038</v>
      </c>
      <c r="H1652" t="s">
        <v>1745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5</v>
      </c>
      <c r="W1652">
        <v>35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3436</v>
      </c>
    </row>
    <row r="1653" spans="1:30" x14ac:dyDescent="0.25">
      <c r="H1653" t="s">
        <v>3437</v>
      </c>
    </row>
    <row r="1654" spans="1:30" x14ac:dyDescent="0.25">
      <c r="A1654">
        <v>824</v>
      </c>
      <c r="B1654">
        <v>4303</v>
      </c>
      <c r="C1654" t="s">
        <v>3438</v>
      </c>
      <c r="D1654" t="s">
        <v>34</v>
      </c>
      <c r="E1654" t="s">
        <v>330</v>
      </c>
      <c r="F1654" t="s">
        <v>3439</v>
      </c>
      <c r="G1654" t="str">
        <f>"00154967"</f>
        <v>00154967</v>
      </c>
      <c r="H1654" t="s">
        <v>124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50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3440</v>
      </c>
    </row>
    <row r="1655" spans="1:30" x14ac:dyDescent="0.25">
      <c r="H1655" t="s">
        <v>3441</v>
      </c>
    </row>
    <row r="1656" spans="1:30" x14ac:dyDescent="0.25">
      <c r="A1656">
        <v>825</v>
      </c>
      <c r="B1656">
        <v>4339</v>
      </c>
      <c r="C1656" t="s">
        <v>3442</v>
      </c>
      <c r="D1656" t="s">
        <v>2387</v>
      </c>
      <c r="E1656" t="s">
        <v>330</v>
      </c>
      <c r="F1656" t="s">
        <v>3443</v>
      </c>
      <c r="G1656" t="str">
        <f>"00222049"</f>
        <v>00222049</v>
      </c>
      <c r="H1656" t="s">
        <v>1335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3444</v>
      </c>
    </row>
    <row r="1657" spans="1:30" x14ac:dyDescent="0.25">
      <c r="H1657" t="s">
        <v>3445</v>
      </c>
    </row>
    <row r="1658" spans="1:30" x14ac:dyDescent="0.25">
      <c r="A1658">
        <v>826</v>
      </c>
      <c r="B1658">
        <v>3665</v>
      </c>
      <c r="C1658" t="s">
        <v>3446</v>
      </c>
      <c r="D1658" t="s">
        <v>898</v>
      </c>
      <c r="E1658" t="s">
        <v>3447</v>
      </c>
      <c r="F1658" t="s">
        <v>3448</v>
      </c>
      <c r="G1658" t="str">
        <f>"201412005916"</f>
        <v>201412005916</v>
      </c>
      <c r="H1658" t="s">
        <v>248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7</v>
      </c>
      <c r="W1658">
        <v>49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3449</v>
      </c>
    </row>
    <row r="1659" spans="1:30" x14ac:dyDescent="0.25">
      <c r="H1659" t="s">
        <v>3450</v>
      </c>
    </row>
    <row r="1660" spans="1:30" x14ac:dyDescent="0.25">
      <c r="A1660">
        <v>827</v>
      </c>
      <c r="B1660">
        <v>2793</v>
      </c>
      <c r="C1660" t="s">
        <v>2497</v>
      </c>
      <c r="D1660" t="s">
        <v>76</v>
      </c>
      <c r="E1660" t="s">
        <v>86</v>
      </c>
      <c r="F1660" t="s">
        <v>3451</v>
      </c>
      <c r="G1660" t="str">
        <f>"00339815"</f>
        <v>00339815</v>
      </c>
      <c r="H1660" t="s">
        <v>2441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50</v>
      </c>
      <c r="O1660">
        <v>0</v>
      </c>
      <c r="P1660">
        <v>0</v>
      </c>
      <c r="Q1660">
        <v>0</v>
      </c>
      <c r="R1660">
        <v>0</v>
      </c>
      <c r="S1660">
        <v>30</v>
      </c>
      <c r="T1660">
        <v>0</v>
      </c>
      <c r="U1660">
        <v>0</v>
      </c>
      <c r="V1660">
        <v>0</v>
      </c>
      <c r="W1660">
        <v>0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3452</v>
      </c>
    </row>
    <row r="1661" spans="1:30" x14ac:dyDescent="0.25">
      <c r="H1661" t="s">
        <v>3453</v>
      </c>
    </row>
    <row r="1662" spans="1:30" x14ac:dyDescent="0.25">
      <c r="A1662">
        <v>828</v>
      </c>
      <c r="B1662">
        <v>6246</v>
      </c>
      <c r="C1662" t="s">
        <v>3454</v>
      </c>
      <c r="D1662" t="s">
        <v>3455</v>
      </c>
      <c r="E1662" t="s">
        <v>134</v>
      </c>
      <c r="F1662" t="s">
        <v>3456</v>
      </c>
      <c r="G1662" t="str">
        <f>"00201967"</f>
        <v>00201967</v>
      </c>
      <c r="H1662">
        <v>737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Z1662">
        <v>0</v>
      </c>
      <c r="AA1662">
        <v>0</v>
      </c>
      <c r="AB1662">
        <v>0</v>
      </c>
      <c r="AC1662">
        <v>0</v>
      </c>
      <c r="AD1662">
        <v>767</v>
      </c>
    </row>
    <row r="1663" spans="1:30" x14ac:dyDescent="0.25">
      <c r="H1663" t="s">
        <v>3457</v>
      </c>
    </row>
    <row r="1664" spans="1:30" x14ac:dyDescent="0.25">
      <c r="A1664">
        <v>829</v>
      </c>
      <c r="B1664">
        <v>3276</v>
      </c>
      <c r="C1664" t="s">
        <v>3458</v>
      </c>
      <c r="D1664" t="s">
        <v>185</v>
      </c>
      <c r="E1664" t="s">
        <v>644</v>
      </c>
      <c r="F1664" t="s">
        <v>3459</v>
      </c>
      <c r="G1664" t="str">
        <f>"201406000660"</f>
        <v>201406000660</v>
      </c>
      <c r="H1664">
        <v>737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Z1664">
        <v>0</v>
      </c>
      <c r="AA1664">
        <v>0</v>
      </c>
      <c r="AB1664">
        <v>0</v>
      </c>
      <c r="AC1664">
        <v>0</v>
      </c>
      <c r="AD1664">
        <v>767</v>
      </c>
    </row>
    <row r="1665" spans="1:30" x14ac:dyDescent="0.25">
      <c r="H1665" t="s">
        <v>3460</v>
      </c>
    </row>
    <row r="1666" spans="1:30" x14ac:dyDescent="0.25">
      <c r="A1666">
        <v>830</v>
      </c>
      <c r="B1666">
        <v>1059</v>
      </c>
      <c r="C1666" t="s">
        <v>3461</v>
      </c>
      <c r="D1666" t="s">
        <v>115</v>
      </c>
      <c r="E1666" t="s">
        <v>28</v>
      </c>
      <c r="F1666" t="s">
        <v>3462</v>
      </c>
      <c r="G1666" t="str">
        <f>"201410007769"</f>
        <v>201410007769</v>
      </c>
      <c r="H1666" t="s">
        <v>1260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1</v>
      </c>
      <c r="AA1666">
        <v>0</v>
      </c>
      <c r="AB1666">
        <v>0</v>
      </c>
      <c r="AC1666">
        <v>0</v>
      </c>
      <c r="AD1666" t="s">
        <v>1260</v>
      </c>
    </row>
    <row r="1667" spans="1:30" x14ac:dyDescent="0.25">
      <c r="H1667" t="s">
        <v>3463</v>
      </c>
    </row>
    <row r="1668" spans="1:30" x14ac:dyDescent="0.25">
      <c r="A1668">
        <v>831</v>
      </c>
      <c r="B1668">
        <v>3932</v>
      </c>
      <c r="C1668" t="s">
        <v>3464</v>
      </c>
      <c r="D1668" t="s">
        <v>289</v>
      </c>
      <c r="E1668" t="s">
        <v>107</v>
      </c>
      <c r="F1668" t="s">
        <v>3465</v>
      </c>
      <c r="G1668" t="str">
        <f>"00218951"</f>
        <v>00218951</v>
      </c>
      <c r="H1668" t="s">
        <v>2441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7</v>
      </c>
      <c r="W1668">
        <v>49</v>
      </c>
      <c r="X1668">
        <v>0</v>
      </c>
      <c r="Z1668">
        <v>2</v>
      </c>
      <c r="AA1668">
        <v>0</v>
      </c>
      <c r="AB1668">
        <v>0</v>
      </c>
      <c r="AC1668">
        <v>0</v>
      </c>
      <c r="AD1668" t="s">
        <v>3466</v>
      </c>
    </row>
    <row r="1669" spans="1:30" x14ac:dyDescent="0.25">
      <c r="H1669" t="s">
        <v>3467</v>
      </c>
    </row>
    <row r="1670" spans="1:30" x14ac:dyDescent="0.25">
      <c r="A1670">
        <v>832</v>
      </c>
      <c r="B1670">
        <v>5307</v>
      </c>
      <c r="C1670" t="s">
        <v>1422</v>
      </c>
      <c r="D1670" t="s">
        <v>246</v>
      </c>
      <c r="E1670" t="s">
        <v>93</v>
      </c>
      <c r="F1670" t="s">
        <v>3468</v>
      </c>
      <c r="G1670" t="str">
        <f>"201406015246"</f>
        <v>201406015246</v>
      </c>
      <c r="H1670" t="s">
        <v>1879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3469</v>
      </c>
    </row>
    <row r="1671" spans="1:30" x14ac:dyDescent="0.25">
      <c r="H1671" t="s">
        <v>3470</v>
      </c>
    </row>
    <row r="1672" spans="1:30" x14ac:dyDescent="0.25">
      <c r="A1672">
        <v>833</v>
      </c>
      <c r="B1672">
        <v>5208</v>
      </c>
      <c r="C1672" t="s">
        <v>1328</v>
      </c>
      <c r="D1672" t="s">
        <v>3471</v>
      </c>
      <c r="E1672" t="s">
        <v>34</v>
      </c>
      <c r="F1672" t="s">
        <v>3472</v>
      </c>
      <c r="G1672" t="str">
        <f>"00198042"</f>
        <v>00198042</v>
      </c>
      <c r="H1672" t="s">
        <v>681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9</v>
      </c>
      <c r="W1672">
        <v>63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3473</v>
      </c>
    </row>
    <row r="1673" spans="1:30" x14ac:dyDescent="0.25">
      <c r="H1673" t="s">
        <v>3474</v>
      </c>
    </row>
    <row r="1674" spans="1:30" x14ac:dyDescent="0.25">
      <c r="A1674">
        <v>834</v>
      </c>
      <c r="B1674">
        <v>3662</v>
      </c>
      <c r="C1674" t="s">
        <v>3475</v>
      </c>
      <c r="D1674" t="s">
        <v>3476</v>
      </c>
      <c r="E1674" t="s">
        <v>34</v>
      </c>
      <c r="F1674" t="s">
        <v>3477</v>
      </c>
      <c r="G1674" t="str">
        <f>"00363418"</f>
        <v>00363418</v>
      </c>
      <c r="H1674" t="s">
        <v>1157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70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3478</v>
      </c>
    </row>
    <row r="1675" spans="1:30" x14ac:dyDescent="0.25">
      <c r="H1675" t="s">
        <v>3479</v>
      </c>
    </row>
    <row r="1676" spans="1:30" x14ac:dyDescent="0.25">
      <c r="A1676">
        <v>835</v>
      </c>
      <c r="B1676">
        <v>2752</v>
      </c>
      <c r="C1676" t="s">
        <v>3480</v>
      </c>
      <c r="D1676" t="s">
        <v>359</v>
      </c>
      <c r="E1676" t="s">
        <v>107</v>
      </c>
      <c r="F1676" t="s">
        <v>3481</v>
      </c>
      <c r="G1676" t="str">
        <f>"00299279"</f>
        <v>00299279</v>
      </c>
      <c r="H1676">
        <v>715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50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Z1676">
        <v>0</v>
      </c>
      <c r="AA1676">
        <v>0</v>
      </c>
      <c r="AB1676">
        <v>0</v>
      </c>
      <c r="AC1676">
        <v>0</v>
      </c>
      <c r="AD1676">
        <v>765</v>
      </c>
    </row>
    <row r="1677" spans="1:30" x14ac:dyDescent="0.25">
      <c r="H1677" t="s">
        <v>3482</v>
      </c>
    </row>
    <row r="1678" spans="1:30" x14ac:dyDescent="0.25">
      <c r="A1678">
        <v>836</v>
      </c>
      <c r="B1678">
        <v>4803</v>
      </c>
      <c r="C1678" t="s">
        <v>234</v>
      </c>
      <c r="D1678" t="s">
        <v>873</v>
      </c>
      <c r="E1678" t="s">
        <v>93</v>
      </c>
      <c r="F1678" t="s">
        <v>3483</v>
      </c>
      <c r="G1678" t="str">
        <f>"200903000090"</f>
        <v>200903000090</v>
      </c>
      <c r="H1678" t="s">
        <v>827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3484</v>
      </c>
    </row>
    <row r="1679" spans="1:30" x14ac:dyDescent="0.25">
      <c r="H1679" t="s">
        <v>3485</v>
      </c>
    </row>
    <row r="1680" spans="1:30" x14ac:dyDescent="0.25">
      <c r="A1680">
        <v>837</v>
      </c>
      <c r="B1680">
        <v>762</v>
      </c>
      <c r="C1680" t="s">
        <v>3486</v>
      </c>
      <c r="D1680" t="s">
        <v>93</v>
      </c>
      <c r="E1680" t="s">
        <v>34</v>
      </c>
      <c r="F1680" t="s">
        <v>3487</v>
      </c>
      <c r="G1680" t="str">
        <f>"00176069"</f>
        <v>00176069</v>
      </c>
      <c r="H1680" t="s">
        <v>827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3484</v>
      </c>
    </row>
    <row r="1681" spans="1:30" x14ac:dyDescent="0.25">
      <c r="H1681" t="s">
        <v>3488</v>
      </c>
    </row>
    <row r="1682" spans="1:30" x14ac:dyDescent="0.25">
      <c r="A1682">
        <v>838</v>
      </c>
      <c r="B1682">
        <v>1872</v>
      </c>
      <c r="C1682" t="s">
        <v>3489</v>
      </c>
      <c r="D1682" t="s">
        <v>363</v>
      </c>
      <c r="E1682" t="s">
        <v>635</v>
      </c>
      <c r="F1682" t="s">
        <v>3490</v>
      </c>
      <c r="G1682" t="str">
        <f>"00321861"</f>
        <v>00321861</v>
      </c>
      <c r="H1682" t="s">
        <v>388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2</v>
      </c>
      <c r="AA1682">
        <v>0</v>
      </c>
      <c r="AB1682">
        <v>0</v>
      </c>
      <c r="AC1682">
        <v>0</v>
      </c>
      <c r="AD1682" t="s">
        <v>3491</v>
      </c>
    </row>
    <row r="1683" spans="1:30" x14ac:dyDescent="0.25">
      <c r="H1683" t="s">
        <v>3492</v>
      </c>
    </row>
    <row r="1684" spans="1:30" x14ac:dyDescent="0.25">
      <c r="A1684">
        <v>839</v>
      </c>
      <c r="B1684">
        <v>4401</v>
      </c>
      <c r="C1684" t="s">
        <v>3493</v>
      </c>
      <c r="D1684" t="s">
        <v>3494</v>
      </c>
      <c r="E1684" t="s">
        <v>319</v>
      </c>
      <c r="F1684" t="s">
        <v>3495</v>
      </c>
      <c r="G1684" t="str">
        <f>"00085627"</f>
        <v>00085627</v>
      </c>
      <c r="H1684" t="s">
        <v>3425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6</v>
      </c>
      <c r="W1684">
        <v>42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3496</v>
      </c>
    </row>
    <row r="1685" spans="1:30" x14ac:dyDescent="0.25">
      <c r="H1685" t="s">
        <v>3497</v>
      </c>
    </row>
    <row r="1686" spans="1:30" x14ac:dyDescent="0.25">
      <c r="A1686">
        <v>840</v>
      </c>
      <c r="B1686">
        <v>794</v>
      </c>
      <c r="C1686" t="s">
        <v>3498</v>
      </c>
      <c r="D1686" t="s">
        <v>3499</v>
      </c>
      <c r="E1686" t="s">
        <v>268</v>
      </c>
      <c r="F1686" t="s">
        <v>3500</v>
      </c>
      <c r="G1686" t="str">
        <f>"00291754"</f>
        <v>00291754</v>
      </c>
      <c r="H1686" t="s">
        <v>3425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6</v>
      </c>
      <c r="W1686">
        <v>42</v>
      </c>
      <c r="X1686">
        <v>0</v>
      </c>
      <c r="Z1686">
        <v>1</v>
      </c>
      <c r="AA1686">
        <v>0</v>
      </c>
      <c r="AB1686">
        <v>0</v>
      </c>
      <c r="AC1686">
        <v>0</v>
      </c>
      <c r="AD1686" t="s">
        <v>3496</v>
      </c>
    </row>
    <row r="1687" spans="1:30" x14ac:dyDescent="0.25">
      <c r="H1687" t="s">
        <v>3501</v>
      </c>
    </row>
    <row r="1688" spans="1:30" x14ac:dyDescent="0.25">
      <c r="A1688">
        <v>841</v>
      </c>
      <c r="B1688">
        <v>5514</v>
      </c>
      <c r="C1688" t="s">
        <v>3502</v>
      </c>
      <c r="D1688" t="s">
        <v>34</v>
      </c>
      <c r="E1688" t="s">
        <v>107</v>
      </c>
      <c r="F1688" t="s">
        <v>3503</v>
      </c>
      <c r="G1688" t="str">
        <f>"201511019057"</f>
        <v>201511019057</v>
      </c>
      <c r="H1688" t="s">
        <v>445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50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3504</v>
      </c>
    </row>
    <row r="1689" spans="1:30" x14ac:dyDescent="0.25">
      <c r="H1689" t="s">
        <v>3505</v>
      </c>
    </row>
    <row r="1690" spans="1:30" x14ac:dyDescent="0.25">
      <c r="A1690">
        <v>842</v>
      </c>
      <c r="B1690">
        <v>1738</v>
      </c>
      <c r="C1690" t="s">
        <v>3506</v>
      </c>
      <c r="D1690" t="s">
        <v>185</v>
      </c>
      <c r="E1690" t="s">
        <v>268</v>
      </c>
      <c r="F1690" t="s">
        <v>3507</v>
      </c>
      <c r="G1690" t="str">
        <f>"00312864"</f>
        <v>00312864</v>
      </c>
      <c r="H1690" t="s">
        <v>65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3508</v>
      </c>
    </row>
    <row r="1691" spans="1:30" x14ac:dyDescent="0.25">
      <c r="H1691" t="s">
        <v>3509</v>
      </c>
    </row>
    <row r="1692" spans="1:30" x14ac:dyDescent="0.25">
      <c r="A1692">
        <v>843</v>
      </c>
      <c r="B1692">
        <v>4134</v>
      </c>
      <c r="C1692" t="s">
        <v>3510</v>
      </c>
      <c r="D1692" t="s">
        <v>1270</v>
      </c>
      <c r="E1692" t="s">
        <v>303</v>
      </c>
      <c r="F1692" t="s">
        <v>3511</v>
      </c>
      <c r="G1692" t="str">
        <f>"201502003436"</f>
        <v>201502003436</v>
      </c>
      <c r="H1692" t="s">
        <v>65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3508</v>
      </c>
    </row>
    <row r="1693" spans="1:30" x14ac:dyDescent="0.25">
      <c r="H1693" t="s">
        <v>3512</v>
      </c>
    </row>
    <row r="1694" spans="1:30" x14ac:dyDescent="0.25">
      <c r="A1694">
        <v>844</v>
      </c>
      <c r="B1694">
        <v>5614</v>
      </c>
      <c r="C1694" t="s">
        <v>1406</v>
      </c>
      <c r="D1694" t="s">
        <v>28</v>
      </c>
      <c r="E1694" t="s">
        <v>1127</v>
      </c>
      <c r="F1694" t="s">
        <v>3513</v>
      </c>
      <c r="G1694" t="str">
        <f>"00347326"</f>
        <v>00347326</v>
      </c>
      <c r="H1694" t="s">
        <v>1879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5</v>
      </c>
      <c r="W1694">
        <v>35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3514</v>
      </c>
    </row>
    <row r="1695" spans="1:30" x14ac:dyDescent="0.25">
      <c r="H1695" t="s">
        <v>3515</v>
      </c>
    </row>
    <row r="1696" spans="1:30" x14ac:dyDescent="0.25">
      <c r="A1696">
        <v>845</v>
      </c>
      <c r="B1696">
        <v>4336</v>
      </c>
      <c r="C1696" t="s">
        <v>3516</v>
      </c>
      <c r="D1696" t="s">
        <v>76</v>
      </c>
      <c r="E1696" t="s">
        <v>93</v>
      </c>
      <c r="F1696" t="s">
        <v>3517</v>
      </c>
      <c r="G1696" t="str">
        <f>"00253414"</f>
        <v>00253414</v>
      </c>
      <c r="H1696" t="s">
        <v>1921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3518</v>
      </c>
    </row>
    <row r="1697" spans="1:30" x14ac:dyDescent="0.25">
      <c r="H1697" t="s">
        <v>3519</v>
      </c>
    </row>
    <row r="1698" spans="1:30" x14ac:dyDescent="0.25">
      <c r="A1698">
        <v>846</v>
      </c>
      <c r="B1698">
        <v>6093</v>
      </c>
      <c r="C1698" t="s">
        <v>3520</v>
      </c>
      <c r="D1698" t="s">
        <v>168</v>
      </c>
      <c r="E1698" t="s">
        <v>28</v>
      </c>
      <c r="F1698" t="s">
        <v>3521</v>
      </c>
      <c r="G1698" t="str">
        <f>"201511041980"</f>
        <v>201511041980</v>
      </c>
      <c r="H1698" t="s">
        <v>489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2</v>
      </c>
      <c r="W1698">
        <v>14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2342</v>
      </c>
    </row>
    <row r="1699" spans="1:30" x14ac:dyDescent="0.25">
      <c r="H1699" t="s">
        <v>3522</v>
      </c>
    </row>
    <row r="1700" spans="1:30" x14ac:dyDescent="0.25">
      <c r="A1700">
        <v>847</v>
      </c>
      <c r="B1700">
        <v>1218</v>
      </c>
      <c r="C1700" t="s">
        <v>3523</v>
      </c>
      <c r="D1700" t="s">
        <v>3524</v>
      </c>
      <c r="E1700" t="s">
        <v>86</v>
      </c>
      <c r="F1700" t="s">
        <v>3525</v>
      </c>
      <c r="G1700" t="str">
        <f>"00155244"</f>
        <v>00155244</v>
      </c>
      <c r="H1700" t="s">
        <v>175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3526</v>
      </c>
    </row>
    <row r="1701" spans="1:30" x14ac:dyDescent="0.25">
      <c r="H1701" t="s">
        <v>3527</v>
      </c>
    </row>
    <row r="1702" spans="1:30" x14ac:dyDescent="0.25">
      <c r="A1702">
        <v>848</v>
      </c>
      <c r="B1702">
        <v>1799</v>
      </c>
      <c r="C1702" t="s">
        <v>3528</v>
      </c>
      <c r="D1702" t="s">
        <v>246</v>
      </c>
      <c r="E1702" t="s">
        <v>44</v>
      </c>
      <c r="F1702" t="s">
        <v>3529</v>
      </c>
      <c r="G1702" t="str">
        <f>"00316279"</f>
        <v>00316279</v>
      </c>
      <c r="H1702" t="s">
        <v>314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6</v>
      </c>
      <c r="W1702">
        <v>42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3530</v>
      </c>
    </row>
    <row r="1703" spans="1:30" x14ac:dyDescent="0.25">
      <c r="H1703">
        <v>1201</v>
      </c>
    </row>
    <row r="1704" spans="1:30" x14ac:dyDescent="0.25">
      <c r="A1704">
        <v>849</v>
      </c>
      <c r="B1704">
        <v>5002</v>
      </c>
      <c r="C1704" t="s">
        <v>3531</v>
      </c>
      <c r="D1704" t="s">
        <v>86</v>
      </c>
      <c r="E1704" t="s">
        <v>107</v>
      </c>
      <c r="F1704" t="s">
        <v>3532</v>
      </c>
      <c r="G1704" t="str">
        <f>"00289879"</f>
        <v>00289879</v>
      </c>
      <c r="H1704" t="s">
        <v>3365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0</v>
      </c>
      <c r="X1704">
        <v>0</v>
      </c>
      <c r="Z1704">
        <v>0</v>
      </c>
      <c r="AA1704">
        <v>0</v>
      </c>
      <c r="AB1704">
        <v>5</v>
      </c>
      <c r="AC1704">
        <v>85</v>
      </c>
      <c r="AD1704" t="s">
        <v>3533</v>
      </c>
    </row>
    <row r="1705" spans="1:30" x14ac:dyDescent="0.25">
      <c r="H1705" t="s">
        <v>3534</v>
      </c>
    </row>
    <row r="1706" spans="1:30" x14ac:dyDescent="0.25">
      <c r="A1706">
        <v>850</v>
      </c>
      <c r="B1706">
        <v>5273</v>
      </c>
      <c r="C1706" t="s">
        <v>3535</v>
      </c>
      <c r="D1706" t="s">
        <v>34</v>
      </c>
      <c r="E1706" t="s">
        <v>511</v>
      </c>
      <c r="F1706" t="s">
        <v>3536</v>
      </c>
      <c r="G1706" t="str">
        <f>"201406003251"</f>
        <v>201406003251</v>
      </c>
      <c r="H1706" t="s">
        <v>405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3537</v>
      </c>
    </row>
    <row r="1707" spans="1:30" x14ac:dyDescent="0.25">
      <c r="H1707" t="s">
        <v>3538</v>
      </c>
    </row>
    <row r="1708" spans="1:30" x14ac:dyDescent="0.25">
      <c r="A1708">
        <v>851</v>
      </c>
      <c r="B1708">
        <v>4916</v>
      </c>
      <c r="C1708" t="s">
        <v>357</v>
      </c>
      <c r="D1708" t="s">
        <v>377</v>
      </c>
      <c r="E1708" t="s">
        <v>107</v>
      </c>
      <c r="F1708" t="s">
        <v>3539</v>
      </c>
      <c r="G1708" t="str">
        <f>"00244227"</f>
        <v>00244227</v>
      </c>
      <c r="H1708" t="s">
        <v>405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3537</v>
      </c>
    </row>
    <row r="1709" spans="1:30" x14ac:dyDescent="0.25">
      <c r="H1709" t="s">
        <v>3540</v>
      </c>
    </row>
    <row r="1710" spans="1:30" x14ac:dyDescent="0.25">
      <c r="A1710">
        <v>852</v>
      </c>
      <c r="B1710">
        <v>1958</v>
      </c>
      <c r="C1710" t="s">
        <v>3541</v>
      </c>
      <c r="D1710" t="s">
        <v>625</v>
      </c>
      <c r="E1710" t="s">
        <v>34</v>
      </c>
      <c r="F1710" t="s">
        <v>3542</v>
      </c>
      <c r="G1710" t="str">
        <f>"00310220"</f>
        <v>00310220</v>
      </c>
      <c r="H1710" t="s">
        <v>2320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50</v>
      </c>
      <c r="O1710">
        <v>0</v>
      </c>
      <c r="P1710">
        <v>50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Z1710">
        <v>2</v>
      </c>
      <c r="AA1710">
        <v>0</v>
      </c>
      <c r="AB1710">
        <v>0</v>
      </c>
      <c r="AC1710">
        <v>0</v>
      </c>
      <c r="AD1710" t="s">
        <v>3543</v>
      </c>
    </row>
    <row r="1711" spans="1:30" x14ac:dyDescent="0.25">
      <c r="H1711" t="s">
        <v>3544</v>
      </c>
    </row>
    <row r="1712" spans="1:30" x14ac:dyDescent="0.25">
      <c r="A1712">
        <v>853</v>
      </c>
      <c r="B1712">
        <v>2289</v>
      </c>
      <c r="C1712" t="s">
        <v>3545</v>
      </c>
      <c r="D1712" t="s">
        <v>3546</v>
      </c>
      <c r="E1712" t="s">
        <v>3547</v>
      </c>
      <c r="F1712" t="s">
        <v>3548</v>
      </c>
      <c r="G1712" t="str">
        <f>"00315803"</f>
        <v>00315803</v>
      </c>
      <c r="H1712" t="s">
        <v>117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3549</v>
      </c>
    </row>
    <row r="1713" spans="1:30" x14ac:dyDescent="0.25">
      <c r="H1713" t="s">
        <v>3550</v>
      </c>
    </row>
    <row r="1714" spans="1:30" x14ac:dyDescent="0.25">
      <c r="A1714">
        <v>854</v>
      </c>
      <c r="B1714">
        <v>1651</v>
      </c>
      <c r="C1714" t="s">
        <v>3551</v>
      </c>
      <c r="D1714" t="s">
        <v>526</v>
      </c>
      <c r="E1714" t="s">
        <v>44</v>
      </c>
      <c r="F1714" t="s">
        <v>3552</v>
      </c>
      <c r="G1714" t="str">
        <f>"201604003833"</f>
        <v>201604003833</v>
      </c>
      <c r="H1714" t="s">
        <v>3425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4</v>
      </c>
      <c r="W1714">
        <v>28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3553</v>
      </c>
    </row>
    <row r="1715" spans="1:30" x14ac:dyDescent="0.25">
      <c r="H1715" t="s">
        <v>3554</v>
      </c>
    </row>
    <row r="1716" spans="1:30" x14ac:dyDescent="0.25">
      <c r="A1716">
        <v>855</v>
      </c>
      <c r="B1716">
        <v>2757</v>
      </c>
      <c r="C1716" t="s">
        <v>3555</v>
      </c>
      <c r="D1716" t="s">
        <v>3556</v>
      </c>
      <c r="E1716" t="s">
        <v>2956</v>
      </c>
      <c r="F1716" t="s">
        <v>3557</v>
      </c>
      <c r="G1716" t="str">
        <f>"00256616"</f>
        <v>00256616</v>
      </c>
      <c r="H1716" t="s">
        <v>1685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3558</v>
      </c>
    </row>
    <row r="1717" spans="1:30" x14ac:dyDescent="0.25">
      <c r="H1717" t="s">
        <v>3559</v>
      </c>
    </row>
    <row r="1718" spans="1:30" x14ac:dyDescent="0.25">
      <c r="A1718">
        <v>856</v>
      </c>
      <c r="B1718">
        <v>4334</v>
      </c>
      <c r="C1718" t="s">
        <v>3560</v>
      </c>
      <c r="D1718" t="s">
        <v>3561</v>
      </c>
      <c r="E1718" t="s">
        <v>24</v>
      </c>
      <c r="F1718" t="s">
        <v>3562</v>
      </c>
      <c r="G1718" t="str">
        <f>"00312403"</f>
        <v>00312403</v>
      </c>
      <c r="H1718" t="s">
        <v>1685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3558</v>
      </c>
    </row>
    <row r="1719" spans="1:30" x14ac:dyDescent="0.25">
      <c r="H1719" t="s">
        <v>3563</v>
      </c>
    </row>
    <row r="1720" spans="1:30" x14ac:dyDescent="0.25">
      <c r="A1720">
        <v>857</v>
      </c>
      <c r="B1720">
        <v>4891</v>
      </c>
      <c r="C1720" t="s">
        <v>3564</v>
      </c>
      <c r="D1720" t="s">
        <v>146</v>
      </c>
      <c r="E1720" t="s">
        <v>44</v>
      </c>
      <c r="F1720" t="s">
        <v>3565</v>
      </c>
      <c r="G1720" t="str">
        <f>"00356910"</f>
        <v>00356910</v>
      </c>
      <c r="H1720" t="s">
        <v>681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6</v>
      </c>
      <c r="W1720">
        <v>42</v>
      </c>
      <c r="X1720">
        <v>0</v>
      </c>
      <c r="Z1720">
        <v>2</v>
      </c>
      <c r="AA1720">
        <v>0</v>
      </c>
      <c r="AB1720">
        <v>0</v>
      </c>
      <c r="AC1720">
        <v>0</v>
      </c>
      <c r="AD1720" t="s">
        <v>3566</v>
      </c>
    </row>
    <row r="1721" spans="1:30" x14ac:dyDescent="0.25">
      <c r="H1721" t="s">
        <v>3567</v>
      </c>
    </row>
    <row r="1722" spans="1:30" x14ac:dyDescent="0.25">
      <c r="A1722">
        <v>858</v>
      </c>
      <c r="B1722">
        <v>4263</v>
      </c>
      <c r="C1722" t="s">
        <v>3568</v>
      </c>
      <c r="D1722" t="s">
        <v>3569</v>
      </c>
      <c r="E1722" t="s">
        <v>93</v>
      </c>
      <c r="F1722" t="s">
        <v>3570</v>
      </c>
      <c r="G1722" t="str">
        <f>"00270419"</f>
        <v>00270419</v>
      </c>
      <c r="H1722">
        <v>715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Z1722">
        <v>0</v>
      </c>
      <c r="AA1722">
        <v>0</v>
      </c>
      <c r="AB1722">
        <v>0</v>
      </c>
      <c r="AC1722">
        <v>0</v>
      </c>
      <c r="AD1722">
        <v>745</v>
      </c>
    </row>
    <row r="1723" spans="1:30" x14ac:dyDescent="0.25">
      <c r="H1723" t="s">
        <v>3571</v>
      </c>
    </row>
    <row r="1724" spans="1:30" x14ac:dyDescent="0.25">
      <c r="A1724">
        <v>859</v>
      </c>
      <c r="B1724">
        <v>5233</v>
      </c>
      <c r="C1724" t="s">
        <v>3572</v>
      </c>
      <c r="D1724" t="s">
        <v>24</v>
      </c>
      <c r="E1724" t="s">
        <v>146</v>
      </c>
      <c r="F1724" t="s">
        <v>3573</v>
      </c>
      <c r="G1724" t="str">
        <f>"00197371"</f>
        <v>00197371</v>
      </c>
      <c r="H1724" t="s">
        <v>1409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3574</v>
      </c>
    </row>
    <row r="1725" spans="1:30" x14ac:dyDescent="0.25">
      <c r="H1725" t="s">
        <v>3575</v>
      </c>
    </row>
    <row r="1726" spans="1:30" x14ac:dyDescent="0.25">
      <c r="A1726">
        <v>860</v>
      </c>
      <c r="B1726">
        <v>3875</v>
      </c>
      <c r="C1726" t="s">
        <v>3576</v>
      </c>
      <c r="D1726" t="s">
        <v>23</v>
      </c>
      <c r="E1726" t="s">
        <v>121</v>
      </c>
      <c r="F1726" t="s">
        <v>3577</v>
      </c>
      <c r="G1726" t="str">
        <f>"00224446"</f>
        <v>00224446</v>
      </c>
      <c r="H1726" t="s">
        <v>445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Z1726">
        <v>1</v>
      </c>
      <c r="AA1726">
        <v>0</v>
      </c>
      <c r="AB1726">
        <v>0</v>
      </c>
      <c r="AC1726">
        <v>0</v>
      </c>
      <c r="AD1726" t="s">
        <v>3578</v>
      </c>
    </row>
    <row r="1727" spans="1:30" x14ac:dyDescent="0.25">
      <c r="H1727" t="s">
        <v>2611</v>
      </c>
    </row>
    <row r="1728" spans="1:30" x14ac:dyDescent="0.25">
      <c r="A1728">
        <v>861</v>
      </c>
      <c r="B1728">
        <v>2930</v>
      </c>
      <c r="C1728" t="s">
        <v>3579</v>
      </c>
      <c r="D1728" t="s">
        <v>3580</v>
      </c>
      <c r="E1728" t="s">
        <v>24</v>
      </c>
      <c r="F1728" t="s">
        <v>3581</v>
      </c>
      <c r="G1728" t="str">
        <f>"201406002723"</f>
        <v>201406002723</v>
      </c>
      <c r="H1728" t="s">
        <v>3425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50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3582</v>
      </c>
    </row>
    <row r="1729" spans="1:30" x14ac:dyDescent="0.25">
      <c r="H1729" t="s">
        <v>3583</v>
      </c>
    </row>
    <row r="1730" spans="1:30" x14ac:dyDescent="0.25">
      <c r="A1730">
        <v>862</v>
      </c>
      <c r="B1730">
        <v>1730</v>
      </c>
      <c r="C1730" t="s">
        <v>3584</v>
      </c>
      <c r="D1730" t="s">
        <v>92</v>
      </c>
      <c r="E1730" t="s">
        <v>107</v>
      </c>
      <c r="F1730" t="s">
        <v>3585</v>
      </c>
      <c r="G1730" t="str">
        <f>"00150320"</f>
        <v>00150320</v>
      </c>
      <c r="H1730" t="s">
        <v>248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50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3586</v>
      </c>
    </row>
    <row r="1731" spans="1:30" x14ac:dyDescent="0.25">
      <c r="H1731" t="s">
        <v>3587</v>
      </c>
    </row>
    <row r="1732" spans="1:30" x14ac:dyDescent="0.25">
      <c r="A1732">
        <v>863</v>
      </c>
      <c r="B1732">
        <v>2528</v>
      </c>
      <c r="C1732" t="s">
        <v>3588</v>
      </c>
      <c r="D1732" t="s">
        <v>1182</v>
      </c>
      <c r="E1732" t="s">
        <v>55</v>
      </c>
      <c r="F1732" t="s">
        <v>3589</v>
      </c>
      <c r="G1732" t="str">
        <f>"00324121"</f>
        <v>00324121</v>
      </c>
      <c r="H1732" t="s">
        <v>676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50</v>
      </c>
      <c r="O1732">
        <v>0</v>
      </c>
      <c r="P1732">
        <v>0</v>
      </c>
      <c r="Q1732">
        <v>30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3590</v>
      </c>
    </row>
    <row r="1733" spans="1:30" x14ac:dyDescent="0.25">
      <c r="H1733" t="s">
        <v>3591</v>
      </c>
    </row>
    <row r="1734" spans="1:30" x14ac:dyDescent="0.25">
      <c r="A1734">
        <v>864</v>
      </c>
      <c r="B1734">
        <v>1061</v>
      </c>
      <c r="C1734" t="s">
        <v>3592</v>
      </c>
      <c r="D1734" t="s">
        <v>274</v>
      </c>
      <c r="E1734" t="s">
        <v>122</v>
      </c>
      <c r="F1734" t="s">
        <v>3593</v>
      </c>
      <c r="G1734" t="str">
        <f>"201410000433"</f>
        <v>201410000433</v>
      </c>
      <c r="H1734" t="s">
        <v>1651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8</v>
      </c>
      <c r="W1734">
        <v>56</v>
      </c>
      <c r="X1734">
        <v>0</v>
      </c>
      <c r="Z1734">
        <v>2</v>
      </c>
      <c r="AA1734">
        <v>0</v>
      </c>
      <c r="AB1734">
        <v>0</v>
      </c>
      <c r="AC1734">
        <v>0</v>
      </c>
      <c r="AD1734" t="s">
        <v>3594</v>
      </c>
    </row>
    <row r="1735" spans="1:30" x14ac:dyDescent="0.25">
      <c r="H1735" t="s">
        <v>3595</v>
      </c>
    </row>
    <row r="1736" spans="1:30" x14ac:dyDescent="0.25">
      <c r="A1736">
        <v>865</v>
      </c>
      <c r="B1736">
        <v>432</v>
      </c>
      <c r="C1736" t="s">
        <v>3596</v>
      </c>
      <c r="D1736" t="s">
        <v>2956</v>
      </c>
      <c r="E1736" t="s">
        <v>2771</v>
      </c>
      <c r="F1736" t="s">
        <v>3597</v>
      </c>
      <c r="G1736" t="str">
        <f>"00296321"</f>
        <v>00296321</v>
      </c>
      <c r="H1736" t="s">
        <v>1610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3598</v>
      </c>
    </row>
    <row r="1737" spans="1:30" x14ac:dyDescent="0.25">
      <c r="H1737" t="s">
        <v>3599</v>
      </c>
    </row>
    <row r="1738" spans="1:30" x14ac:dyDescent="0.25">
      <c r="A1738">
        <v>866</v>
      </c>
      <c r="B1738">
        <v>4090</v>
      </c>
      <c r="C1738" t="s">
        <v>3600</v>
      </c>
      <c r="D1738" t="s">
        <v>3601</v>
      </c>
      <c r="E1738" t="s">
        <v>100</v>
      </c>
      <c r="F1738" t="s">
        <v>3602</v>
      </c>
      <c r="G1738" t="str">
        <f>"00228809"</f>
        <v>00228809</v>
      </c>
      <c r="H1738" t="s">
        <v>1745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3603</v>
      </c>
    </row>
    <row r="1739" spans="1:30" x14ac:dyDescent="0.25">
      <c r="H1739" t="s">
        <v>3604</v>
      </c>
    </row>
    <row r="1740" spans="1:30" x14ac:dyDescent="0.25">
      <c r="A1740">
        <v>867</v>
      </c>
      <c r="B1740">
        <v>1277</v>
      </c>
      <c r="C1740" t="s">
        <v>234</v>
      </c>
      <c r="D1740" t="s">
        <v>2175</v>
      </c>
      <c r="E1740" t="s">
        <v>107</v>
      </c>
      <c r="F1740">
        <v>21199578</v>
      </c>
      <c r="G1740" t="str">
        <f>"00307698"</f>
        <v>00307698</v>
      </c>
      <c r="H1740" t="s">
        <v>1745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Z1740">
        <v>1</v>
      </c>
      <c r="AA1740">
        <v>0</v>
      </c>
      <c r="AB1740">
        <v>0</v>
      </c>
      <c r="AC1740">
        <v>0</v>
      </c>
      <c r="AD1740" t="s">
        <v>3603</v>
      </c>
    </row>
    <row r="1741" spans="1:30" x14ac:dyDescent="0.25">
      <c r="H1741" t="s">
        <v>3605</v>
      </c>
    </row>
    <row r="1742" spans="1:30" x14ac:dyDescent="0.25">
      <c r="A1742">
        <v>868</v>
      </c>
      <c r="B1742">
        <v>860</v>
      </c>
      <c r="C1742" t="s">
        <v>3606</v>
      </c>
      <c r="D1742" t="s">
        <v>1452</v>
      </c>
      <c r="E1742" t="s">
        <v>28</v>
      </c>
      <c r="F1742" t="s">
        <v>3607</v>
      </c>
      <c r="G1742" t="str">
        <f>"201405000865"</f>
        <v>201405000865</v>
      </c>
      <c r="H1742" t="s">
        <v>2763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9</v>
      </c>
      <c r="W1742">
        <v>63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3608</v>
      </c>
    </row>
    <row r="1743" spans="1:30" x14ac:dyDescent="0.25">
      <c r="H1743" t="s">
        <v>3609</v>
      </c>
    </row>
    <row r="1744" spans="1:30" x14ac:dyDescent="0.25">
      <c r="A1744">
        <v>869</v>
      </c>
      <c r="B1744">
        <v>1752</v>
      </c>
      <c r="C1744" t="s">
        <v>3610</v>
      </c>
      <c r="D1744" t="s">
        <v>246</v>
      </c>
      <c r="E1744" t="s">
        <v>86</v>
      </c>
      <c r="F1744" t="s">
        <v>3611</v>
      </c>
      <c r="G1744" t="str">
        <f>"00140063"</f>
        <v>00140063</v>
      </c>
      <c r="H1744" t="s">
        <v>1619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50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1</v>
      </c>
      <c r="AA1744">
        <v>0</v>
      </c>
      <c r="AB1744">
        <v>0</v>
      </c>
      <c r="AC1744">
        <v>0</v>
      </c>
      <c r="AD1744" t="s">
        <v>3612</v>
      </c>
    </row>
    <row r="1745" spans="1:30" x14ac:dyDescent="0.25">
      <c r="H1745" t="s">
        <v>3613</v>
      </c>
    </row>
    <row r="1746" spans="1:30" x14ac:dyDescent="0.25">
      <c r="A1746">
        <v>870</v>
      </c>
      <c r="B1746">
        <v>4296</v>
      </c>
      <c r="C1746" t="s">
        <v>3614</v>
      </c>
      <c r="D1746" t="s">
        <v>122</v>
      </c>
      <c r="E1746" t="s">
        <v>34</v>
      </c>
      <c r="F1746" t="s">
        <v>3615</v>
      </c>
      <c r="G1746" t="str">
        <f>"201412003074"</f>
        <v>201412003074</v>
      </c>
      <c r="H1746" t="s">
        <v>3616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50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8</v>
      </c>
      <c r="W1746">
        <v>56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3617</v>
      </c>
    </row>
    <row r="1747" spans="1:30" x14ac:dyDescent="0.25">
      <c r="H1747" t="s">
        <v>3618</v>
      </c>
    </row>
    <row r="1748" spans="1:30" x14ac:dyDescent="0.25">
      <c r="A1748">
        <v>871</v>
      </c>
      <c r="B1748">
        <v>788</v>
      </c>
      <c r="C1748" t="s">
        <v>3619</v>
      </c>
      <c r="D1748" t="s">
        <v>3620</v>
      </c>
      <c r="E1748" t="s">
        <v>2771</v>
      </c>
      <c r="F1748" t="s">
        <v>3621</v>
      </c>
      <c r="G1748" t="str">
        <f>"00222587"</f>
        <v>00222587</v>
      </c>
      <c r="H1748">
        <v>704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Z1748">
        <v>0</v>
      </c>
      <c r="AA1748">
        <v>0</v>
      </c>
      <c r="AB1748">
        <v>0</v>
      </c>
      <c r="AC1748">
        <v>0</v>
      </c>
      <c r="AD1748">
        <v>734</v>
      </c>
    </row>
    <row r="1749" spans="1:30" x14ac:dyDescent="0.25">
      <c r="H1749" t="s">
        <v>3622</v>
      </c>
    </row>
    <row r="1750" spans="1:30" x14ac:dyDescent="0.25">
      <c r="A1750">
        <v>872</v>
      </c>
      <c r="B1750">
        <v>125</v>
      </c>
      <c r="C1750" t="s">
        <v>3623</v>
      </c>
      <c r="D1750" t="s">
        <v>3624</v>
      </c>
      <c r="E1750" t="s">
        <v>220</v>
      </c>
      <c r="F1750" t="s">
        <v>3625</v>
      </c>
      <c r="G1750" t="str">
        <f>"201405001763"</f>
        <v>201405001763</v>
      </c>
      <c r="H1750">
        <v>704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Z1750">
        <v>0</v>
      </c>
      <c r="AA1750">
        <v>0</v>
      </c>
      <c r="AB1750">
        <v>0</v>
      </c>
      <c r="AC1750">
        <v>0</v>
      </c>
      <c r="AD1750">
        <v>734</v>
      </c>
    </row>
    <row r="1751" spans="1:30" x14ac:dyDescent="0.25">
      <c r="H1751" t="s">
        <v>3626</v>
      </c>
    </row>
    <row r="1752" spans="1:30" x14ac:dyDescent="0.25">
      <c r="A1752">
        <v>873</v>
      </c>
      <c r="B1752">
        <v>1989</v>
      </c>
      <c r="C1752" t="s">
        <v>3627</v>
      </c>
      <c r="D1752" t="s">
        <v>274</v>
      </c>
      <c r="E1752" t="s">
        <v>146</v>
      </c>
      <c r="F1752" t="s">
        <v>3628</v>
      </c>
      <c r="G1752" t="str">
        <f>"00291084"</f>
        <v>00291084</v>
      </c>
      <c r="H1752" t="s">
        <v>2494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30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0</v>
      </c>
      <c r="Z1752">
        <v>1</v>
      </c>
      <c r="AA1752">
        <v>0</v>
      </c>
      <c r="AB1752">
        <v>0</v>
      </c>
      <c r="AC1752">
        <v>0</v>
      </c>
      <c r="AD1752" t="s">
        <v>3629</v>
      </c>
    </row>
    <row r="1753" spans="1:30" x14ac:dyDescent="0.25">
      <c r="H1753" t="s">
        <v>3630</v>
      </c>
    </row>
    <row r="1754" spans="1:30" x14ac:dyDescent="0.25">
      <c r="A1754">
        <v>874</v>
      </c>
      <c r="B1754">
        <v>4351</v>
      </c>
      <c r="C1754" t="s">
        <v>3631</v>
      </c>
      <c r="D1754" t="s">
        <v>1701</v>
      </c>
      <c r="E1754" t="s">
        <v>3632</v>
      </c>
      <c r="F1754" t="s">
        <v>3633</v>
      </c>
      <c r="G1754" t="str">
        <f>"00257082"</f>
        <v>00257082</v>
      </c>
      <c r="H1754" t="s">
        <v>576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3634</v>
      </c>
    </row>
    <row r="1755" spans="1:30" x14ac:dyDescent="0.25">
      <c r="H1755" t="s">
        <v>3635</v>
      </c>
    </row>
    <row r="1756" spans="1:30" x14ac:dyDescent="0.25">
      <c r="A1756">
        <v>875</v>
      </c>
      <c r="B1756">
        <v>1561</v>
      </c>
      <c r="C1756" t="s">
        <v>3636</v>
      </c>
      <c r="D1756" t="s">
        <v>3637</v>
      </c>
      <c r="E1756" t="s">
        <v>34</v>
      </c>
      <c r="F1756" t="s">
        <v>3638</v>
      </c>
      <c r="G1756" t="str">
        <f>"00213324"</f>
        <v>00213324</v>
      </c>
      <c r="H1756" t="s">
        <v>576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3634</v>
      </c>
    </row>
    <row r="1757" spans="1:30" x14ac:dyDescent="0.25">
      <c r="H1757" t="s">
        <v>3639</v>
      </c>
    </row>
    <row r="1758" spans="1:30" x14ac:dyDescent="0.25">
      <c r="A1758">
        <v>876</v>
      </c>
      <c r="B1758">
        <v>1589</v>
      </c>
      <c r="C1758" t="s">
        <v>3640</v>
      </c>
      <c r="D1758" t="s">
        <v>146</v>
      </c>
      <c r="E1758" t="s">
        <v>121</v>
      </c>
      <c r="F1758" t="s">
        <v>3641</v>
      </c>
      <c r="G1758" t="str">
        <f>"00264730"</f>
        <v>00264730</v>
      </c>
      <c r="H1758" t="s">
        <v>2408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3642</v>
      </c>
    </row>
    <row r="1759" spans="1:30" x14ac:dyDescent="0.25">
      <c r="H1759">
        <v>1201</v>
      </c>
    </row>
    <row r="1760" spans="1:30" x14ac:dyDescent="0.25">
      <c r="A1760">
        <v>877</v>
      </c>
      <c r="B1760">
        <v>1846</v>
      </c>
      <c r="C1760" t="s">
        <v>3643</v>
      </c>
      <c r="D1760" t="s">
        <v>76</v>
      </c>
      <c r="E1760" t="s">
        <v>2622</v>
      </c>
      <c r="F1760" t="s">
        <v>3644</v>
      </c>
      <c r="G1760" t="str">
        <f>"201406017438"</f>
        <v>201406017438</v>
      </c>
      <c r="H1760" t="s">
        <v>2478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70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3645</v>
      </c>
    </row>
    <row r="1761" spans="1:30" x14ac:dyDescent="0.25">
      <c r="H1761" t="s">
        <v>3646</v>
      </c>
    </row>
    <row r="1762" spans="1:30" x14ac:dyDescent="0.25">
      <c r="A1762">
        <v>878</v>
      </c>
      <c r="B1762">
        <v>1343</v>
      </c>
      <c r="C1762" t="s">
        <v>462</v>
      </c>
      <c r="D1762" t="s">
        <v>107</v>
      </c>
      <c r="E1762" t="s">
        <v>24</v>
      </c>
      <c r="F1762" t="s">
        <v>3647</v>
      </c>
      <c r="G1762" t="str">
        <f>"00299883"</f>
        <v>00299883</v>
      </c>
      <c r="H1762" t="s">
        <v>711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6</v>
      </c>
      <c r="W1762">
        <v>42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3648</v>
      </c>
    </row>
    <row r="1763" spans="1:30" x14ac:dyDescent="0.25">
      <c r="H1763" t="s">
        <v>863</v>
      </c>
    </row>
    <row r="1764" spans="1:30" x14ac:dyDescent="0.25">
      <c r="A1764">
        <v>879</v>
      </c>
      <c r="B1764">
        <v>2984</v>
      </c>
      <c r="C1764" t="s">
        <v>3649</v>
      </c>
      <c r="D1764" t="s">
        <v>23</v>
      </c>
      <c r="E1764" t="s">
        <v>55</v>
      </c>
      <c r="F1764" t="s">
        <v>3650</v>
      </c>
      <c r="G1764" t="str">
        <f>"00363127"</f>
        <v>00363127</v>
      </c>
      <c r="H1764" t="s">
        <v>231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3651</v>
      </c>
    </row>
    <row r="1765" spans="1:30" x14ac:dyDescent="0.25">
      <c r="H1765" t="s">
        <v>3652</v>
      </c>
    </row>
    <row r="1766" spans="1:30" x14ac:dyDescent="0.25">
      <c r="A1766">
        <v>880</v>
      </c>
      <c r="B1766">
        <v>1801</v>
      </c>
      <c r="C1766" t="s">
        <v>3653</v>
      </c>
      <c r="D1766" t="s">
        <v>70</v>
      </c>
      <c r="E1766" t="s">
        <v>1934</v>
      </c>
      <c r="F1766" t="s">
        <v>3654</v>
      </c>
      <c r="G1766" t="str">
        <f>"00037273"</f>
        <v>00037273</v>
      </c>
      <c r="H1766" t="s">
        <v>787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50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Z1766">
        <v>1</v>
      </c>
      <c r="AA1766">
        <v>0</v>
      </c>
      <c r="AB1766">
        <v>0</v>
      </c>
      <c r="AC1766">
        <v>0</v>
      </c>
      <c r="AD1766" t="s">
        <v>3655</v>
      </c>
    </row>
    <row r="1767" spans="1:30" x14ac:dyDescent="0.25">
      <c r="H1767" t="s">
        <v>3656</v>
      </c>
    </row>
    <row r="1768" spans="1:30" x14ac:dyDescent="0.25">
      <c r="A1768">
        <v>881</v>
      </c>
      <c r="B1768">
        <v>621</v>
      </c>
      <c r="C1768" t="s">
        <v>3657</v>
      </c>
      <c r="D1768" t="s">
        <v>644</v>
      </c>
      <c r="E1768" t="s">
        <v>44</v>
      </c>
      <c r="F1768" t="s">
        <v>3658</v>
      </c>
      <c r="G1768" t="str">
        <f>"201402001676"</f>
        <v>201402001676</v>
      </c>
      <c r="H1768" t="s">
        <v>2782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3</v>
      </c>
      <c r="W1768">
        <v>21</v>
      </c>
      <c r="X1768">
        <v>0</v>
      </c>
      <c r="Z1768">
        <v>1</v>
      </c>
      <c r="AA1768">
        <v>0</v>
      </c>
      <c r="AB1768">
        <v>0</v>
      </c>
      <c r="AC1768">
        <v>0</v>
      </c>
      <c r="AD1768" t="s">
        <v>3659</v>
      </c>
    </row>
    <row r="1769" spans="1:30" x14ac:dyDescent="0.25">
      <c r="H1769" t="s">
        <v>3660</v>
      </c>
    </row>
    <row r="1770" spans="1:30" x14ac:dyDescent="0.25">
      <c r="A1770">
        <v>882</v>
      </c>
      <c r="B1770">
        <v>4101</v>
      </c>
      <c r="C1770" t="s">
        <v>3661</v>
      </c>
      <c r="D1770" t="s">
        <v>3662</v>
      </c>
      <c r="E1770" t="s">
        <v>24</v>
      </c>
      <c r="F1770" t="s">
        <v>3663</v>
      </c>
      <c r="G1770" t="str">
        <f>"00195441"</f>
        <v>00195441</v>
      </c>
      <c r="H1770" t="s">
        <v>2167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3664</v>
      </c>
    </row>
    <row r="1771" spans="1:30" x14ac:dyDescent="0.25">
      <c r="H1771" t="s">
        <v>3665</v>
      </c>
    </row>
    <row r="1772" spans="1:30" x14ac:dyDescent="0.25">
      <c r="A1772">
        <v>883</v>
      </c>
      <c r="B1772">
        <v>2497</v>
      </c>
      <c r="C1772" t="s">
        <v>3666</v>
      </c>
      <c r="D1772" t="s">
        <v>3667</v>
      </c>
      <c r="E1772" t="s">
        <v>3668</v>
      </c>
      <c r="F1772" t="s">
        <v>3669</v>
      </c>
      <c r="G1772" t="str">
        <f>"00137810"</f>
        <v>00137810</v>
      </c>
      <c r="H1772" t="s">
        <v>1879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3670</v>
      </c>
    </row>
    <row r="1773" spans="1:30" x14ac:dyDescent="0.25">
      <c r="H1773" t="s">
        <v>847</v>
      </c>
    </row>
    <row r="1774" spans="1:30" x14ac:dyDescent="0.25">
      <c r="A1774">
        <v>884</v>
      </c>
      <c r="B1774">
        <v>5031</v>
      </c>
      <c r="C1774" t="s">
        <v>3671</v>
      </c>
      <c r="D1774" t="s">
        <v>689</v>
      </c>
      <c r="E1774" t="s">
        <v>3671</v>
      </c>
      <c r="F1774" t="s">
        <v>3672</v>
      </c>
      <c r="G1774" t="str">
        <f>"00226395"</f>
        <v>00226395</v>
      </c>
      <c r="H1774" t="s">
        <v>1879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3670</v>
      </c>
    </row>
    <row r="1775" spans="1:30" x14ac:dyDescent="0.25">
      <c r="H1775" t="s">
        <v>3673</v>
      </c>
    </row>
    <row r="1776" spans="1:30" x14ac:dyDescent="0.25">
      <c r="A1776">
        <v>885</v>
      </c>
      <c r="B1776">
        <v>459</v>
      </c>
      <c r="C1776" t="s">
        <v>3674</v>
      </c>
      <c r="D1776" t="s">
        <v>3675</v>
      </c>
      <c r="E1776" t="s">
        <v>28</v>
      </c>
      <c r="F1776" t="s">
        <v>3676</v>
      </c>
      <c r="G1776" t="str">
        <f>"00283992"</f>
        <v>00283992</v>
      </c>
      <c r="H1776" t="s">
        <v>2934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50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3677</v>
      </c>
    </row>
    <row r="1777" spans="1:30" x14ac:dyDescent="0.25">
      <c r="H1777" t="s">
        <v>3678</v>
      </c>
    </row>
    <row r="1778" spans="1:30" x14ac:dyDescent="0.25">
      <c r="A1778">
        <v>886</v>
      </c>
      <c r="B1778">
        <v>5460</v>
      </c>
      <c r="C1778" t="s">
        <v>3679</v>
      </c>
      <c r="D1778" t="s">
        <v>685</v>
      </c>
      <c r="E1778" t="s">
        <v>55</v>
      </c>
      <c r="F1778" t="s">
        <v>3680</v>
      </c>
      <c r="G1778" t="str">
        <f>"00320976"</f>
        <v>00320976</v>
      </c>
      <c r="H1778" t="s">
        <v>2246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7</v>
      </c>
      <c r="W1778">
        <v>49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3681</v>
      </c>
    </row>
    <row r="1779" spans="1:30" x14ac:dyDescent="0.25">
      <c r="H1779" t="s">
        <v>3682</v>
      </c>
    </row>
    <row r="1780" spans="1:30" x14ac:dyDescent="0.25">
      <c r="A1780">
        <v>887</v>
      </c>
      <c r="B1780">
        <v>3832</v>
      </c>
      <c r="C1780" t="s">
        <v>3683</v>
      </c>
      <c r="D1780" t="s">
        <v>363</v>
      </c>
      <c r="E1780" t="s">
        <v>34</v>
      </c>
      <c r="F1780" t="s">
        <v>3684</v>
      </c>
      <c r="G1780" t="str">
        <f>"00205961"</f>
        <v>00205961</v>
      </c>
      <c r="H1780" t="s">
        <v>681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50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3685</v>
      </c>
    </row>
    <row r="1781" spans="1:30" x14ac:dyDescent="0.25">
      <c r="H1781" t="s">
        <v>3686</v>
      </c>
    </row>
    <row r="1782" spans="1:30" x14ac:dyDescent="0.25">
      <c r="A1782">
        <v>888</v>
      </c>
      <c r="B1782">
        <v>4126</v>
      </c>
      <c r="C1782" t="s">
        <v>3687</v>
      </c>
      <c r="D1782" t="s">
        <v>122</v>
      </c>
      <c r="E1782" t="s">
        <v>55</v>
      </c>
      <c r="F1782" t="s">
        <v>3688</v>
      </c>
      <c r="G1782" t="str">
        <f>"00106888"</f>
        <v>00106888</v>
      </c>
      <c r="H1782" t="s">
        <v>681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50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X1782">
        <v>0</v>
      </c>
      <c r="Z1782">
        <v>2</v>
      </c>
      <c r="AA1782">
        <v>0</v>
      </c>
      <c r="AB1782">
        <v>0</v>
      </c>
      <c r="AC1782">
        <v>0</v>
      </c>
      <c r="AD1782" t="s">
        <v>3685</v>
      </c>
    </row>
    <row r="1783" spans="1:30" x14ac:dyDescent="0.25">
      <c r="H1783" t="s">
        <v>3689</v>
      </c>
    </row>
    <row r="1784" spans="1:30" x14ac:dyDescent="0.25">
      <c r="A1784">
        <v>889</v>
      </c>
      <c r="B1784">
        <v>722</v>
      </c>
      <c r="C1784" t="s">
        <v>3690</v>
      </c>
      <c r="D1784" t="s">
        <v>3691</v>
      </c>
      <c r="E1784" t="s">
        <v>107</v>
      </c>
      <c r="F1784" t="s">
        <v>3692</v>
      </c>
      <c r="G1784" t="str">
        <f>"00238750"</f>
        <v>00238750</v>
      </c>
      <c r="H1784">
        <v>693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0</v>
      </c>
      <c r="Z1784">
        <v>0</v>
      </c>
      <c r="AA1784">
        <v>0</v>
      </c>
      <c r="AB1784">
        <v>0</v>
      </c>
      <c r="AC1784">
        <v>0</v>
      </c>
      <c r="AD1784">
        <v>723</v>
      </c>
    </row>
    <row r="1785" spans="1:30" x14ac:dyDescent="0.25">
      <c r="H1785" t="s">
        <v>3693</v>
      </c>
    </row>
    <row r="1786" spans="1:30" x14ac:dyDescent="0.25">
      <c r="A1786">
        <v>890</v>
      </c>
      <c r="B1786">
        <v>1421</v>
      </c>
      <c r="C1786" t="s">
        <v>3694</v>
      </c>
      <c r="D1786" t="s">
        <v>55</v>
      </c>
      <c r="E1786" t="s">
        <v>107</v>
      </c>
      <c r="F1786" t="s">
        <v>3695</v>
      </c>
      <c r="G1786" t="str">
        <f>"201511027570"</f>
        <v>201511027570</v>
      </c>
      <c r="H1786">
        <v>693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0</v>
      </c>
      <c r="Z1786">
        <v>2</v>
      </c>
      <c r="AA1786">
        <v>0</v>
      </c>
      <c r="AB1786">
        <v>0</v>
      </c>
      <c r="AC1786">
        <v>0</v>
      </c>
      <c r="AD1786">
        <v>723</v>
      </c>
    </row>
    <row r="1787" spans="1:30" x14ac:dyDescent="0.25">
      <c r="H1787" t="s">
        <v>3696</v>
      </c>
    </row>
    <row r="1788" spans="1:30" x14ac:dyDescent="0.25">
      <c r="A1788">
        <v>891</v>
      </c>
      <c r="B1788">
        <v>5119</v>
      </c>
      <c r="C1788" t="s">
        <v>3697</v>
      </c>
      <c r="D1788" t="s">
        <v>3698</v>
      </c>
      <c r="E1788" t="s">
        <v>63</v>
      </c>
      <c r="F1788" t="s">
        <v>3699</v>
      </c>
      <c r="G1788" t="str">
        <f>"00207455"</f>
        <v>00207455</v>
      </c>
      <c r="H1788" t="s">
        <v>676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5</v>
      </c>
      <c r="W1788">
        <v>35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3700</v>
      </c>
    </row>
    <row r="1789" spans="1:30" x14ac:dyDescent="0.25">
      <c r="H1789" t="s">
        <v>3701</v>
      </c>
    </row>
    <row r="1790" spans="1:30" x14ac:dyDescent="0.25">
      <c r="A1790">
        <v>892</v>
      </c>
      <c r="B1790">
        <v>5923</v>
      </c>
      <c r="C1790" t="s">
        <v>3702</v>
      </c>
      <c r="D1790" t="s">
        <v>185</v>
      </c>
      <c r="E1790" t="s">
        <v>63</v>
      </c>
      <c r="F1790" t="s">
        <v>3703</v>
      </c>
      <c r="G1790" t="str">
        <f>"201412006932"</f>
        <v>201412006932</v>
      </c>
      <c r="H1790" t="s">
        <v>3425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3704</v>
      </c>
    </row>
    <row r="1791" spans="1:30" x14ac:dyDescent="0.25">
      <c r="H1791" t="s">
        <v>847</v>
      </c>
    </row>
    <row r="1792" spans="1:30" x14ac:dyDescent="0.25">
      <c r="A1792">
        <v>893</v>
      </c>
      <c r="B1792">
        <v>2474</v>
      </c>
      <c r="C1792" t="s">
        <v>3705</v>
      </c>
      <c r="D1792" t="s">
        <v>220</v>
      </c>
      <c r="E1792" t="s">
        <v>721</v>
      </c>
      <c r="F1792" t="s">
        <v>3706</v>
      </c>
      <c r="G1792" t="str">
        <f>"00245261"</f>
        <v>00245261</v>
      </c>
      <c r="H1792">
        <v>649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2</v>
      </c>
      <c r="AA1792">
        <v>0</v>
      </c>
      <c r="AB1792">
        <v>0</v>
      </c>
      <c r="AC1792">
        <v>0</v>
      </c>
      <c r="AD1792">
        <v>719</v>
      </c>
    </row>
    <row r="1793" spans="1:30" x14ac:dyDescent="0.25">
      <c r="H1793" t="s">
        <v>3707</v>
      </c>
    </row>
    <row r="1794" spans="1:30" x14ac:dyDescent="0.25">
      <c r="A1794">
        <v>894</v>
      </c>
      <c r="B1794">
        <v>6266</v>
      </c>
      <c r="C1794" t="s">
        <v>3708</v>
      </c>
      <c r="D1794" t="s">
        <v>44</v>
      </c>
      <c r="E1794" t="s">
        <v>262</v>
      </c>
      <c r="F1794" t="s">
        <v>3709</v>
      </c>
      <c r="G1794" t="str">
        <f>"201310000059"</f>
        <v>201310000059</v>
      </c>
      <c r="H1794" t="s">
        <v>248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3710</v>
      </c>
    </row>
    <row r="1795" spans="1:30" x14ac:dyDescent="0.25">
      <c r="H1795" t="s">
        <v>3711</v>
      </c>
    </row>
    <row r="1796" spans="1:30" x14ac:dyDescent="0.25">
      <c r="A1796">
        <v>895</v>
      </c>
      <c r="B1796">
        <v>1207</v>
      </c>
      <c r="C1796" t="s">
        <v>3712</v>
      </c>
      <c r="D1796" t="s">
        <v>154</v>
      </c>
      <c r="E1796" t="s">
        <v>134</v>
      </c>
      <c r="F1796" t="s">
        <v>3713</v>
      </c>
      <c r="G1796" t="str">
        <f>"201406001531"</f>
        <v>201406001531</v>
      </c>
      <c r="H1796" t="s">
        <v>2441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3714</v>
      </c>
    </row>
    <row r="1797" spans="1:30" x14ac:dyDescent="0.25">
      <c r="H1797" t="s">
        <v>3715</v>
      </c>
    </row>
    <row r="1798" spans="1:30" x14ac:dyDescent="0.25">
      <c r="A1798">
        <v>896</v>
      </c>
      <c r="B1798">
        <v>4747</v>
      </c>
      <c r="C1798" t="s">
        <v>3716</v>
      </c>
      <c r="D1798" t="s">
        <v>55</v>
      </c>
      <c r="E1798" t="s">
        <v>100</v>
      </c>
      <c r="F1798" t="s">
        <v>3717</v>
      </c>
      <c r="G1798" t="str">
        <f>"201402011065"</f>
        <v>201402011065</v>
      </c>
      <c r="H1798" t="s">
        <v>1993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3718</v>
      </c>
    </row>
    <row r="1799" spans="1:30" x14ac:dyDescent="0.25">
      <c r="H1799" t="s">
        <v>3719</v>
      </c>
    </row>
    <row r="1800" spans="1:30" x14ac:dyDescent="0.25">
      <c r="A1800">
        <v>897</v>
      </c>
      <c r="B1800">
        <v>1091</v>
      </c>
      <c r="C1800" t="s">
        <v>3720</v>
      </c>
      <c r="D1800" t="s">
        <v>326</v>
      </c>
      <c r="E1800" t="s">
        <v>146</v>
      </c>
      <c r="F1800" t="s">
        <v>3721</v>
      </c>
      <c r="G1800" t="str">
        <f>"00181503"</f>
        <v>00181503</v>
      </c>
      <c r="H1800" t="s">
        <v>1993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3718</v>
      </c>
    </row>
    <row r="1801" spans="1:30" x14ac:dyDescent="0.25">
      <c r="H1801" t="s">
        <v>3722</v>
      </c>
    </row>
    <row r="1802" spans="1:30" x14ac:dyDescent="0.25">
      <c r="A1802">
        <v>898</v>
      </c>
      <c r="B1802">
        <v>3591</v>
      </c>
      <c r="C1802" t="s">
        <v>3723</v>
      </c>
      <c r="D1802" t="s">
        <v>604</v>
      </c>
      <c r="E1802" t="s">
        <v>644</v>
      </c>
      <c r="F1802" t="s">
        <v>3724</v>
      </c>
      <c r="G1802" t="str">
        <f>"200810000426"</f>
        <v>200810000426</v>
      </c>
      <c r="H1802" t="s">
        <v>1619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3725</v>
      </c>
    </row>
    <row r="1803" spans="1:30" x14ac:dyDescent="0.25">
      <c r="H1803" t="s">
        <v>3726</v>
      </c>
    </row>
    <row r="1804" spans="1:30" x14ac:dyDescent="0.25">
      <c r="A1804">
        <v>899</v>
      </c>
      <c r="B1804">
        <v>5051</v>
      </c>
      <c r="C1804" t="s">
        <v>3727</v>
      </c>
      <c r="D1804" t="s">
        <v>3728</v>
      </c>
      <c r="E1804" t="s">
        <v>283</v>
      </c>
      <c r="F1804" t="s">
        <v>3729</v>
      </c>
      <c r="G1804" t="str">
        <f>"00342422"</f>
        <v>00342422</v>
      </c>
      <c r="H1804" t="s">
        <v>1619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3725</v>
      </c>
    </row>
    <row r="1805" spans="1:30" x14ac:dyDescent="0.25">
      <c r="H1805" t="s">
        <v>3730</v>
      </c>
    </row>
    <row r="1806" spans="1:30" x14ac:dyDescent="0.25">
      <c r="A1806">
        <v>900</v>
      </c>
      <c r="B1806">
        <v>2467</v>
      </c>
      <c r="C1806" t="s">
        <v>3731</v>
      </c>
      <c r="D1806" t="s">
        <v>246</v>
      </c>
      <c r="E1806" t="s">
        <v>1127</v>
      </c>
      <c r="F1806" t="s">
        <v>3732</v>
      </c>
      <c r="G1806" t="str">
        <f>"00191003"</f>
        <v>00191003</v>
      </c>
      <c r="H1806" t="s">
        <v>314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Z1806">
        <v>1</v>
      </c>
      <c r="AA1806">
        <v>0</v>
      </c>
      <c r="AB1806">
        <v>0</v>
      </c>
      <c r="AC1806">
        <v>0</v>
      </c>
      <c r="AD1806" t="s">
        <v>3733</v>
      </c>
    </row>
    <row r="1807" spans="1:30" x14ac:dyDescent="0.25">
      <c r="H1807" t="s">
        <v>3734</v>
      </c>
    </row>
    <row r="1808" spans="1:30" x14ac:dyDescent="0.25">
      <c r="A1808">
        <v>901</v>
      </c>
      <c r="B1808">
        <v>3442</v>
      </c>
      <c r="C1808" t="s">
        <v>3735</v>
      </c>
      <c r="D1808" t="s">
        <v>220</v>
      </c>
      <c r="E1808" t="s">
        <v>3736</v>
      </c>
      <c r="F1808" t="s">
        <v>3737</v>
      </c>
      <c r="G1808" t="str">
        <f>"00149972"</f>
        <v>00149972</v>
      </c>
      <c r="H1808" t="s">
        <v>1529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3738</v>
      </c>
    </row>
    <row r="1809" spans="1:30" x14ac:dyDescent="0.25">
      <c r="H1809" t="s">
        <v>3739</v>
      </c>
    </row>
    <row r="1810" spans="1:30" x14ac:dyDescent="0.25">
      <c r="A1810">
        <v>902</v>
      </c>
      <c r="B1810">
        <v>4244</v>
      </c>
      <c r="C1810" t="s">
        <v>3740</v>
      </c>
      <c r="D1810" t="s">
        <v>93</v>
      </c>
      <c r="E1810" t="s">
        <v>34</v>
      </c>
      <c r="F1810" t="s">
        <v>3741</v>
      </c>
      <c r="G1810" t="str">
        <f>"00332603"</f>
        <v>00332603</v>
      </c>
      <c r="H1810" t="s">
        <v>1675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0</v>
      </c>
      <c r="X1810">
        <v>0</v>
      </c>
      <c r="Z1810">
        <v>0</v>
      </c>
      <c r="AA1810">
        <v>0</v>
      </c>
      <c r="AB1810">
        <v>0</v>
      </c>
      <c r="AC1810">
        <v>0</v>
      </c>
      <c r="AD1810" t="s">
        <v>3742</v>
      </c>
    </row>
    <row r="1811" spans="1:30" x14ac:dyDescent="0.25">
      <c r="H1811">
        <v>1201</v>
      </c>
    </row>
    <row r="1812" spans="1:30" x14ac:dyDescent="0.25">
      <c r="A1812">
        <v>903</v>
      </c>
      <c r="B1812">
        <v>5180</v>
      </c>
      <c r="C1812" t="s">
        <v>3743</v>
      </c>
      <c r="D1812" t="s">
        <v>3744</v>
      </c>
      <c r="E1812" t="s">
        <v>86</v>
      </c>
      <c r="F1812" t="s">
        <v>3745</v>
      </c>
      <c r="G1812" t="str">
        <f>"00159104"</f>
        <v>00159104</v>
      </c>
      <c r="H1812" t="s">
        <v>676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50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3746</v>
      </c>
    </row>
    <row r="1813" spans="1:30" x14ac:dyDescent="0.25">
      <c r="H1813" t="s">
        <v>3747</v>
      </c>
    </row>
    <row r="1814" spans="1:30" x14ac:dyDescent="0.25">
      <c r="A1814">
        <v>904</v>
      </c>
      <c r="B1814">
        <v>1212</v>
      </c>
      <c r="C1814" t="s">
        <v>37</v>
      </c>
      <c r="D1814" t="s">
        <v>220</v>
      </c>
      <c r="E1814" t="s">
        <v>330</v>
      </c>
      <c r="F1814" t="s">
        <v>3748</v>
      </c>
      <c r="G1814" t="str">
        <f>"00163127"</f>
        <v>00163127</v>
      </c>
      <c r="H1814" t="s">
        <v>3749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3</v>
      </c>
      <c r="W1814">
        <v>21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3750</v>
      </c>
    </row>
    <row r="1815" spans="1:30" x14ac:dyDescent="0.25">
      <c r="H1815" t="s">
        <v>3751</v>
      </c>
    </row>
    <row r="1816" spans="1:30" x14ac:dyDescent="0.25">
      <c r="A1816">
        <v>905</v>
      </c>
      <c r="B1816">
        <v>5666</v>
      </c>
      <c r="C1816" t="s">
        <v>3752</v>
      </c>
      <c r="D1816" t="s">
        <v>3753</v>
      </c>
      <c r="E1816" t="s">
        <v>3754</v>
      </c>
      <c r="F1816" t="s">
        <v>3755</v>
      </c>
      <c r="G1816" t="str">
        <f>"00196128"</f>
        <v>00196128</v>
      </c>
      <c r="H1816" t="s">
        <v>2494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3756</v>
      </c>
    </row>
    <row r="1817" spans="1:30" x14ac:dyDescent="0.25">
      <c r="H1817" t="s">
        <v>3757</v>
      </c>
    </row>
    <row r="1818" spans="1:30" x14ac:dyDescent="0.25">
      <c r="A1818">
        <v>906</v>
      </c>
      <c r="B1818">
        <v>1394</v>
      </c>
      <c r="C1818" t="s">
        <v>3758</v>
      </c>
      <c r="D1818" t="s">
        <v>3759</v>
      </c>
      <c r="E1818" t="s">
        <v>3760</v>
      </c>
      <c r="F1818" t="s">
        <v>3761</v>
      </c>
      <c r="G1818" t="str">
        <f>"00238569"</f>
        <v>00238569</v>
      </c>
      <c r="H1818" t="s">
        <v>2320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50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X1818">
        <v>0</v>
      </c>
      <c r="Z1818">
        <v>1</v>
      </c>
      <c r="AA1818">
        <v>0</v>
      </c>
      <c r="AB1818">
        <v>0</v>
      </c>
      <c r="AC1818">
        <v>0</v>
      </c>
      <c r="AD1818" t="s">
        <v>3762</v>
      </c>
    </row>
    <row r="1819" spans="1:30" x14ac:dyDescent="0.25">
      <c r="H1819" t="s">
        <v>3763</v>
      </c>
    </row>
    <row r="1820" spans="1:30" x14ac:dyDescent="0.25">
      <c r="A1820">
        <v>907</v>
      </c>
      <c r="B1820">
        <v>1636</v>
      </c>
      <c r="C1820" t="s">
        <v>3764</v>
      </c>
      <c r="D1820" t="s">
        <v>246</v>
      </c>
      <c r="E1820" t="s">
        <v>303</v>
      </c>
      <c r="F1820" t="s">
        <v>3765</v>
      </c>
      <c r="G1820" t="str">
        <f>"00008910"</f>
        <v>00008910</v>
      </c>
      <c r="H1820">
        <v>671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Z1820">
        <v>0</v>
      </c>
      <c r="AA1820">
        <v>0</v>
      </c>
      <c r="AB1820">
        <v>0</v>
      </c>
      <c r="AC1820">
        <v>0</v>
      </c>
      <c r="AD1820">
        <v>701</v>
      </c>
    </row>
    <row r="1821" spans="1:30" x14ac:dyDescent="0.25">
      <c r="H1821" t="s">
        <v>3766</v>
      </c>
    </row>
    <row r="1822" spans="1:30" x14ac:dyDescent="0.25">
      <c r="A1822">
        <v>908</v>
      </c>
      <c r="B1822">
        <v>1007</v>
      </c>
      <c r="C1822" t="s">
        <v>3767</v>
      </c>
      <c r="D1822" t="s">
        <v>3768</v>
      </c>
      <c r="E1822" t="s">
        <v>93</v>
      </c>
      <c r="F1822" t="s">
        <v>3769</v>
      </c>
      <c r="G1822" t="str">
        <f>"00190958"</f>
        <v>00190958</v>
      </c>
      <c r="H1822" t="s">
        <v>3770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3771</v>
      </c>
    </row>
    <row r="1823" spans="1:30" x14ac:dyDescent="0.25">
      <c r="H1823" t="s">
        <v>3772</v>
      </c>
    </row>
    <row r="1824" spans="1:30" x14ac:dyDescent="0.25">
      <c r="A1824">
        <v>909</v>
      </c>
      <c r="B1824">
        <v>1051</v>
      </c>
      <c r="C1824" t="s">
        <v>3773</v>
      </c>
      <c r="D1824" t="s">
        <v>1225</v>
      </c>
      <c r="E1824" t="s">
        <v>44</v>
      </c>
      <c r="F1824" t="s">
        <v>3774</v>
      </c>
      <c r="G1824" t="str">
        <f>"00300202"</f>
        <v>00300202</v>
      </c>
      <c r="H1824" t="s">
        <v>1716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3775</v>
      </c>
    </row>
    <row r="1825" spans="1:30" x14ac:dyDescent="0.25">
      <c r="H1825" t="s">
        <v>3776</v>
      </c>
    </row>
    <row r="1826" spans="1:30" x14ac:dyDescent="0.25">
      <c r="A1826">
        <v>910</v>
      </c>
      <c r="B1826">
        <v>5632</v>
      </c>
      <c r="C1826" t="s">
        <v>3777</v>
      </c>
      <c r="D1826" t="s">
        <v>134</v>
      </c>
      <c r="E1826" t="s">
        <v>549</v>
      </c>
      <c r="F1826" t="s">
        <v>3778</v>
      </c>
      <c r="G1826" t="str">
        <f>"00155958"</f>
        <v>00155958</v>
      </c>
      <c r="H1826" t="s">
        <v>1716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3775</v>
      </c>
    </row>
    <row r="1827" spans="1:30" x14ac:dyDescent="0.25">
      <c r="H1827" t="s">
        <v>3779</v>
      </c>
    </row>
    <row r="1828" spans="1:30" x14ac:dyDescent="0.25">
      <c r="A1828">
        <v>911</v>
      </c>
      <c r="B1828">
        <v>3321</v>
      </c>
      <c r="C1828" t="s">
        <v>3780</v>
      </c>
      <c r="D1828" t="s">
        <v>69</v>
      </c>
      <c r="E1828" t="s">
        <v>619</v>
      </c>
      <c r="F1828" t="s">
        <v>3781</v>
      </c>
      <c r="G1828" t="str">
        <f>"00260983"</f>
        <v>00260983</v>
      </c>
      <c r="H1828" t="s">
        <v>1716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Z1828">
        <v>2</v>
      </c>
      <c r="AA1828">
        <v>0</v>
      </c>
      <c r="AB1828">
        <v>0</v>
      </c>
      <c r="AC1828">
        <v>0</v>
      </c>
      <c r="AD1828" t="s">
        <v>3775</v>
      </c>
    </row>
    <row r="1829" spans="1:30" x14ac:dyDescent="0.25">
      <c r="H1829" t="s">
        <v>3782</v>
      </c>
    </row>
    <row r="1830" spans="1:30" x14ac:dyDescent="0.25">
      <c r="A1830">
        <v>912</v>
      </c>
      <c r="B1830">
        <v>4763</v>
      </c>
      <c r="C1830" t="s">
        <v>3783</v>
      </c>
      <c r="D1830" t="s">
        <v>1382</v>
      </c>
      <c r="E1830" t="s">
        <v>24</v>
      </c>
      <c r="F1830" t="s">
        <v>3784</v>
      </c>
      <c r="G1830" t="str">
        <f>"00365752"</f>
        <v>00365752</v>
      </c>
      <c r="H1830" t="s">
        <v>3785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6</v>
      </c>
      <c r="W1830">
        <v>42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3786</v>
      </c>
    </row>
    <row r="1831" spans="1:30" x14ac:dyDescent="0.25">
      <c r="H1831" t="s">
        <v>3787</v>
      </c>
    </row>
    <row r="1832" spans="1:30" x14ac:dyDescent="0.25">
      <c r="A1832">
        <v>913</v>
      </c>
      <c r="B1832">
        <v>1334</v>
      </c>
      <c r="C1832" t="s">
        <v>3788</v>
      </c>
      <c r="D1832" t="s">
        <v>121</v>
      </c>
      <c r="E1832" t="s">
        <v>3789</v>
      </c>
      <c r="F1832" t="s">
        <v>3790</v>
      </c>
      <c r="G1832" t="str">
        <f>"201402003786"</f>
        <v>201402003786</v>
      </c>
      <c r="H1832" t="s">
        <v>1494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3791</v>
      </c>
    </row>
    <row r="1833" spans="1:30" x14ac:dyDescent="0.25">
      <c r="H1833" t="s">
        <v>3792</v>
      </c>
    </row>
    <row r="1834" spans="1:30" x14ac:dyDescent="0.25">
      <c r="A1834">
        <v>914</v>
      </c>
      <c r="B1834">
        <v>2527</v>
      </c>
      <c r="C1834" t="s">
        <v>3793</v>
      </c>
      <c r="D1834" t="s">
        <v>185</v>
      </c>
      <c r="E1834" t="s">
        <v>359</v>
      </c>
      <c r="F1834" t="s">
        <v>3794</v>
      </c>
      <c r="G1834" t="str">
        <f>"00292962"</f>
        <v>00292962</v>
      </c>
      <c r="H1834" t="s">
        <v>1494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3791</v>
      </c>
    </row>
    <row r="1835" spans="1:30" x14ac:dyDescent="0.25">
      <c r="H1835" t="s">
        <v>3795</v>
      </c>
    </row>
    <row r="1836" spans="1:30" x14ac:dyDescent="0.25">
      <c r="A1836">
        <v>915</v>
      </c>
      <c r="B1836">
        <v>3790</v>
      </c>
      <c r="C1836" t="s">
        <v>3796</v>
      </c>
      <c r="D1836" t="s">
        <v>100</v>
      </c>
      <c r="E1836" t="s">
        <v>34</v>
      </c>
      <c r="F1836" t="s">
        <v>3797</v>
      </c>
      <c r="G1836" t="str">
        <f>"00244744"</f>
        <v>00244744</v>
      </c>
      <c r="H1836" t="s">
        <v>532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X1836">
        <v>0</v>
      </c>
      <c r="Z1836">
        <v>1</v>
      </c>
      <c r="AA1836">
        <v>0</v>
      </c>
      <c r="AB1836">
        <v>0</v>
      </c>
      <c r="AC1836">
        <v>0</v>
      </c>
      <c r="AD1836" t="s">
        <v>3798</v>
      </c>
    </row>
    <row r="1837" spans="1:30" x14ac:dyDescent="0.25">
      <c r="H1837" t="s">
        <v>3799</v>
      </c>
    </row>
    <row r="1838" spans="1:30" x14ac:dyDescent="0.25">
      <c r="A1838">
        <v>916</v>
      </c>
      <c r="B1838">
        <v>5700</v>
      </c>
      <c r="C1838" t="s">
        <v>3800</v>
      </c>
      <c r="D1838" t="s">
        <v>3801</v>
      </c>
      <c r="E1838" t="s">
        <v>63</v>
      </c>
      <c r="F1838" t="s">
        <v>3802</v>
      </c>
      <c r="G1838" t="str">
        <f>"00159813"</f>
        <v>00159813</v>
      </c>
      <c r="H1838" t="s">
        <v>2865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5</v>
      </c>
      <c r="W1838">
        <v>35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3803</v>
      </c>
    </row>
    <row r="1839" spans="1:30" x14ac:dyDescent="0.25">
      <c r="H1839" t="s">
        <v>3804</v>
      </c>
    </row>
    <row r="1840" spans="1:30" x14ac:dyDescent="0.25">
      <c r="A1840">
        <v>917</v>
      </c>
      <c r="B1840">
        <v>4882</v>
      </c>
      <c r="C1840" t="s">
        <v>3805</v>
      </c>
      <c r="D1840" t="s">
        <v>3806</v>
      </c>
      <c r="E1840" t="s">
        <v>55</v>
      </c>
      <c r="F1840" t="s">
        <v>3807</v>
      </c>
      <c r="G1840" t="str">
        <f>"00353612"</f>
        <v>00353612</v>
      </c>
      <c r="H1840" t="s">
        <v>2271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6</v>
      </c>
      <c r="W1840">
        <v>42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3808</v>
      </c>
    </row>
    <row r="1841" spans="1:30" x14ac:dyDescent="0.25">
      <c r="H1841" t="s">
        <v>3809</v>
      </c>
    </row>
    <row r="1842" spans="1:30" x14ac:dyDescent="0.25">
      <c r="A1842">
        <v>918</v>
      </c>
      <c r="B1842">
        <v>6270</v>
      </c>
      <c r="C1842" t="s">
        <v>3810</v>
      </c>
      <c r="D1842" t="s">
        <v>3811</v>
      </c>
      <c r="E1842" t="s">
        <v>268</v>
      </c>
      <c r="F1842" t="s">
        <v>3812</v>
      </c>
      <c r="G1842" t="str">
        <f>"00322103"</f>
        <v>00322103</v>
      </c>
      <c r="H1842" t="s">
        <v>2408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3813</v>
      </c>
    </row>
    <row r="1843" spans="1:30" x14ac:dyDescent="0.25">
      <c r="H1843" t="s">
        <v>3814</v>
      </c>
    </row>
    <row r="1844" spans="1:30" x14ac:dyDescent="0.25">
      <c r="A1844">
        <v>919</v>
      </c>
      <c r="B1844">
        <v>1747</v>
      </c>
      <c r="C1844" t="s">
        <v>735</v>
      </c>
      <c r="D1844" t="s">
        <v>3815</v>
      </c>
      <c r="E1844" t="s">
        <v>107</v>
      </c>
      <c r="F1844" t="s">
        <v>3816</v>
      </c>
      <c r="G1844" t="str">
        <f>"00318124"</f>
        <v>00318124</v>
      </c>
      <c r="H1844">
        <v>660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Z1844">
        <v>0</v>
      </c>
      <c r="AA1844">
        <v>0</v>
      </c>
      <c r="AB1844">
        <v>0</v>
      </c>
      <c r="AC1844">
        <v>0</v>
      </c>
      <c r="AD1844">
        <v>690</v>
      </c>
    </row>
    <row r="1845" spans="1:30" x14ac:dyDescent="0.25">
      <c r="H1845" t="s">
        <v>847</v>
      </c>
    </row>
    <row r="1846" spans="1:30" x14ac:dyDescent="0.25">
      <c r="A1846">
        <v>920</v>
      </c>
      <c r="B1846">
        <v>4161</v>
      </c>
      <c r="C1846" t="s">
        <v>3817</v>
      </c>
      <c r="D1846" t="s">
        <v>34</v>
      </c>
      <c r="E1846" t="s">
        <v>2622</v>
      </c>
      <c r="F1846" t="s">
        <v>3818</v>
      </c>
      <c r="G1846" t="str">
        <f>"00347561"</f>
        <v>00347561</v>
      </c>
      <c r="H1846">
        <v>638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50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Z1846">
        <v>1</v>
      </c>
      <c r="AA1846">
        <v>0</v>
      </c>
      <c r="AB1846">
        <v>0</v>
      </c>
      <c r="AC1846">
        <v>0</v>
      </c>
      <c r="AD1846">
        <v>688</v>
      </c>
    </row>
    <row r="1847" spans="1:30" x14ac:dyDescent="0.25">
      <c r="H1847" t="s">
        <v>934</v>
      </c>
    </row>
    <row r="1848" spans="1:30" x14ac:dyDescent="0.25">
      <c r="A1848">
        <v>921</v>
      </c>
      <c r="B1848">
        <v>6074</v>
      </c>
      <c r="C1848" t="s">
        <v>3223</v>
      </c>
      <c r="D1848" t="s">
        <v>44</v>
      </c>
      <c r="E1848" t="s">
        <v>55</v>
      </c>
      <c r="F1848" t="s">
        <v>3819</v>
      </c>
      <c r="G1848" t="str">
        <f>"00370184"</f>
        <v>00370184</v>
      </c>
      <c r="H1848" t="s">
        <v>711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3820</v>
      </c>
    </row>
    <row r="1849" spans="1:30" x14ac:dyDescent="0.25">
      <c r="H1849" t="s">
        <v>3385</v>
      </c>
    </row>
    <row r="1850" spans="1:30" x14ac:dyDescent="0.25">
      <c r="A1850">
        <v>922</v>
      </c>
      <c r="B1850">
        <v>310</v>
      </c>
      <c r="C1850" t="s">
        <v>3821</v>
      </c>
      <c r="D1850" t="s">
        <v>246</v>
      </c>
      <c r="E1850" t="s">
        <v>28</v>
      </c>
      <c r="F1850" t="s">
        <v>3822</v>
      </c>
      <c r="G1850" t="str">
        <f>"00153157"</f>
        <v>00153157</v>
      </c>
      <c r="H1850" t="s">
        <v>676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3823</v>
      </c>
    </row>
    <row r="1851" spans="1:30" x14ac:dyDescent="0.25">
      <c r="H1851" t="s">
        <v>3824</v>
      </c>
    </row>
    <row r="1852" spans="1:30" x14ac:dyDescent="0.25">
      <c r="A1852">
        <v>923</v>
      </c>
      <c r="B1852">
        <v>3975</v>
      </c>
      <c r="C1852" t="s">
        <v>3825</v>
      </c>
      <c r="D1852" t="s">
        <v>107</v>
      </c>
      <c r="E1852" t="s">
        <v>15</v>
      </c>
      <c r="F1852" t="s">
        <v>3826</v>
      </c>
      <c r="G1852" t="str">
        <f>"201511039091"</f>
        <v>201511039091</v>
      </c>
      <c r="H1852" t="s">
        <v>1077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3827</v>
      </c>
    </row>
    <row r="1853" spans="1:30" x14ac:dyDescent="0.25">
      <c r="H1853" t="s">
        <v>3828</v>
      </c>
    </row>
    <row r="1854" spans="1:30" x14ac:dyDescent="0.25">
      <c r="A1854">
        <v>924</v>
      </c>
      <c r="B1854">
        <v>5785</v>
      </c>
      <c r="C1854" t="s">
        <v>3829</v>
      </c>
      <c r="D1854" t="s">
        <v>1701</v>
      </c>
      <c r="E1854" t="s">
        <v>319</v>
      </c>
      <c r="F1854" t="s">
        <v>3830</v>
      </c>
      <c r="G1854" t="str">
        <f>"201412006435"</f>
        <v>201412006435</v>
      </c>
      <c r="H1854" t="s">
        <v>1330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Z1854">
        <v>1</v>
      </c>
      <c r="AA1854">
        <v>0</v>
      </c>
      <c r="AB1854">
        <v>0</v>
      </c>
      <c r="AC1854">
        <v>0</v>
      </c>
      <c r="AD1854" t="s">
        <v>3831</v>
      </c>
    </row>
    <row r="1855" spans="1:30" x14ac:dyDescent="0.25">
      <c r="H1855" t="s">
        <v>3832</v>
      </c>
    </row>
    <row r="1856" spans="1:30" x14ac:dyDescent="0.25">
      <c r="A1856">
        <v>925</v>
      </c>
      <c r="B1856">
        <v>6250</v>
      </c>
      <c r="C1856" t="s">
        <v>3833</v>
      </c>
      <c r="D1856" t="s">
        <v>303</v>
      </c>
      <c r="E1856" t="s">
        <v>107</v>
      </c>
      <c r="F1856" t="s">
        <v>3834</v>
      </c>
      <c r="G1856" t="str">
        <f>"00194497"</f>
        <v>00194497</v>
      </c>
      <c r="H1856" t="s">
        <v>1330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Z1856">
        <v>0</v>
      </c>
      <c r="AA1856">
        <v>0</v>
      </c>
      <c r="AB1856">
        <v>0</v>
      </c>
      <c r="AC1856">
        <v>0</v>
      </c>
      <c r="AD1856" t="s">
        <v>3831</v>
      </c>
    </row>
    <row r="1857" spans="1:30" x14ac:dyDescent="0.25">
      <c r="H1857" t="s">
        <v>3835</v>
      </c>
    </row>
    <row r="1858" spans="1:30" x14ac:dyDescent="0.25">
      <c r="A1858">
        <v>926</v>
      </c>
      <c r="B1858">
        <v>2840</v>
      </c>
      <c r="C1858" t="s">
        <v>3836</v>
      </c>
      <c r="D1858" t="s">
        <v>146</v>
      </c>
      <c r="E1858" t="s">
        <v>55</v>
      </c>
      <c r="F1858" t="s">
        <v>3837</v>
      </c>
      <c r="G1858" t="str">
        <f>"00154289"</f>
        <v>00154289</v>
      </c>
      <c r="H1858">
        <v>649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X1858">
        <v>0</v>
      </c>
      <c r="Z1858">
        <v>0</v>
      </c>
      <c r="AA1858">
        <v>0</v>
      </c>
      <c r="AB1858">
        <v>0</v>
      </c>
      <c r="AC1858">
        <v>0</v>
      </c>
      <c r="AD1858">
        <v>679</v>
      </c>
    </row>
    <row r="1859" spans="1:30" x14ac:dyDescent="0.25">
      <c r="H1859" t="s">
        <v>3838</v>
      </c>
    </row>
    <row r="1860" spans="1:30" x14ac:dyDescent="0.25">
      <c r="A1860">
        <v>927</v>
      </c>
      <c r="B1860">
        <v>3909</v>
      </c>
      <c r="C1860" t="s">
        <v>3839</v>
      </c>
      <c r="D1860" t="s">
        <v>24</v>
      </c>
      <c r="E1860" t="s">
        <v>34</v>
      </c>
      <c r="F1860" t="s">
        <v>3840</v>
      </c>
      <c r="G1860" t="str">
        <f>"00141973"</f>
        <v>00141973</v>
      </c>
      <c r="H1860" t="s">
        <v>3841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3842</v>
      </c>
    </row>
    <row r="1861" spans="1:30" x14ac:dyDescent="0.25">
      <c r="H1861" t="s">
        <v>3093</v>
      </c>
    </row>
    <row r="1862" spans="1:30" x14ac:dyDescent="0.25">
      <c r="A1862">
        <v>928</v>
      </c>
      <c r="B1862">
        <v>479</v>
      </c>
      <c r="C1862" t="s">
        <v>3843</v>
      </c>
      <c r="D1862" t="s">
        <v>34</v>
      </c>
      <c r="E1862" t="s">
        <v>220</v>
      </c>
      <c r="F1862" t="s">
        <v>3844</v>
      </c>
      <c r="G1862" t="str">
        <f>"201512005434"</f>
        <v>201512005434</v>
      </c>
      <c r="H1862" t="s">
        <v>773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50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3845</v>
      </c>
    </row>
    <row r="1863" spans="1:30" x14ac:dyDescent="0.25">
      <c r="H1863" t="s">
        <v>3846</v>
      </c>
    </row>
    <row r="1864" spans="1:30" x14ac:dyDescent="0.25">
      <c r="A1864">
        <v>929</v>
      </c>
      <c r="B1864">
        <v>2665</v>
      </c>
      <c r="C1864" t="s">
        <v>3847</v>
      </c>
      <c r="D1864" t="s">
        <v>3848</v>
      </c>
      <c r="E1864" t="s">
        <v>3849</v>
      </c>
      <c r="F1864" t="s">
        <v>3850</v>
      </c>
      <c r="G1864" t="str">
        <f>"00154377"</f>
        <v>00154377</v>
      </c>
      <c r="H1864" t="s">
        <v>3851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3852</v>
      </c>
    </row>
    <row r="1865" spans="1:30" x14ac:dyDescent="0.25">
      <c r="H1865" t="s">
        <v>3853</v>
      </c>
    </row>
    <row r="1866" spans="1:30" x14ac:dyDescent="0.25">
      <c r="A1866">
        <v>930</v>
      </c>
      <c r="B1866">
        <v>5949</v>
      </c>
      <c r="C1866" t="s">
        <v>3854</v>
      </c>
      <c r="D1866" t="s">
        <v>3789</v>
      </c>
      <c r="E1866" t="s">
        <v>34</v>
      </c>
      <c r="F1866" t="s">
        <v>3855</v>
      </c>
      <c r="G1866" t="str">
        <f>"201511038913"</f>
        <v>201511038913</v>
      </c>
      <c r="H1866" t="s">
        <v>3851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3852</v>
      </c>
    </row>
    <row r="1867" spans="1:30" x14ac:dyDescent="0.25">
      <c r="H1867" t="s">
        <v>3856</v>
      </c>
    </row>
    <row r="1868" spans="1:30" x14ac:dyDescent="0.25">
      <c r="A1868">
        <v>931</v>
      </c>
      <c r="B1868">
        <v>1490</v>
      </c>
      <c r="C1868" t="s">
        <v>3857</v>
      </c>
      <c r="D1868" t="s">
        <v>121</v>
      </c>
      <c r="E1868" t="s">
        <v>2153</v>
      </c>
      <c r="F1868" t="s">
        <v>3858</v>
      </c>
      <c r="G1868" t="str">
        <f>"00305854"</f>
        <v>00305854</v>
      </c>
      <c r="H1868" t="s">
        <v>3851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3852</v>
      </c>
    </row>
    <row r="1869" spans="1:30" x14ac:dyDescent="0.25">
      <c r="H1869" t="s">
        <v>3859</v>
      </c>
    </row>
    <row r="1870" spans="1:30" x14ac:dyDescent="0.25">
      <c r="A1870">
        <v>932</v>
      </c>
      <c r="B1870">
        <v>558</v>
      </c>
      <c r="C1870" t="s">
        <v>3860</v>
      </c>
      <c r="D1870" t="s">
        <v>34</v>
      </c>
      <c r="E1870" t="s">
        <v>3637</v>
      </c>
      <c r="F1870" t="s">
        <v>3861</v>
      </c>
      <c r="G1870" t="str">
        <f>"00295130"</f>
        <v>00295130</v>
      </c>
      <c r="H1870" t="s">
        <v>3851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3852</v>
      </c>
    </row>
    <row r="1871" spans="1:30" x14ac:dyDescent="0.25">
      <c r="H1871" t="s">
        <v>3862</v>
      </c>
    </row>
    <row r="1872" spans="1:30" x14ac:dyDescent="0.25">
      <c r="A1872">
        <v>933</v>
      </c>
      <c r="B1872">
        <v>354</v>
      </c>
      <c r="C1872" t="s">
        <v>3863</v>
      </c>
      <c r="D1872" t="s">
        <v>34</v>
      </c>
      <c r="E1872" t="s">
        <v>453</v>
      </c>
      <c r="F1872" t="s">
        <v>3864</v>
      </c>
      <c r="G1872" t="str">
        <f>"00226060"</f>
        <v>00226060</v>
      </c>
      <c r="H1872" t="s">
        <v>3865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3866</v>
      </c>
    </row>
    <row r="1873" spans="1:30" x14ac:dyDescent="0.25">
      <c r="H1873" t="s">
        <v>3867</v>
      </c>
    </row>
    <row r="1874" spans="1:30" x14ac:dyDescent="0.25">
      <c r="A1874">
        <v>934</v>
      </c>
      <c r="B1874">
        <v>117</v>
      </c>
      <c r="C1874" t="s">
        <v>3868</v>
      </c>
      <c r="D1874" t="s">
        <v>121</v>
      </c>
      <c r="E1874" t="s">
        <v>530</v>
      </c>
      <c r="F1874" t="s">
        <v>3869</v>
      </c>
      <c r="G1874" t="str">
        <f>"201412004993"</f>
        <v>201412004993</v>
      </c>
      <c r="H1874" t="s">
        <v>2478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3870</v>
      </c>
    </row>
    <row r="1875" spans="1:30" x14ac:dyDescent="0.25">
      <c r="H1875" t="s">
        <v>2410</v>
      </c>
    </row>
    <row r="1876" spans="1:30" x14ac:dyDescent="0.25">
      <c r="A1876">
        <v>935</v>
      </c>
      <c r="B1876">
        <v>2107</v>
      </c>
      <c r="C1876" t="s">
        <v>3871</v>
      </c>
      <c r="D1876" t="s">
        <v>1781</v>
      </c>
      <c r="E1876" t="s">
        <v>93</v>
      </c>
      <c r="F1876" t="s">
        <v>3872</v>
      </c>
      <c r="G1876" t="str">
        <f>"00146564"</f>
        <v>00146564</v>
      </c>
      <c r="H1876" t="s">
        <v>2478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3870</v>
      </c>
    </row>
    <row r="1877" spans="1:30" x14ac:dyDescent="0.25">
      <c r="H1877" t="s">
        <v>3873</v>
      </c>
    </row>
    <row r="1878" spans="1:30" x14ac:dyDescent="0.25">
      <c r="A1878">
        <v>936</v>
      </c>
      <c r="B1878">
        <v>2249</v>
      </c>
      <c r="C1878" t="s">
        <v>3874</v>
      </c>
      <c r="D1878" t="s">
        <v>3875</v>
      </c>
      <c r="E1878" t="s">
        <v>283</v>
      </c>
      <c r="F1878" t="s">
        <v>3876</v>
      </c>
      <c r="G1878" t="str">
        <f>"00320056"</f>
        <v>00320056</v>
      </c>
      <c r="H1878" t="s">
        <v>2095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2095</v>
      </c>
    </row>
    <row r="1879" spans="1:30" x14ac:dyDescent="0.25">
      <c r="H1879" t="s">
        <v>3877</v>
      </c>
    </row>
    <row r="1880" spans="1:30" x14ac:dyDescent="0.25">
      <c r="A1880">
        <v>937</v>
      </c>
      <c r="B1880">
        <v>2153</v>
      </c>
      <c r="C1880" t="s">
        <v>3878</v>
      </c>
      <c r="D1880" t="s">
        <v>92</v>
      </c>
      <c r="E1880" t="s">
        <v>55</v>
      </c>
      <c r="F1880" t="s">
        <v>3879</v>
      </c>
      <c r="G1880" t="str">
        <f>"00027894"</f>
        <v>00027894</v>
      </c>
      <c r="H1880">
        <v>627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Z1880">
        <v>0</v>
      </c>
      <c r="AA1880">
        <v>0</v>
      </c>
      <c r="AB1880">
        <v>0</v>
      </c>
      <c r="AC1880">
        <v>0</v>
      </c>
      <c r="AD1880">
        <v>657</v>
      </c>
    </row>
    <row r="1881" spans="1:30" x14ac:dyDescent="0.25">
      <c r="H1881" t="s">
        <v>3880</v>
      </c>
    </row>
    <row r="1882" spans="1:30" x14ac:dyDescent="0.25">
      <c r="A1882">
        <v>938</v>
      </c>
      <c r="B1882">
        <v>2250</v>
      </c>
      <c r="C1882" t="s">
        <v>3881</v>
      </c>
      <c r="D1882" t="s">
        <v>377</v>
      </c>
      <c r="E1882" t="s">
        <v>34</v>
      </c>
      <c r="F1882" t="s">
        <v>3882</v>
      </c>
      <c r="G1882" t="str">
        <f>"00302938"</f>
        <v>00302938</v>
      </c>
      <c r="H1882">
        <v>627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2</v>
      </c>
      <c r="AA1882">
        <v>0</v>
      </c>
      <c r="AB1882">
        <v>0</v>
      </c>
      <c r="AC1882">
        <v>0</v>
      </c>
      <c r="AD1882">
        <v>657</v>
      </c>
    </row>
    <row r="1883" spans="1:30" x14ac:dyDescent="0.25">
      <c r="H1883" t="s">
        <v>3883</v>
      </c>
    </row>
    <row r="1884" spans="1:30" x14ac:dyDescent="0.25">
      <c r="A1884">
        <v>939</v>
      </c>
      <c r="B1884">
        <v>1672</v>
      </c>
      <c r="C1884" t="s">
        <v>3884</v>
      </c>
      <c r="D1884" t="s">
        <v>3885</v>
      </c>
      <c r="E1884" t="s">
        <v>262</v>
      </c>
      <c r="F1884" t="s">
        <v>3886</v>
      </c>
      <c r="G1884" t="str">
        <f>"00298567"</f>
        <v>00298567</v>
      </c>
      <c r="H1884">
        <v>627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30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X1884">
        <v>0</v>
      </c>
      <c r="Z1884">
        <v>0</v>
      </c>
      <c r="AA1884">
        <v>0</v>
      </c>
      <c r="AB1884">
        <v>0</v>
      </c>
      <c r="AC1884">
        <v>0</v>
      </c>
      <c r="AD1884">
        <v>657</v>
      </c>
    </row>
    <row r="1885" spans="1:30" x14ac:dyDescent="0.25">
      <c r="H1885" t="s">
        <v>3887</v>
      </c>
    </row>
    <row r="1886" spans="1:30" x14ac:dyDescent="0.25">
      <c r="A1886">
        <v>940</v>
      </c>
      <c r="B1886">
        <v>346</v>
      </c>
      <c r="C1886" t="s">
        <v>3888</v>
      </c>
      <c r="D1886" t="s">
        <v>3889</v>
      </c>
      <c r="E1886" t="s">
        <v>93</v>
      </c>
      <c r="F1886" t="s">
        <v>3890</v>
      </c>
      <c r="G1886" t="str">
        <f>"201412002455"</f>
        <v>201412002455</v>
      </c>
      <c r="H1886" t="s">
        <v>3891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X1886">
        <v>0</v>
      </c>
      <c r="Z1886">
        <v>2</v>
      </c>
      <c r="AA1886">
        <v>0</v>
      </c>
      <c r="AB1886">
        <v>0</v>
      </c>
      <c r="AC1886">
        <v>0</v>
      </c>
      <c r="AD1886" t="s">
        <v>3892</v>
      </c>
    </row>
    <row r="1887" spans="1:30" x14ac:dyDescent="0.25">
      <c r="H1887" t="s">
        <v>3893</v>
      </c>
    </row>
    <row r="1888" spans="1:30" x14ac:dyDescent="0.25">
      <c r="A1888">
        <v>941</v>
      </c>
      <c r="B1888">
        <v>4667</v>
      </c>
      <c r="C1888" t="s">
        <v>3894</v>
      </c>
      <c r="D1888" t="s">
        <v>55</v>
      </c>
      <c r="E1888" t="s">
        <v>34</v>
      </c>
      <c r="F1888" t="s">
        <v>3895</v>
      </c>
      <c r="G1888" t="str">
        <f>"00217606"</f>
        <v>00217606</v>
      </c>
      <c r="H1888" t="s">
        <v>3891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X1888">
        <v>0</v>
      </c>
      <c r="Z1888">
        <v>2</v>
      </c>
      <c r="AA1888">
        <v>0</v>
      </c>
      <c r="AB1888">
        <v>0</v>
      </c>
      <c r="AC1888">
        <v>0</v>
      </c>
      <c r="AD1888" t="s">
        <v>3892</v>
      </c>
    </row>
    <row r="1889" spans="1:30" x14ac:dyDescent="0.25">
      <c r="H1889" t="s">
        <v>3896</v>
      </c>
    </row>
    <row r="1890" spans="1:30" x14ac:dyDescent="0.25">
      <c r="A1890">
        <v>942</v>
      </c>
      <c r="B1890">
        <v>5160</v>
      </c>
      <c r="C1890" t="s">
        <v>3897</v>
      </c>
      <c r="D1890" t="s">
        <v>3898</v>
      </c>
      <c r="E1890" t="s">
        <v>3899</v>
      </c>
      <c r="F1890" t="s">
        <v>3900</v>
      </c>
      <c r="G1890" t="str">
        <f>"00217499"</f>
        <v>00217499</v>
      </c>
      <c r="H1890" t="s">
        <v>1754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30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3901</v>
      </c>
    </row>
    <row r="1891" spans="1:30" x14ac:dyDescent="0.25">
      <c r="H1891" t="s">
        <v>3902</v>
      </c>
    </row>
    <row r="1892" spans="1:30" x14ac:dyDescent="0.25">
      <c r="A1892">
        <v>943</v>
      </c>
      <c r="B1892">
        <v>3166</v>
      </c>
      <c r="C1892" t="s">
        <v>3903</v>
      </c>
      <c r="D1892" t="s">
        <v>29</v>
      </c>
      <c r="E1892" t="s">
        <v>3904</v>
      </c>
      <c r="F1892" t="s">
        <v>3905</v>
      </c>
      <c r="G1892" t="str">
        <f>"00338523"</f>
        <v>00338523</v>
      </c>
      <c r="H1892" t="s">
        <v>1754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Z1892">
        <v>2</v>
      </c>
      <c r="AA1892">
        <v>0</v>
      </c>
      <c r="AB1892">
        <v>0</v>
      </c>
      <c r="AC1892">
        <v>0</v>
      </c>
      <c r="AD1892" t="s">
        <v>3901</v>
      </c>
    </row>
    <row r="1893" spans="1:30" x14ac:dyDescent="0.25">
      <c r="H1893" t="s">
        <v>3906</v>
      </c>
    </row>
    <row r="1895" spans="1:30" x14ac:dyDescent="0.25">
      <c r="A1895" t="s">
        <v>3907</v>
      </c>
    </row>
    <row r="1896" spans="1:30" x14ac:dyDescent="0.25">
      <c r="A1896" t="s">
        <v>3908</v>
      </c>
    </row>
    <row r="1897" spans="1:30" x14ac:dyDescent="0.25">
      <c r="A1897" t="s">
        <v>3909</v>
      </c>
    </row>
    <row r="1898" spans="1:30" x14ac:dyDescent="0.25">
      <c r="A1898" t="s">
        <v>3910</v>
      </c>
    </row>
    <row r="1899" spans="1:30" x14ac:dyDescent="0.25">
      <c r="A1899" t="s">
        <v>3911</v>
      </c>
    </row>
    <row r="1900" spans="1:30" x14ac:dyDescent="0.25">
      <c r="A1900" t="s">
        <v>3912</v>
      </c>
    </row>
    <row r="1901" spans="1:30" x14ac:dyDescent="0.25">
      <c r="A1901" t="s">
        <v>3913</v>
      </c>
    </row>
    <row r="1902" spans="1:30" x14ac:dyDescent="0.25">
      <c r="A1902" t="s">
        <v>3914</v>
      </c>
    </row>
    <row r="1903" spans="1:30" x14ac:dyDescent="0.25">
      <c r="A1903" t="s">
        <v>3915</v>
      </c>
    </row>
    <row r="1904" spans="1:30" x14ac:dyDescent="0.25">
      <c r="A1904" t="s">
        <v>3916</v>
      </c>
    </row>
    <row r="1905" spans="1:1" x14ac:dyDescent="0.25">
      <c r="A1905" t="s">
        <v>3917</v>
      </c>
    </row>
    <row r="1906" spans="1:1" x14ac:dyDescent="0.25">
      <c r="A1906" t="s">
        <v>3918</v>
      </c>
    </row>
    <row r="1907" spans="1:1" x14ac:dyDescent="0.25">
      <c r="A1907" t="s">
        <v>3919</v>
      </c>
    </row>
    <row r="1908" spans="1:1" x14ac:dyDescent="0.25">
      <c r="A1908" t="s">
        <v>3920</v>
      </c>
    </row>
    <row r="1909" spans="1:1" x14ac:dyDescent="0.25">
      <c r="A1909" t="s">
        <v>3921</v>
      </c>
    </row>
    <row r="1910" spans="1:1" x14ac:dyDescent="0.25">
      <c r="A1910" t="s">
        <v>3922</v>
      </c>
    </row>
    <row r="1911" spans="1:1" x14ac:dyDescent="0.25">
      <c r="A1911" t="s">
        <v>3923</v>
      </c>
    </row>
    <row r="1912" spans="1:1" x14ac:dyDescent="0.25">
      <c r="A1912" t="s">
        <v>3924</v>
      </c>
    </row>
    <row r="1913" spans="1:1" x14ac:dyDescent="0.25">
      <c r="A1913" t="s">
        <v>3925</v>
      </c>
    </row>
    <row r="1914" spans="1:1" x14ac:dyDescent="0.25">
      <c r="A1914" t="s">
        <v>3926</v>
      </c>
    </row>
    <row r="1915" spans="1:1" x14ac:dyDescent="0.25">
      <c r="A1915" t="s">
        <v>3927</v>
      </c>
    </row>
    <row r="1916" spans="1:1" x14ac:dyDescent="0.25">
      <c r="A1916" t="s">
        <v>3928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2018-03-28T09:31:02Z</dcterms:created>
  <dcterms:modified xsi:type="dcterms:W3CDTF">2018-03-28T09:31:09Z</dcterms:modified>
</cp:coreProperties>
</file>