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4826" i="1" l="1"/>
  <c r="G4824" i="1"/>
  <c r="G4822" i="1"/>
  <c r="G4820" i="1"/>
  <c r="G4818" i="1"/>
  <c r="G4816" i="1"/>
  <c r="G4814" i="1"/>
  <c r="G4812" i="1"/>
  <c r="G4810" i="1"/>
  <c r="G4808" i="1"/>
  <c r="G4806" i="1"/>
  <c r="G4804" i="1"/>
  <c r="G4802" i="1"/>
  <c r="G4800" i="1"/>
  <c r="G4798" i="1"/>
  <c r="G4796" i="1"/>
  <c r="G4794" i="1"/>
  <c r="G4792" i="1"/>
  <c r="G4790" i="1"/>
  <c r="G4788" i="1"/>
  <c r="G4786" i="1"/>
  <c r="G4784" i="1"/>
  <c r="G4782" i="1"/>
  <c r="G4780" i="1"/>
  <c r="G4778" i="1"/>
  <c r="G4776" i="1"/>
  <c r="G4774" i="1"/>
  <c r="G4772" i="1"/>
  <c r="G4770" i="1"/>
  <c r="G4768" i="1"/>
  <c r="G4766" i="1"/>
  <c r="G4764" i="1"/>
  <c r="G4762" i="1"/>
  <c r="G4760" i="1"/>
  <c r="G4758" i="1"/>
  <c r="G4756" i="1"/>
  <c r="G4754" i="1"/>
  <c r="G4752" i="1"/>
  <c r="G4750" i="1"/>
  <c r="G4748" i="1"/>
  <c r="G4746" i="1"/>
  <c r="G4744" i="1"/>
  <c r="G4742" i="1"/>
  <c r="G4740" i="1"/>
  <c r="G4738" i="1"/>
  <c r="G4736" i="1"/>
  <c r="G4734" i="1"/>
  <c r="G4732" i="1"/>
  <c r="G4730" i="1"/>
  <c r="G4728" i="1"/>
  <c r="G4726" i="1"/>
  <c r="G4724" i="1"/>
  <c r="G4722" i="1"/>
  <c r="G4720" i="1"/>
  <c r="G4718" i="1"/>
  <c r="G4716" i="1"/>
  <c r="G4714" i="1"/>
  <c r="G4712" i="1"/>
  <c r="G4710" i="1"/>
  <c r="G4708" i="1"/>
  <c r="G4706" i="1"/>
  <c r="G4704" i="1"/>
  <c r="G4702" i="1"/>
  <c r="G4700" i="1"/>
  <c r="G4698" i="1"/>
  <c r="G4696" i="1"/>
  <c r="G4694" i="1"/>
  <c r="G4692" i="1"/>
  <c r="G4690" i="1"/>
  <c r="G4688" i="1"/>
  <c r="G4686" i="1"/>
  <c r="G4684" i="1"/>
  <c r="G4682" i="1"/>
  <c r="G4680" i="1"/>
  <c r="G4678" i="1"/>
  <c r="G4676" i="1"/>
  <c r="G4674" i="1"/>
  <c r="G4672" i="1"/>
  <c r="G4670" i="1"/>
  <c r="G4668" i="1"/>
  <c r="G4666" i="1"/>
  <c r="G4664" i="1"/>
  <c r="G4662" i="1"/>
  <c r="G4660" i="1"/>
  <c r="G4658" i="1"/>
  <c r="G4656" i="1"/>
  <c r="G4654" i="1"/>
  <c r="G4652" i="1"/>
  <c r="G4650" i="1"/>
  <c r="G4648" i="1"/>
  <c r="G4646" i="1"/>
  <c r="G4644" i="1"/>
  <c r="G4642" i="1"/>
  <c r="G4640" i="1"/>
  <c r="G4638" i="1"/>
  <c r="G4636" i="1"/>
  <c r="G4634" i="1"/>
  <c r="G4632" i="1"/>
  <c r="G4630" i="1"/>
  <c r="G4628" i="1"/>
  <c r="G4626" i="1"/>
  <c r="G4624" i="1"/>
  <c r="G4622" i="1"/>
  <c r="G4620" i="1"/>
  <c r="G4618" i="1"/>
  <c r="G4616" i="1"/>
  <c r="G4614" i="1"/>
  <c r="G4612" i="1"/>
  <c r="G4610" i="1"/>
  <c r="G4608" i="1"/>
  <c r="G4606" i="1"/>
  <c r="G4604" i="1"/>
  <c r="G4602" i="1"/>
  <c r="G4600" i="1"/>
  <c r="G4598" i="1"/>
  <c r="G4596" i="1"/>
  <c r="G4594" i="1"/>
  <c r="G4592" i="1"/>
  <c r="G4590" i="1"/>
  <c r="G4588" i="1"/>
  <c r="G4586" i="1"/>
  <c r="G4584" i="1"/>
  <c r="G4582" i="1"/>
  <c r="G4580" i="1"/>
  <c r="G4578" i="1"/>
  <c r="G4576" i="1"/>
  <c r="G4574" i="1"/>
  <c r="G4572" i="1"/>
  <c r="G4570" i="1"/>
  <c r="G4568" i="1"/>
  <c r="G4566" i="1"/>
  <c r="G4564" i="1"/>
  <c r="G4562" i="1"/>
  <c r="G4560" i="1"/>
  <c r="G4558" i="1"/>
  <c r="G4556" i="1"/>
  <c r="G4554" i="1"/>
  <c r="G4552" i="1"/>
  <c r="G4550" i="1"/>
  <c r="G4548" i="1"/>
  <c r="G4546" i="1"/>
  <c r="G4544" i="1"/>
  <c r="G4542" i="1"/>
  <c r="G4540" i="1"/>
  <c r="G4538" i="1"/>
  <c r="G4536" i="1"/>
  <c r="G4534" i="1"/>
  <c r="G4532" i="1"/>
  <c r="G4530" i="1"/>
  <c r="G4528" i="1"/>
  <c r="G4526" i="1"/>
  <c r="G4524" i="1"/>
  <c r="G4522" i="1"/>
  <c r="G4520" i="1"/>
  <c r="G4518" i="1"/>
  <c r="G4516" i="1"/>
  <c r="G4514" i="1"/>
  <c r="G4512" i="1"/>
  <c r="G4510" i="1"/>
  <c r="G4508" i="1"/>
  <c r="G4506" i="1"/>
  <c r="G4504" i="1"/>
  <c r="G4502" i="1"/>
  <c r="G4500" i="1"/>
  <c r="G4498" i="1"/>
  <c r="G4496" i="1"/>
  <c r="G4494" i="1"/>
  <c r="G4492" i="1"/>
  <c r="G4490" i="1"/>
  <c r="G4488" i="1"/>
  <c r="G4486" i="1"/>
  <c r="G4484" i="1"/>
  <c r="G4482" i="1"/>
  <c r="G4480" i="1"/>
  <c r="G4478" i="1"/>
  <c r="G4476" i="1"/>
  <c r="G4474" i="1"/>
  <c r="G4472" i="1"/>
  <c r="G4470" i="1"/>
  <c r="G4468" i="1"/>
  <c r="G4466" i="1"/>
  <c r="G4464" i="1"/>
  <c r="G4462" i="1"/>
  <c r="G4460" i="1"/>
  <c r="G4458" i="1"/>
  <c r="G4456" i="1"/>
  <c r="G4454" i="1"/>
  <c r="G4452" i="1"/>
  <c r="G4450" i="1"/>
  <c r="G4448" i="1"/>
  <c r="G4446" i="1"/>
  <c r="G4444" i="1"/>
  <c r="G4442" i="1"/>
  <c r="G4440" i="1"/>
  <c r="G4438" i="1"/>
  <c r="G4436" i="1"/>
  <c r="G4434" i="1"/>
  <c r="G4432" i="1"/>
  <c r="G4430" i="1"/>
  <c r="G4428" i="1"/>
  <c r="G4426" i="1"/>
  <c r="G4424" i="1"/>
  <c r="G4422" i="1"/>
  <c r="G4420" i="1"/>
  <c r="G4418" i="1"/>
  <c r="G4416" i="1"/>
  <c r="G4414" i="1"/>
  <c r="G4412" i="1"/>
  <c r="G4410" i="1"/>
  <c r="G4408" i="1"/>
  <c r="G4406" i="1"/>
  <c r="G4404" i="1"/>
  <c r="G4402" i="1"/>
  <c r="G4400" i="1"/>
  <c r="G4398" i="1"/>
  <c r="G4396" i="1"/>
  <c r="G4394" i="1"/>
  <c r="G4392" i="1"/>
  <c r="G4390" i="1"/>
  <c r="G4388" i="1"/>
  <c r="G4386" i="1"/>
  <c r="G4384" i="1"/>
  <c r="G4382" i="1"/>
  <c r="G4380" i="1"/>
  <c r="G4378" i="1"/>
  <c r="G4376" i="1"/>
  <c r="G4374" i="1"/>
  <c r="G4372" i="1"/>
  <c r="G4370" i="1"/>
  <c r="G4368" i="1"/>
  <c r="G4366" i="1"/>
  <c r="G4364" i="1"/>
  <c r="G4362" i="1"/>
  <c r="G4360" i="1"/>
  <c r="G4358" i="1"/>
  <c r="G4356" i="1"/>
  <c r="G4354" i="1"/>
  <c r="G4352" i="1"/>
  <c r="G4350" i="1"/>
  <c r="G4348" i="1"/>
  <c r="G4346" i="1"/>
  <c r="G4344" i="1"/>
  <c r="G4342" i="1"/>
  <c r="G4340" i="1"/>
  <c r="G4338" i="1"/>
  <c r="G4336" i="1"/>
  <c r="G4334" i="1"/>
  <c r="G4332" i="1"/>
  <c r="G4330" i="1"/>
  <c r="G4328" i="1"/>
  <c r="G4326" i="1"/>
  <c r="G4324" i="1"/>
  <c r="G4322" i="1"/>
  <c r="G4320" i="1"/>
  <c r="G4318" i="1"/>
  <c r="G4316" i="1"/>
  <c r="G4314" i="1"/>
  <c r="G4312" i="1"/>
  <c r="G4310" i="1"/>
  <c r="G4308" i="1"/>
  <c r="G4306" i="1"/>
  <c r="G4304" i="1"/>
  <c r="G4302" i="1"/>
  <c r="G4300" i="1"/>
  <c r="G4298" i="1"/>
  <c r="G4296" i="1"/>
  <c r="G4294" i="1"/>
  <c r="G4292" i="1"/>
  <c r="G4290" i="1"/>
  <c r="G4288" i="1"/>
  <c r="G4286" i="1"/>
  <c r="G4284" i="1"/>
  <c r="G4282" i="1"/>
  <c r="G4280" i="1"/>
  <c r="G4278" i="1"/>
  <c r="G4276" i="1"/>
  <c r="G4274" i="1"/>
  <c r="G4272" i="1"/>
  <c r="G4270" i="1"/>
  <c r="G4268" i="1"/>
  <c r="G4266" i="1"/>
  <c r="G4264" i="1"/>
  <c r="G4262" i="1"/>
  <c r="G4260" i="1"/>
  <c r="G4258" i="1"/>
  <c r="G4256" i="1"/>
  <c r="G4254" i="1"/>
  <c r="G4252" i="1"/>
  <c r="G4250" i="1"/>
  <c r="G4248" i="1"/>
  <c r="G4246" i="1"/>
  <c r="G4244" i="1"/>
  <c r="G4242" i="1"/>
  <c r="G4240" i="1"/>
  <c r="G4238" i="1"/>
  <c r="G4236" i="1"/>
  <c r="G4234" i="1"/>
  <c r="G4232" i="1"/>
  <c r="G4230" i="1"/>
  <c r="G4228" i="1"/>
  <c r="G4226" i="1"/>
  <c r="G4224" i="1"/>
  <c r="G4222" i="1"/>
  <c r="G4220" i="1"/>
  <c r="G4218" i="1"/>
  <c r="G4216" i="1"/>
  <c r="G4214" i="1"/>
  <c r="G4212" i="1"/>
  <c r="G4210" i="1"/>
  <c r="G4208" i="1"/>
  <c r="G4206" i="1"/>
  <c r="G4204" i="1"/>
  <c r="G4202" i="1"/>
  <c r="G4200" i="1"/>
  <c r="G4198" i="1"/>
  <c r="G4196" i="1"/>
  <c r="G4194" i="1"/>
  <c r="G4192" i="1"/>
  <c r="G4190" i="1"/>
  <c r="G4188" i="1"/>
  <c r="G4186" i="1"/>
  <c r="G4184" i="1"/>
  <c r="G4182" i="1"/>
  <c r="G4180" i="1"/>
  <c r="G4178" i="1"/>
  <c r="G4176" i="1"/>
  <c r="G4174" i="1"/>
  <c r="G4172" i="1"/>
  <c r="G4170" i="1"/>
  <c r="G4168" i="1"/>
  <c r="G4166" i="1"/>
  <c r="G4164" i="1"/>
  <c r="G4162" i="1"/>
  <c r="G4160" i="1"/>
  <c r="G4158" i="1"/>
  <c r="G4156" i="1"/>
  <c r="G4154" i="1"/>
  <c r="G4152" i="1"/>
  <c r="G4150" i="1"/>
  <c r="G4148" i="1"/>
  <c r="G4146" i="1"/>
  <c r="G4144" i="1"/>
  <c r="G4142" i="1"/>
  <c r="G4140" i="1"/>
  <c r="G4138" i="1"/>
  <c r="G4136" i="1"/>
  <c r="G4134" i="1"/>
  <c r="G4132" i="1"/>
  <c r="G4130" i="1"/>
  <c r="G4128" i="1"/>
  <c r="G4126" i="1"/>
  <c r="G4124" i="1"/>
  <c r="G4122" i="1"/>
  <c r="G4120" i="1"/>
  <c r="G4118" i="1"/>
  <c r="G4116" i="1"/>
  <c r="G4114" i="1"/>
  <c r="G4112" i="1"/>
  <c r="G4110" i="1"/>
  <c r="G4108" i="1"/>
  <c r="G4106" i="1"/>
  <c r="G4104" i="1"/>
  <c r="G4102" i="1"/>
  <c r="G4100" i="1"/>
  <c r="G4098" i="1"/>
  <c r="G4096" i="1"/>
  <c r="G4094" i="1"/>
  <c r="G4092" i="1"/>
  <c r="G4090" i="1"/>
  <c r="G4088" i="1"/>
  <c r="G4086" i="1"/>
  <c r="G4084" i="1"/>
  <c r="G4082" i="1"/>
  <c r="G4080" i="1"/>
  <c r="G4078" i="1"/>
  <c r="G4076" i="1"/>
  <c r="G4074" i="1"/>
  <c r="G4072" i="1"/>
  <c r="G4070" i="1"/>
  <c r="G4068" i="1"/>
  <c r="G4066" i="1"/>
  <c r="G4064" i="1"/>
  <c r="G4062" i="1"/>
  <c r="G4060" i="1"/>
  <c r="G4058" i="1"/>
  <c r="G4056" i="1"/>
  <c r="G4054" i="1"/>
  <c r="G4052" i="1"/>
  <c r="G4050" i="1"/>
  <c r="G4048" i="1"/>
  <c r="G4046" i="1"/>
  <c r="G4044" i="1"/>
  <c r="G4042" i="1"/>
  <c r="G4040" i="1"/>
  <c r="G4038" i="1"/>
  <c r="G4036" i="1"/>
  <c r="G4034" i="1"/>
  <c r="G4032" i="1"/>
  <c r="G4030" i="1"/>
  <c r="G4028" i="1"/>
  <c r="G4026" i="1"/>
  <c r="G4024" i="1"/>
  <c r="G4022" i="1"/>
  <c r="G4020" i="1"/>
  <c r="G4018" i="1"/>
  <c r="G4016" i="1"/>
  <c r="G4014" i="1"/>
  <c r="G4012" i="1"/>
  <c r="G4010" i="1"/>
  <c r="G4008" i="1"/>
  <c r="G4006" i="1"/>
  <c r="G4004" i="1"/>
  <c r="G4002" i="1"/>
  <c r="G4000" i="1"/>
  <c r="G3998" i="1"/>
  <c r="G3996" i="1"/>
  <c r="G3994" i="1"/>
  <c r="G3992" i="1"/>
  <c r="G3990" i="1"/>
  <c r="G3988" i="1"/>
  <c r="G3986" i="1"/>
  <c r="G3984" i="1"/>
  <c r="G3982" i="1"/>
  <c r="G3980" i="1"/>
  <c r="G3978" i="1"/>
  <c r="G3976" i="1"/>
  <c r="G3974" i="1"/>
  <c r="G3972" i="1"/>
  <c r="G3970" i="1"/>
  <c r="G3968" i="1"/>
  <c r="G3966" i="1"/>
  <c r="G3964" i="1"/>
  <c r="G3962" i="1"/>
  <c r="G3960" i="1"/>
  <c r="G3958" i="1"/>
  <c r="G3956" i="1"/>
  <c r="G3954" i="1"/>
  <c r="G3952" i="1"/>
  <c r="G3950" i="1"/>
  <c r="G3948" i="1"/>
  <c r="G3946" i="1"/>
  <c r="G3944" i="1"/>
  <c r="G3942" i="1"/>
  <c r="G3940" i="1"/>
  <c r="G3938" i="1"/>
  <c r="G3936" i="1"/>
  <c r="G3934" i="1"/>
  <c r="G3932" i="1"/>
  <c r="G3930" i="1"/>
  <c r="G3928" i="1"/>
  <c r="G3926" i="1"/>
  <c r="G3924" i="1"/>
  <c r="G3922" i="1"/>
  <c r="G3920" i="1"/>
  <c r="G3918" i="1"/>
  <c r="G3916" i="1"/>
  <c r="G3914" i="1"/>
  <c r="G3912" i="1"/>
  <c r="G3910" i="1"/>
  <c r="G3908" i="1"/>
  <c r="G3906" i="1"/>
  <c r="G3904" i="1"/>
  <c r="G3902" i="1"/>
  <c r="G3900" i="1"/>
  <c r="G3898" i="1"/>
  <c r="G3896" i="1"/>
  <c r="G3894" i="1"/>
  <c r="G3892" i="1"/>
  <c r="G3890" i="1"/>
  <c r="G3888" i="1"/>
  <c r="G3886" i="1"/>
  <c r="G3884" i="1"/>
  <c r="G3882" i="1"/>
  <c r="G3880" i="1"/>
  <c r="G3878" i="1"/>
  <c r="G3876" i="1"/>
  <c r="G3874" i="1"/>
  <c r="G3872" i="1"/>
  <c r="G3870" i="1"/>
  <c r="G3868" i="1"/>
  <c r="G3866" i="1"/>
  <c r="G3864" i="1"/>
  <c r="G3862" i="1"/>
  <c r="G3860" i="1"/>
  <c r="G3858" i="1"/>
  <c r="G3856" i="1"/>
  <c r="G3854" i="1"/>
  <c r="G3852" i="1"/>
  <c r="G3850" i="1"/>
  <c r="G3848" i="1"/>
  <c r="G3846" i="1"/>
  <c r="G3844" i="1"/>
  <c r="G3842" i="1"/>
  <c r="G3840" i="1"/>
  <c r="G3838" i="1"/>
  <c r="G3836" i="1"/>
  <c r="G3834" i="1"/>
  <c r="G3832" i="1"/>
  <c r="G3830" i="1"/>
  <c r="G3828" i="1"/>
  <c r="G3826" i="1"/>
  <c r="G3824" i="1"/>
  <c r="G3822" i="1"/>
  <c r="G3820" i="1"/>
  <c r="G3818" i="1"/>
  <c r="G3816" i="1"/>
  <c r="G3814" i="1"/>
  <c r="G3812" i="1"/>
  <c r="G3810" i="1"/>
  <c r="G3808" i="1"/>
  <c r="G3806" i="1"/>
  <c r="G3804" i="1"/>
  <c r="G3802" i="1"/>
  <c r="G3800" i="1"/>
  <c r="G3798" i="1"/>
  <c r="G3796" i="1"/>
  <c r="G3794" i="1"/>
  <c r="G3792" i="1"/>
  <c r="G3790" i="1"/>
  <c r="G3788" i="1"/>
  <c r="G3786" i="1"/>
  <c r="G3784" i="1"/>
  <c r="G3782" i="1"/>
  <c r="G3780" i="1"/>
  <c r="G3778" i="1"/>
  <c r="G3776" i="1"/>
  <c r="G3774" i="1"/>
  <c r="G3772" i="1"/>
  <c r="G3770" i="1"/>
  <c r="G3768" i="1"/>
  <c r="G3766" i="1"/>
  <c r="G3764" i="1"/>
  <c r="G3762" i="1"/>
  <c r="G3760" i="1"/>
  <c r="G3758" i="1"/>
  <c r="G3756" i="1"/>
  <c r="G3754" i="1"/>
  <c r="G3752" i="1"/>
  <c r="G3750" i="1"/>
  <c r="G3748" i="1"/>
  <c r="G3746" i="1"/>
  <c r="G3744" i="1"/>
  <c r="G3742" i="1"/>
  <c r="G3740" i="1"/>
  <c r="G3738" i="1"/>
  <c r="G3736" i="1"/>
  <c r="G3734" i="1"/>
  <c r="G3732" i="1"/>
  <c r="G3730" i="1"/>
  <c r="G3728" i="1"/>
  <c r="G3726" i="1"/>
  <c r="G3724" i="1"/>
  <c r="G3722" i="1"/>
  <c r="G3720" i="1"/>
  <c r="G3718" i="1"/>
  <c r="G3716" i="1"/>
  <c r="G3714" i="1"/>
  <c r="G3712" i="1"/>
  <c r="G3710" i="1"/>
  <c r="G3708" i="1"/>
  <c r="G3706" i="1"/>
  <c r="G3704" i="1"/>
  <c r="G3702" i="1"/>
  <c r="G3700" i="1"/>
  <c r="G3698" i="1"/>
  <c r="G3696" i="1"/>
  <c r="G3694" i="1"/>
  <c r="G3692" i="1"/>
  <c r="G3690" i="1"/>
  <c r="G3688" i="1"/>
  <c r="G3686" i="1"/>
  <c r="G3684" i="1"/>
  <c r="G3682" i="1"/>
  <c r="G3680" i="1"/>
  <c r="G3678" i="1"/>
  <c r="G3676" i="1"/>
  <c r="G3674" i="1"/>
  <c r="G3672" i="1"/>
  <c r="G3670" i="1"/>
  <c r="G3668" i="1"/>
  <c r="G3666" i="1"/>
  <c r="G3664" i="1"/>
  <c r="G3662" i="1"/>
  <c r="G3660" i="1"/>
  <c r="G3658" i="1"/>
  <c r="G3656" i="1"/>
  <c r="G3654" i="1"/>
  <c r="G3652" i="1"/>
  <c r="G3650" i="1"/>
  <c r="G3648" i="1"/>
  <c r="G3646" i="1"/>
  <c r="G3644" i="1"/>
  <c r="G3642" i="1"/>
  <c r="G3640" i="1"/>
  <c r="G3638" i="1"/>
  <c r="G3636" i="1"/>
  <c r="G3634" i="1"/>
  <c r="G3632" i="1"/>
  <c r="G3630" i="1"/>
  <c r="G3628" i="1"/>
  <c r="G3626" i="1"/>
  <c r="G3624" i="1"/>
  <c r="G3622" i="1"/>
  <c r="G3620" i="1"/>
  <c r="G3618" i="1"/>
  <c r="G3616" i="1"/>
  <c r="G3614" i="1"/>
  <c r="G3612" i="1"/>
  <c r="G3610" i="1"/>
  <c r="G3608" i="1"/>
  <c r="G3606" i="1"/>
  <c r="G3604" i="1"/>
  <c r="G3602" i="1"/>
  <c r="G3600" i="1"/>
  <c r="G3598" i="1"/>
  <c r="G3596" i="1"/>
  <c r="G3594" i="1"/>
  <c r="G3592" i="1"/>
  <c r="G3590" i="1"/>
  <c r="G3588" i="1"/>
  <c r="G3586" i="1"/>
  <c r="G3584" i="1"/>
  <c r="G3582" i="1"/>
  <c r="G3580" i="1"/>
  <c r="G3578" i="1"/>
  <c r="G3576" i="1"/>
  <c r="G3574" i="1"/>
  <c r="G3572" i="1"/>
  <c r="G3570" i="1"/>
  <c r="G3568" i="1"/>
  <c r="G3566" i="1"/>
  <c r="G3564" i="1"/>
  <c r="G3562" i="1"/>
  <c r="G3560" i="1"/>
  <c r="G3558" i="1"/>
  <c r="G3556" i="1"/>
  <c r="G3554" i="1"/>
  <c r="G3552" i="1"/>
  <c r="G3550" i="1"/>
  <c r="G3548" i="1"/>
  <c r="G3546" i="1"/>
  <c r="G3544" i="1"/>
  <c r="G3542" i="1"/>
  <c r="G3540" i="1"/>
  <c r="G3538" i="1"/>
  <c r="G3536" i="1"/>
  <c r="G3534" i="1"/>
  <c r="G3532" i="1"/>
  <c r="G3530" i="1"/>
  <c r="G3528" i="1"/>
  <c r="G3526" i="1"/>
  <c r="G3524" i="1"/>
  <c r="G3522" i="1"/>
  <c r="G3520" i="1"/>
  <c r="G3518" i="1"/>
  <c r="G3516" i="1"/>
  <c r="G3514" i="1"/>
  <c r="G3512" i="1"/>
  <c r="G3510" i="1"/>
  <c r="G3508" i="1"/>
  <c r="G3506" i="1"/>
  <c r="G3504" i="1"/>
  <c r="G3502" i="1"/>
  <c r="G3500" i="1"/>
  <c r="G3498" i="1"/>
  <c r="G3496" i="1"/>
  <c r="G3494" i="1"/>
  <c r="G3492" i="1"/>
  <c r="G3490" i="1"/>
  <c r="G3488" i="1"/>
  <c r="G3486" i="1"/>
  <c r="G3484" i="1"/>
  <c r="G3482" i="1"/>
  <c r="G3480" i="1"/>
  <c r="G3478" i="1"/>
  <c r="G3476" i="1"/>
  <c r="G3474" i="1"/>
  <c r="G3472" i="1"/>
  <c r="G3470" i="1"/>
  <c r="G3468" i="1"/>
  <c r="G3466" i="1"/>
  <c r="G3464" i="1"/>
  <c r="G3462" i="1"/>
  <c r="G3460" i="1"/>
  <c r="G3458" i="1"/>
  <c r="G3456" i="1"/>
  <c r="G3454" i="1"/>
  <c r="G3452" i="1"/>
  <c r="G3450" i="1"/>
  <c r="G3448" i="1"/>
  <c r="G3446" i="1"/>
  <c r="G3444" i="1"/>
  <c r="G3442" i="1"/>
  <c r="G3440" i="1"/>
  <c r="G3438" i="1"/>
  <c r="G3436" i="1"/>
  <c r="G3434" i="1"/>
  <c r="G3432" i="1"/>
  <c r="G3430" i="1"/>
  <c r="G3428" i="1"/>
  <c r="G3426" i="1"/>
  <c r="G3424" i="1"/>
  <c r="G3422" i="1"/>
  <c r="G3420" i="1"/>
  <c r="G3418" i="1"/>
  <c r="G3416" i="1"/>
  <c r="G3414" i="1"/>
  <c r="G3412" i="1"/>
  <c r="G3410" i="1"/>
  <c r="G3408" i="1"/>
  <c r="G3406" i="1"/>
  <c r="G3404" i="1"/>
  <c r="G3402" i="1"/>
  <c r="G3400" i="1"/>
  <c r="G3398" i="1"/>
  <c r="G3396" i="1"/>
  <c r="G3394" i="1"/>
  <c r="G3392" i="1"/>
  <c r="G3390" i="1"/>
  <c r="G3388" i="1"/>
  <c r="G3386" i="1"/>
  <c r="G3384" i="1"/>
  <c r="G3382" i="1"/>
  <c r="G3380" i="1"/>
  <c r="G3378" i="1"/>
  <c r="G3376" i="1"/>
  <c r="G3374" i="1"/>
  <c r="G3372" i="1"/>
  <c r="G3370" i="1"/>
  <c r="G3368" i="1"/>
  <c r="G3366" i="1"/>
  <c r="G3364" i="1"/>
  <c r="G3362" i="1"/>
  <c r="G3360" i="1"/>
  <c r="G3358" i="1"/>
  <c r="G3356" i="1"/>
  <c r="G3354" i="1"/>
  <c r="G3352" i="1"/>
  <c r="G3350" i="1"/>
  <c r="G3348" i="1"/>
  <c r="G3346" i="1"/>
  <c r="G3344" i="1"/>
  <c r="G3342" i="1"/>
  <c r="G3340" i="1"/>
  <c r="G3338" i="1"/>
  <c r="G3336" i="1"/>
  <c r="G3334" i="1"/>
  <c r="G3332" i="1"/>
  <c r="G3330" i="1"/>
  <c r="G3328" i="1"/>
  <c r="G3326" i="1"/>
  <c r="G3324" i="1"/>
  <c r="G3322" i="1"/>
  <c r="G3320" i="1"/>
  <c r="G3318" i="1"/>
  <c r="G3316" i="1"/>
  <c r="G3314" i="1"/>
  <c r="G3312" i="1"/>
  <c r="G3310" i="1"/>
  <c r="G3308" i="1"/>
  <c r="G3306" i="1"/>
  <c r="G3304" i="1"/>
  <c r="G3302" i="1"/>
  <c r="G3300" i="1"/>
  <c r="G3298" i="1"/>
  <c r="G3296" i="1"/>
  <c r="G3294" i="1"/>
  <c r="G3292" i="1"/>
  <c r="G3290" i="1"/>
  <c r="G3288" i="1"/>
  <c r="G3286" i="1"/>
  <c r="G3284" i="1"/>
  <c r="G3282" i="1"/>
  <c r="G3280" i="1"/>
  <c r="G3278" i="1"/>
  <c r="G3276" i="1"/>
  <c r="G3274" i="1"/>
  <c r="G3272" i="1"/>
  <c r="G3270" i="1"/>
  <c r="G3268" i="1"/>
  <c r="G3266" i="1"/>
  <c r="G3264" i="1"/>
  <c r="G3262" i="1"/>
  <c r="G3260" i="1"/>
  <c r="G3258" i="1"/>
  <c r="G3256" i="1"/>
  <c r="G3254" i="1"/>
  <c r="G3252" i="1"/>
  <c r="G3250" i="1"/>
  <c r="G3248" i="1"/>
  <c r="G3246" i="1"/>
  <c r="G3244" i="1"/>
  <c r="G3242" i="1"/>
  <c r="G3240" i="1"/>
  <c r="G3238" i="1"/>
  <c r="G3236" i="1"/>
  <c r="G3234" i="1"/>
  <c r="G3232" i="1"/>
  <c r="G3230" i="1"/>
  <c r="G3228" i="1"/>
  <c r="G3226" i="1"/>
  <c r="G3224" i="1"/>
  <c r="G3222" i="1"/>
  <c r="G3220" i="1"/>
  <c r="G3218" i="1"/>
  <c r="G3216" i="1"/>
  <c r="G3214" i="1"/>
  <c r="G3212" i="1"/>
  <c r="G3210" i="1"/>
  <c r="G3208" i="1"/>
  <c r="G3206" i="1"/>
  <c r="G3204" i="1"/>
  <c r="G3202" i="1"/>
  <c r="G3200" i="1"/>
  <c r="G3198" i="1"/>
  <c r="G3196" i="1"/>
  <c r="G3194" i="1"/>
  <c r="G3192" i="1"/>
  <c r="G3190" i="1"/>
  <c r="G3188" i="1"/>
  <c r="G3186" i="1"/>
  <c r="G3184" i="1"/>
  <c r="G3182" i="1"/>
  <c r="G3180" i="1"/>
  <c r="G3178" i="1"/>
  <c r="G3176" i="1"/>
  <c r="G3174" i="1"/>
  <c r="G3172" i="1"/>
  <c r="G3170" i="1"/>
  <c r="G3168" i="1"/>
  <c r="G3166" i="1"/>
  <c r="G3164" i="1"/>
  <c r="G3162" i="1"/>
  <c r="G3160" i="1"/>
  <c r="G3158" i="1"/>
  <c r="G3156" i="1"/>
  <c r="G3154" i="1"/>
  <c r="G3152" i="1"/>
  <c r="G3150" i="1"/>
  <c r="G3148" i="1"/>
  <c r="G3146" i="1"/>
  <c r="G3144" i="1"/>
  <c r="G3142" i="1"/>
  <c r="G3140" i="1"/>
  <c r="G3138" i="1"/>
  <c r="G3136" i="1"/>
  <c r="G3134" i="1"/>
  <c r="G3132" i="1"/>
  <c r="G3130" i="1"/>
  <c r="G3128" i="1"/>
  <c r="G3126" i="1"/>
  <c r="G3124" i="1"/>
  <c r="G3122" i="1"/>
  <c r="G3120" i="1"/>
  <c r="G3118" i="1"/>
  <c r="G3116" i="1"/>
  <c r="G3114" i="1"/>
  <c r="G3112" i="1"/>
  <c r="G3110" i="1"/>
  <c r="G3108" i="1"/>
  <c r="G3106" i="1"/>
  <c r="G3104" i="1"/>
  <c r="G3102" i="1"/>
  <c r="G3100" i="1"/>
  <c r="G3098" i="1"/>
  <c r="G3096" i="1"/>
  <c r="G3094" i="1"/>
  <c r="G3092" i="1"/>
  <c r="G3090" i="1"/>
  <c r="G3088" i="1"/>
  <c r="G3086" i="1"/>
  <c r="G3084" i="1"/>
  <c r="G3082" i="1"/>
  <c r="G3080" i="1"/>
  <c r="G3078" i="1"/>
  <c r="G3076" i="1"/>
  <c r="G3074" i="1"/>
  <c r="G3072" i="1"/>
  <c r="G3070" i="1"/>
  <c r="G3068" i="1"/>
  <c r="G3066" i="1"/>
  <c r="G3064" i="1"/>
  <c r="G3062" i="1"/>
  <c r="G3060" i="1"/>
  <c r="G3058" i="1"/>
  <c r="G3056" i="1"/>
  <c r="G3054" i="1"/>
  <c r="G3052" i="1"/>
  <c r="G3050" i="1"/>
  <c r="G3048" i="1"/>
  <c r="G3046" i="1"/>
  <c r="G3044" i="1"/>
  <c r="G3042" i="1"/>
  <c r="G3040" i="1"/>
  <c r="G3038" i="1"/>
  <c r="G3036" i="1"/>
  <c r="G3034" i="1"/>
  <c r="G3032" i="1"/>
  <c r="G3030" i="1"/>
  <c r="G3028" i="1"/>
  <c r="G3026" i="1"/>
  <c r="G3024" i="1"/>
  <c r="G3022" i="1"/>
  <c r="G3020" i="1"/>
  <c r="G3018" i="1"/>
  <c r="G3016" i="1"/>
  <c r="G3014" i="1"/>
  <c r="G3012" i="1"/>
  <c r="G3010" i="1"/>
  <c r="G3008" i="1"/>
  <c r="G3006" i="1"/>
  <c r="G3004" i="1"/>
  <c r="G3002" i="1"/>
  <c r="G3000" i="1"/>
  <c r="G2998" i="1"/>
  <c r="G2996" i="1"/>
  <c r="G2994" i="1"/>
  <c r="G2992" i="1"/>
  <c r="G2990" i="1"/>
  <c r="G2988" i="1"/>
  <c r="G2986" i="1"/>
  <c r="G2984" i="1"/>
  <c r="G2982" i="1"/>
  <c r="G2980" i="1"/>
  <c r="G2978" i="1"/>
  <c r="G2976" i="1"/>
  <c r="G2974" i="1"/>
  <c r="G2972" i="1"/>
  <c r="G2970" i="1"/>
  <c r="G2968" i="1"/>
  <c r="G2966" i="1"/>
  <c r="G2964" i="1"/>
  <c r="G2962" i="1"/>
  <c r="G2960" i="1"/>
  <c r="G2958" i="1"/>
  <c r="G2956" i="1"/>
  <c r="G2954" i="1"/>
  <c r="G2952" i="1"/>
  <c r="G2950" i="1"/>
  <c r="G2948" i="1"/>
  <c r="G2946" i="1"/>
  <c r="G2944" i="1"/>
  <c r="G2942" i="1"/>
  <c r="G2940" i="1"/>
  <c r="G2938" i="1"/>
  <c r="G2936" i="1"/>
  <c r="G2934" i="1"/>
  <c r="G2932" i="1"/>
  <c r="G2930" i="1"/>
  <c r="G2928" i="1"/>
  <c r="G2926" i="1"/>
  <c r="G2924" i="1"/>
  <c r="G2922" i="1"/>
  <c r="G2920" i="1"/>
  <c r="G2918" i="1"/>
  <c r="G2916" i="1"/>
  <c r="G2914" i="1"/>
  <c r="G2912" i="1"/>
  <c r="G2910" i="1"/>
  <c r="G2908" i="1"/>
  <c r="G2906" i="1"/>
  <c r="G2904" i="1"/>
  <c r="G2902" i="1"/>
  <c r="G2900" i="1"/>
  <c r="G2898" i="1"/>
  <c r="G2896" i="1"/>
  <c r="G2894" i="1"/>
  <c r="G2892" i="1"/>
  <c r="G2890" i="1"/>
  <c r="G2888" i="1"/>
  <c r="G2886" i="1"/>
  <c r="G2884" i="1"/>
  <c r="G2882" i="1"/>
  <c r="G2880" i="1"/>
  <c r="G2878" i="1"/>
  <c r="G2876" i="1"/>
  <c r="G2874" i="1"/>
  <c r="G2872" i="1"/>
  <c r="G2870" i="1"/>
  <c r="G2868" i="1"/>
  <c r="G2866" i="1"/>
  <c r="G2864" i="1"/>
  <c r="G2862" i="1"/>
  <c r="G2860" i="1"/>
  <c r="G2858" i="1"/>
  <c r="G2856" i="1"/>
  <c r="G2854" i="1"/>
  <c r="G2852" i="1"/>
  <c r="G2850" i="1"/>
  <c r="G2848" i="1"/>
  <c r="G2846" i="1"/>
  <c r="G2844" i="1"/>
  <c r="G2842" i="1"/>
  <c r="G2840" i="1"/>
  <c r="G2838" i="1"/>
  <c r="G2836" i="1"/>
  <c r="G2834" i="1"/>
  <c r="G2832" i="1"/>
  <c r="G2830" i="1"/>
  <c r="G2828" i="1"/>
  <c r="G2826" i="1"/>
  <c r="G2824" i="1"/>
  <c r="G2822" i="1"/>
  <c r="G2820" i="1"/>
  <c r="G2818" i="1"/>
  <c r="G2816" i="1"/>
  <c r="G2814" i="1"/>
  <c r="G2812" i="1"/>
  <c r="G2810" i="1"/>
  <c r="G2808" i="1"/>
  <c r="G2806" i="1"/>
  <c r="G2804" i="1"/>
  <c r="G2802" i="1"/>
  <c r="G2800" i="1"/>
  <c r="G2798" i="1"/>
  <c r="G2796" i="1"/>
  <c r="G2794" i="1"/>
  <c r="G2792" i="1"/>
  <c r="G2790" i="1"/>
  <c r="G2788" i="1"/>
  <c r="G2786" i="1"/>
  <c r="G2784" i="1"/>
  <c r="G2782" i="1"/>
  <c r="G2780" i="1"/>
  <c r="G2778" i="1"/>
  <c r="G2776" i="1"/>
  <c r="G2774" i="1"/>
  <c r="G2772" i="1"/>
  <c r="G2770" i="1"/>
  <c r="G2768" i="1"/>
  <c r="G2766" i="1"/>
  <c r="G2764" i="1"/>
  <c r="G2762" i="1"/>
  <c r="G2760" i="1"/>
  <c r="G2758" i="1"/>
  <c r="G2756" i="1"/>
  <c r="G2754" i="1"/>
  <c r="G2752" i="1"/>
  <c r="G2750" i="1"/>
  <c r="G2748" i="1"/>
  <c r="G2746" i="1"/>
  <c r="G2744" i="1"/>
  <c r="G2742" i="1"/>
  <c r="G2740" i="1"/>
  <c r="G2738" i="1"/>
  <c r="G2736" i="1"/>
  <c r="G2734" i="1"/>
  <c r="G2732" i="1"/>
  <c r="G2730" i="1"/>
  <c r="G2728" i="1"/>
  <c r="G2726" i="1"/>
  <c r="G2724" i="1"/>
  <c r="G2722" i="1"/>
  <c r="G2720" i="1"/>
  <c r="G2718" i="1"/>
  <c r="G2716" i="1"/>
  <c r="G2714" i="1"/>
  <c r="G2712" i="1"/>
  <c r="G2710" i="1"/>
  <c r="G2708" i="1"/>
  <c r="G2706" i="1"/>
  <c r="G2704" i="1"/>
  <c r="G2702" i="1"/>
  <c r="G2700" i="1"/>
  <c r="G2698" i="1"/>
  <c r="G2696" i="1"/>
  <c r="G2694" i="1"/>
  <c r="G2692" i="1"/>
  <c r="G2690" i="1"/>
  <c r="G2688" i="1"/>
  <c r="G2686" i="1"/>
  <c r="G2684" i="1"/>
  <c r="G2682" i="1"/>
  <c r="G2680" i="1"/>
  <c r="G2678" i="1"/>
  <c r="G2676" i="1"/>
  <c r="G2674" i="1"/>
  <c r="G2672" i="1"/>
  <c r="G2670" i="1"/>
  <c r="G2668" i="1"/>
  <c r="G2666" i="1"/>
  <c r="G2664" i="1"/>
  <c r="G2662" i="1"/>
  <c r="G2660" i="1"/>
  <c r="G2658" i="1"/>
  <c r="G2656" i="1"/>
  <c r="G2654" i="1"/>
  <c r="G2652" i="1"/>
  <c r="G2650" i="1"/>
  <c r="G2648" i="1"/>
  <c r="G2646" i="1"/>
  <c r="G2644" i="1"/>
  <c r="G2642" i="1"/>
  <c r="G2640" i="1"/>
  <c r="G2638" i="1"/>
  <c r="G2636" i="1"/>
  <c r="G2634" i="1"/>
  <c r="G2632" i="1"/>
  <c r="G2630" i="1"/>
  <c r="G2628" i="1"/>
  <c r="G2626" i="1"/>
  <c r="G2624" i="1"/>
  <c r="G2622" i="1"/>
  <c r="G2620" i="1"/>
  <c r="G2618" i="1"/>
  <c r="G2616" i="1"/>
  <c r="G2614" i="1"/>
  <c r="G2612" i="1"/>
  <c r="G2610" i="1"/>
  <c r="G2608" i="1"/>
  <c r="G2606" i="1"/>
  <c r="G2604" i="1"/>
  <c r="G2602" i="1"/>
  <c r="G2600" i="1"/>
  <c r="G2598" i="1"/>
  <c r="G2596" i="1"/>
  <c r="G2594" i="1"/>
  <c r="G2592" i="1"/>
  <c r="G2590" i="1"/>
  <c r="G2588" i="1"/>
  <c r="G2586" i="1"/>
  <c r="G2584" i="1"/>
  <c r="G2582" i="1"/>
  <c r="G2580" i="1"/>
  <c r="G2578" i="1"/>
  <c r="G2576" i="1"/>
  <c r="G2574" i="1"/>
  <c r="G2572" i="1"/>
  <c r="G2570" i="1"/>
  <c r="G2568" i="1"/>
  <c r="G2566" i="1"/>
  <c r="G2564" i="1"/>
  <c r="G2562" i="1"/>
  <c r="G2560" i="1"/>
  <c r="G2558" i="1"/>
  <c r="G2556" i="1"/>
  <c r="G2554" i="1"/>
  <c r="G2552" i="1"/>
  <c r="G2550" i="1"/>
  <c r="G2548" i="1"/>
  <c r="G2546" i="1"/>
  <c r="G2544" i="1"/>
  <c r="G2542" i="1"/>
  <c r="G2540" i="1"/>
  <c r="G2538" i="1"/>
  <c r="G2536" i="1"/>
  <c r="G2534" i="1"/>
  <c r="G2532" i="1"/>
  <c r="G2530" i="1"/>
  <c r="G2528" i="1"/>
  <c r="G2526" i="1"/>
  <c r="G2524" i="1"/>
  <c r="G2522" i="1"/>
  <c r="G2520" i="1"/>
  <c r="G2518" i="1"/>
  <c r="G2516" i="1"/>
  <c r="G2514" i="1"/>
  <c r="G2512" i="1"/>
  <c r="G2510" i="1"/>
  <c r="G2508" i="1"/>
  <c r="G2506" i="1"/>
  <c r="G2504" i="1"/>
  <c r="G2502" i="1"/>
  <c r="G2500" i="1"/>
  <c r="G2498" i="1"/>
  <c r="G2496" i="1"/>
  <c r="G2494" i="1"/>
  <c r="G2492" i="1"/>
  <c r="G2490" i="1"/>
  <c r="G2488" i="1"/>
  <c r="G2486" i="1"/>
  <c r="G2484" i="1"/>
  <c r="G2482" i="1"/>
  <c r="G2480" i="1"/>
  <c r="G2478" i="1"/>
  <c r="G2476" i="1"/>
  <c r="G2474" i="1"/>
  <c r="G2472" i="1"/>
  <c r="G2470" i="1"/>
  <c r="G2468" i="1"/>
  <c r="G2466" i="1"/>
  <c r="G2464" i="1"/>
  <c r="G2462" i="1"/>
  <c r="G2460" i="1"/>
  <c r="G2458" i="1"/>
  <c r="G2456" i="1"/>
  <c r="G2454" i="1"/>
  <c r="G2452" i="1"/>
  <c r="G2450" i="1"/>
  <c r="G2448" i="1"/>
  <c r="G2446" i="1"/>
  <c r="G2444" i="1"/>
  <c r="G2442" i="1"/>
  <c r="G2440" i="1"/>
  <c r="G2438" i="1"/>
  <c r="G2436" i="1"/>
  <c r="G2434" i="1"/>
  <c r="G2432" i="1"/>
  <c r="G2430" i="1"/>
  <c r="G2428" i="1"/>
  <c r="G2426" i="1"/>
  <c r="G2424" i="1"/>
  <c r="G2422" i="1"/>
  <c r="G2420" i="1"/>
  <c r="G2418" i="1"/>
  <c r="G2416" i="1"/>
  <c r="G2414" i="1"/>
  <c r="G2412" i="1"/>
  <c r="G2410" i="1"/>
  <c r="G2408" i="1"/>
  <c r="G2406" i="1"/>
  <c r="G2404" i="1"/>
  <c r="G2402" i="1"/>
  <c r="G2400" i="1"/>
  <c r="G2398" i="1"/>
  <c r="G2396" i="1"/>
  <c r="G2394" i="1"/>
  <c r="G2392" i="1"/>
  <c r="G2390" i="1"/>
  <c r="G2388" i="1"/>
  <c r="G2386" i="1"/>
  <c r="G2384" i="1"/>
  <c r="G2382" i="1"/>
  <c r="G2380" i="1"/>
  <c r="G2378" i="1"/>
  <c r="G2376" i="1"/>
  <c r="G2374" i="1"/>
  <c r="G2372" i="1"/>
  <c r="G2370" i="1"/>
  <c r="G2368" i="1"/>
  <c r="G2366" i="1"/>
  <c r="G2364" i="1"/>
  <c r="G2362" i="1"/>
  <c r="G2360" i="1"/>
  <c r="G2358" i="1"/>
  <c r="G2356" i="1"/>
  <c r="G2354" i="1"/>
  <c r="G2352" i="1"/>
  <c r="G2350" i="1"/>
  <c r="G2348" i="1"/>
  <c r="G2346" i="1"/>
  <c r="G2344" i="1"/>
  <c r="G2342" i="1"/>
  <c r="G2340" i="1"/>
  <c r="G2338" i="1"/>
  <c r="G2336" i="1"/>
  <c r="G2334" i="1"/>
  <c r="G2332" i="1"/>
  <c r="G2330" i="1"/>
  <c r="G2328" i="1"/>
  <c r="G2326" i="1"/>
  <c r="G2324" i="1"/>
  <c r="G2322" i="1"/>
  <c r="G2320" i="1"/>
  <c r="G2318" i="1"/>
  <c r="G2316" i="1"/>
  <c r="G2314" i="1"/>
  <c r="G2312" i="1"/>
  <c r="G2310" i="1"/>
  <c r="G2308" i="1"/>
  <c r="G2306" i="1"/>
  <c r="G2304" i="1"/>
  <c r="G2302" i="1"/>
  <c r="G2300" i="1"/>
  <c r="G2298" i="1"/>
  <c r="G2296" i="1"/>
  <c r="G2294" i="1"/>
  <c r="G2292" i="1"/>
  <c r="G2290" i="1"/>
  <c r="G2288" i="1"/>
  <c r="G2286" i="1"/>
  <c r="G2284" i="1"/>
  <c r="G2282" i="1"/>
  <c r="G2280" i="1"/>
  <c r="G2278" i="1"/>
  <c r="G2276" i="1"/>
  <c r="G2274" i="1"/>
  <c r="G2272" i="1"/>
  <c r="G2270" i="1"/>
  <c r="G2268" i="1"/>
  <c r="G2266" i="1"/>
  <c r="G2264" i="1"/>
  <c r="G2262" i="1"/>
  <c r="G2260" i="1"/>
  <c r="G2258" i="1"/>
  <c r="G2256" i="1"/>
  <c r="G2254" i="1"/>
  <c r="G2252" i="1"/>
  <c r="G2250" i="1"/>
  <c r="G2248" i="1"/>
  <c r="G2246" i="1"/>
  <c r="G2244" i="1"/>
  <c r="G2242" i="1"/>
  <c r="G2240" i="1"/>
  <c r="G2238" i="1"/>
  <c r="G2236" i="1"/>
  <c r="G2234" i="1"/>
  <c r="G2232" i="1"/>
  <c r="G2230" i="1"/>
  <c r="G2228" i="1"/>
  <c r="G2226" i="1"/>
  <c r="G2224" i="1"/>
  <c r="G2222" i="1"/>
  <c r="G2220" i="1"/>
  <c r="G2218" i="1"/>
  <c r="G2216" i="1"/>
  <c r="G2214" i="1"/>
  <c r="G2212" i="1"/>
  <c r="G2210" i="1"/>
  <c r="G2208" i="1"/>
  <c r="G2206" i="1"/>
  <c r="G2204" i="1"/>
  <c r="G2202" i="1"/>
  <c r="G2200" i="1"/>
  <c r="G2198" i="1"/>
  <c r="G2196" i="1"/>
  <c r="G2194" i="1"/>
  <c r="G2192" i="1"/>
  <c r="G2190" i="1"/>
  <c r="G2188" i="1"/>
  <c r="G2186" i="1"/>
  <c r="G2184" i="1"/>
  <c r="G2182" i="1"/>
  <c r="G2180" i="1"/>
  <c r="G2178" i="1"/>
  <c r="G2176" i="1"/>
  <c r="G2174" i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<sst xmlns="http://schemas.openxmlformats.org/spreadsheetml/2006/main" count="15252" uniqueCount="8644">
  <si>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</si>
  <si>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</si>
  <si>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</si>
  <si>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</si>
  <si>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ΟΙΚΟΝΟΜΙΚΩΝ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</si>
  <si>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</si>
  <si>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</si>
  <si>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</si>
  <si>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</si>
  <si>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</si>
  <si>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</si>
  <si>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</si>
  <si>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</si>
  <si>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ΧΑΛΔΑΙΟΠΟΥΛΟΥ</t>
  </si>
  <si>
    <t>ΔΗΜΗΤΡΑ</t>
  </si>
  <si>
    <t>ΠΕΤΡΟΣ</t>
  </si>
  <si>
    <t>ΑΑ727395</t>
  </si>
  <si>
    <t>843,7</t>
  </si>
  <si>
    <t>2151,7</t>
  </si>
  <si>
    <t>1219-1248-1267-1222-1249</t>
  </si>
  <si>
    <t>ΒΑΤΗΣ</t>
  </si>
  <si>
    <t>ΣΤΥΛΙΑΝΟΣ ΕΥΣΤΡΑΤΙΟΣ</t>
  </si>
  <si>
    <t>ΖΑΦΕΙΡΙΟΣ</t>
  </si>
  <si>
    <t>964,7</t>
  </si>
  <si>
    <t>2032,7</t>
  </si>
  <si>
    <t>1219-1248-1267-1253-1203-1206-1249-1221-1255-1204-1202</t>
  </si>
  <si>
    <t>ΚΑΠΛΑΝΗ</t>
  </si>
  <si>
    <t>ΠΕΡΙΣΤΕΡΑ</t>
  </si>
  <si>
    <t>ΠΟΛΥΧΡΟΝΗΣ</t>
  </si>
  <si>
    <t>ΑΖ384153</t>
  </si>
  <si>
    <t>1206-1267-1219-1248-1205-1255-1221-1253-1249-1202-1254-1247-1217-1250-1218</t>
  </si>
  <si>
    <t>ΒΕΖΙΡΤΖΟΓΛΟΥ</t>
  </si>
  <si>
    <t>ΦΑΝΗ</t>
  </si>
  <si>
    <t>ΜΙΧΑΗΛ</t>
  </si>
  <si>
    <t>ΑΕ408201</t>
  </si>
  <si>
    <t>1206-1222-1248-1253-1256-1249-1254-1201-1247-1251</t>
  </si>
  <si>
    <t>ΘΕΟΚΛΗΣ ΑΝΑΣΤΑΣΙΟΣ</t>
  </si>
  <si>
    <t>1219-1248-1267-1253-1256-1222-1220-1206-1249-1252-1254-1255-1250-1247-1251-1223-1221-1218-1217-1205-1204-1201-1203-1202</t>
  </si>
  <si>
    <t>ΣΠΙΝΘΗΡΟΠΟΥΛΟΣ</t>
  </si>
  <si>
    <t>ΚΩΝΣΤΑΝΤΙΝΟΣ</t>
  </si>
  <si>
    <t>ΓΕΩΡΓΙΟΣ</t>
  </si>
  <si>
    <t>ΑΚ978471</t>
  </si>
  <si>
    <t>928,4</t>
  </si>
  <si>
    <t>1936,4</t>
  </si>
  <si>
    <t>1249-1253-1219-1248-1203-1205-1204-1217</t>
  </si>
  <si>
    <t>ΤΣΙΜΠΛΙΔΟΥ</t>
  </si>
  <si>
    <t>ΧΡΙΣΤΙΝΑ</t>
  </si>
  <si>
    <t>ΙΩΑΝΝΗΣ</t>
  </si>
  <si>
    <t>ΑΚ 983360</t>
  </si>
  <si>
    <t>1249-1253-1267-1248-1206-1201-1203-1247-1250-1254-1218-1202-1204-1205-1221-1255-1256-1222-1223</t>
  </si>
  <si>
    <t>ΔΑΜΑΣΚΟΣ</t>
  </si>
  <si>
    <t>ΧΡΗΣΤΟΣ</t>
  </si>
  <si>
    <t>ΑΑ286130</t>
  </si>
  <si>
    <t>1219-1267-1248-1253-1256-1222-1206-1249-1201-1252-1254</t>
  </si>
  <si>
    <t>ΚΟΥΤΣΟΘΥΜΙΟΥ</t>
  </si>
  <si>
    <t>ΑΖ487933</t>
  </si>
  <si>
    <t>915,2</t>
  </si>
  <si>
    <t>1913,2</t>
  </si>
  <si>
    <t>ΜΠΕΛΤΣΙΟΥ</t>
  </si>
  <si>
    <t>ΧΡΥΣΟΥΛΑ</t>
  </si>
  <si>
    <t>Ρ899348</t>
  </si>
  <si>
    <t>1201-1219-1267-1248-1249-1247-1254</t>
  </si>
  <si>
    <t>ΠΑΠΑΝΙΚΟΛΑΟΥ</t>
  </si>
  <si>
    <t>ΓΛΥΚΕΡΙΑ ΜΑΡΙΑ</t>
  </si>
  <si>
    <t>ΑΗ821763</t>
  </si>
  <si>
    <t>903,1</t>
  </si>
  <si>
    <t>1891,1</t>
  </si>
  <si>
    <t>1248-1219-1253-1254-1206-1201-1249-1217-1250-1256-1247-1267</t>
  </si>
  <si>
    <t>ΠΙΕΤΤΑΣ</t>
  </si>
  <si>
    <t>ΗΡΑΚΛΗΣ</t>
  </si>
  <si>
    <t>ΑΚ019395</t>
  </si>
  <si>
    <t>829,4</t>
  </si>
  <si>
    <t>1884,4</t>
  </si>
  <si>
    <t>1218-1252-1201-1249-1250-1253-1254-1217-1219-1248-1206-1256-1222-1247-1267-1205-1255-1202</t>
  </si>
  <si>
    <t>ΑΘΑΝΑΣΙΟΥ</t>
  </si>
  <si>
    <t>ΕΛΕΝΗ</t>
  </si>
  <si>
    <t>ΑΖ276707</t>
  </si>
  <si>
    <t>1223-1203-1248-1267-1247-1206-1218-1249-1250-1253-1254-1204-1205-1221-1202-1255</t>
  </si>
  <si>
    <t>ΚΡΑΝΙΑΣ</t>
  </si>
  <si>
    <t>ΑΡΓΥΡΙΟΣ</t>
  </si>
  <si>
    <t>ΧΡΥΣΟΣΤΟΜΟΣ</t>
  </si>
  <si>
    <t>Χ378004</t>
  </si>
  <si>
    <t>904,2</t>
  </si>
  <si>
    <t>1865,2</t>
  </si>
  <si>
    <t>1219-1248-1249-1267</t>
  </si>
  <si>
    <t>ΧΑΤΖΗΙΩΑΝΝΟΥ</t>
  </si>
  <si>
    <t>ΑΝΝΑ</t>
  </si>
  <si>
    <t>ΑΠΟΣΤΟΛΟΣ</t>
  </si>
  <si>
    <t>Χ974333</t>
  </si>
  <si>
    <t>1206-1248-1249-1252-1253-1254-1255-1256</t>
  </si>
  <si>
    <t>ΝΑΛΠΑΝΤΙΔΗΣ</t>
  </si>
  <si>
    <t>ΧΑΡΑΛΑΜΠΟΣ</t>
  </si>
  <si>
    <t>ΣΑΒΒΑΣ</t>
  </si>
  <si>
    <t>Χ912081</t>
  </si>
  <si>
    <t>750,2</t>
  </si>
  <si>
    <t>1848,2</t>
  </si>
  <si>
    <t>1203-1249-1253-1219-1248</t>
  </si>
  <si>
    <t>ΦΩΤΑΡΟΥΔΗ</t>
  </si>
  <si>
    <t>ΑΙΚΑΤΕΡΙΝΗ</t>
  </si>
  <si>
    <t>ΦΩΤΙΟΣ</t>
  </si>
  <si>
    <t>ΑΕ376704</t>
  </si>
  <si>
    <t>1222-1248-1255-1221-1256-1249-1253-1254-1247-1250</t>
  </si>
  <si>
    <t>ΠΑΠΠΑ</t>
  </si>
  <si>
    <t>ΑΘΗΝΑ</t>
  </si>
  <si>
    <t>ΑΗ750864</t>
  </si>
  <si>
    <t>1249-1253-1248-1219-1218-1217-1250-1252-1203-1247-1254-1201-1267</t>
  </si>
  <si>
    <t>ΜΥΛΩΝΑΣ</t>
  </si>
  <si>
    <t>ΝΙΚΟΛΑΟΣ</t>
  </si>
  <si>
    <t>ΕΛΕΥΘΕΡΙΟΣ</t>
  </si>
  <si>
    <t>Σ956511</t>
  </si>
  <si>
    <t>784,3</t>
  </si>
  <si>
    <t>1842,3</t>
  </si>
  <si>
    <t>1201-1267-1248-1218-1249-1253-1203-1254-1250-1247-1206-1202-1204-1205-1221-1255</t>
  </si>
  <si>
    <t>ΚΑΤΣΟΥΛΗ</t>
  </si>
  <si>
    <t>ΚΩΝΣΤΑΝΤΙΑ</t>
  </si>
  <si>
    <t>ΑΛΕΞΑΝΔΡΟΣ</t>
  </si>
  <si>
    <t>ΑΖ380235</t>
  </si>
  <si>
    <t>731,5</t>
  </si>
  <si>
    <t>1839,5</t>
  </si>
  <si>
    <t>1206-1248-1267-1253-1201-1249-1254-1203-1247-1250-1218-1255-1202-1205</t>
  </si>
  <si>
    <t>ΟΙΚΟΝΟΜΟΥ</t>
  </si>
  <si>
    <t>ΣΩΤΗΡΗΣ</t>
  </si>
  <si>
    <t>Σ364575</t>
  </si>
  <si>
    <t>735,9</t>
  </si>
  <si>
    <t>1833,9</t>
  </si>
  <si>
    <t>1250-1217-1247-1219-1248-1221-1255-1205-1202-1206</t>
  </si>
  <si>
    <t>ΤΑΤΑΡΙΔΟΥ</t>
  </si>
  <si>
    <t>ΑΕΛΙΤΑ</t>
  </si>
  <si>
    <t>ΡΑΦΑΗΛ</t>
  </si>
  <si>
    <t>ΑΕ661258</t>
  </si>
  <si>
    <t>944,9</t>
  </si>
  <si>
    <t>1832,9</t>
  </si>
  <si>
    <t>1219-1267-1248</t>
  </si>
  <si>
    <t>ΚΟΥΡΟΥΤΟΥ</t>
  </si>
  <si>
    <t>ΣΤΑΥΡΟΥΛΑ</t>
  </si>
  <si>
    <t>Χ312845</t>
  </si>
  <si>
    <t>855,8</t>
  </si>
  <si>
    <t>1823,8</t>
  </si>
  <si>
    <t>1247-1248-1255</t>
  </si>
  <si>
    <t>ΚΑΡΑΝΑΤΣΙΟΣ</t>
  </si>
  <si>
    <t>ΑΘΑΝΑΣΙΟΣ</t>
  </si>
  <si>
    <t>ΑΙ168762</t>
  </si>
  <si>
    <t>ΠΑΡΑΣΥΡΗ</t>
  </si>
  <si>
    <t>ΕΙΡΗΝΗ</t>
  </si>
  <si>
    <t>ΕΜΜΑΝΟΥΗΛ</t>
  </si>
  <si>
    <t>ΑΕ 968660</t>
  </si>
  <si>
    <t>756,8</t>
  </si>
  <si>
    <t>1814,8</t>
  </si>
  <si>
    <t>1202-1221-1255-1204-1205-1219-1248-1267-1250-1247-1217-1203-1201-1206-1252-1249-1253-1254</t>
  </si>
  <si>
    <t>ΧΟΡΜΠΑ</t>
  </si>
  <si>
    <t>ΧΑΡΙΚΛΕΙΑ</t>
  </si>
  <si>
    <t>ΠΑΝΑΓΙΩΤΗΣ</t>
  </si>
  <si>
    <t>Σ364925</t>
  </si>
  <si>
    <t>955,9</t>
  </si>
  <si>
    <t>1813,9</t>
  </si>
  <si>
    <t>1271-1250-1247</t>
  </si>
  <si>
    <t>ΚΑΡΑΝΙΚΟΛΑΣ</t>
  </si>
  <si>
    <t>ΑΖ683702</t>
  </si>
  <si>
    <t>893,2</t>
  </si>
  <si>
    <t>1812,2</t>
  </si>
  <si>
    <t>1205-1255-1202-1221-1248-1219-1249-1206</t>
  </si>
  <si>
    <t>ΕΙΠΙΔΗΣ</t>
  </si>
  <si>
    <t>ΔΗΜΗΤΡΙΟΣ</t>
  </si>
  <si>
    <t>ΑΝ196331</t>
  </si>
  <si>
    <t>1219-1248-1267-1206</t>
  </si>
  <si>
    <t>ΕΙΡΗΝΑΙΟΥ</t>
  </si>
  <si>
    <t>ΚΩΝΣΤΑΝΤΙΝΑ</t>
  </si>
  <si>
    <t>ΑΗ040291</t>
  </si>
  <si>
    <t>790,9</t>
  </si>
  <si>
    <t>1808,9</t>
  </si>
  <si>
    <t>1255-1205-1202-1250-1247-1254-1201-1248-1253-1206-1256-1249</t>
  </si>
  <si>
    <t>ΘΑΝΑΣΑΡΑ</t>
  </si>
  <si>
    <t>ΕΥΑΓΓΕΛΗ</t>
  </si>
  <si>
    <t>ΑΕ796817</t>
  </si>
  <si>
    <t>1201-1254-1249-1253-1206-1250-1248-1247-1255</t>
  </si>
  <si>
    <t>ΧΡΥΣΑΦΗΣ</t>
  </si>
  <si>
    <t>ΕΥΑΓΓΕΛΟΣ</t>
  </si>
  <si>
    <t>ΑΙ362638</t>
  </si>
  <si>
    <t>899,8</t>
  </si>
  <si>
    <t>1795,8</t>
  </si>
  <si>
    <t>1219-1248-1267-1253-1206-1201-1247-1254</t>
  </si>
  <si>
    <t>ΛΑΠΑΤΩΝΗ</t>
  </si>
  <si>
    <t>ΣΟΦΙΑ</t>
  </si>
  <si>
    <t>ΒΑΣΙΛΕΙΟΣ</t>
  </si>
  <si>
    <t>ΑΕ113334</t>
  </si>
  <si>
    <t>853,6</t>
  </si>
  <si>
    <t>1793,6</t>
  </si>
  <si>
    <t>1222-1206-1248-1219-1267-1253-1249-1201-1247-1218-1254-1205-1250-1255-1217-1202-1256-1251</t>
  </si>
  <si>
    <t>ΝΤΑΛΛΑ</t>
  </si>
  <si>
    <t>ΑΝΔΡΟΝΙΚΗ</t>
  </si>
  <si>
    <t>ΘΕΟΔΩΡΟΣ</t>
  </si>
  <si>
    <t>ΑΒ725681</t>
  </si>
  <si>
    <t>795,3</t>
  </si>
  <si>
    <t>1793,3</t>
  </si>
  <si>
    <t>1201-1202-1206-1205-1254-1255-1253-1249-1247-1248-1250</t>
  </si>
  <si>
    <t>ΚΩΤΣΟΥ</t>
  </si>
  <si>
    <t>ΕΥΓΕΝΙΑ</t>
  </si>
  <si>
    <t>Ν306597</t>
  </si>
  <si>
    <t>822,8</t>
  </si>
  <si>
    <t>1790,8</t>
  </si>
  <si>
    <t>1247-1248</t>
  </si>
  <si>
    <t>ΑΛΒΑΝΟΥ</t>
  </si>
  <si>
    <t>ΣΤΕΡΓΙΟΣ</t>
  </si>
  <si>
    <t>ΑΜ653835</t>
  </si>
  <si>
    <t>730,4</t>
  </si>
  <si>
    <t>1788,4</t>
  </si>
  <si>
    <t>1219-1267-1206-1248</t>
  </si>
  <si>
    <t>ΧΑΙΔΗ</t>
  </si>
  <si>
    <t>ΜΑΛΑΜΑΤΗ</t>
  </si>
  <si>
    <t>Ρ720537</t>
  </si>
  <si>
    <t>1219-1267-1248-1253-1206-1203-1249-1254-1201-1247-1218-1250-1217-1255-1204-1205-1221-1202-1222-1256-1223-1251</t>
  </si>
  <si>
    <t>ΓΑΚΗ</t>
  </si>
  <si>
    <t>ΜΙΛΤΙΑΔΗΣ</t>
  </si>
  <si>
    <t>ΑΗ775523</t>
  </si>
  <si>
    <t>1203-1201-1252-1223-1205-1202-1204-1206-1217-1218-1219-1220-1222-1221-1247-1248-1249-1250-1251-1253-1254-1255-1256-1267</t>
  </si>
  <si>
    <t>ΔΟΞΑΚΗ</t>
  </si>
  <si>
    <t>ΕΥΤΥΧΙΑ</t>
  </si>
  <si>
    <t>ΕΥΤΥΧΙΟΣ</t>
  </si>
  <si>
    <t>Χ496151</t>
  </si>
  <si>
    <t>772,2</t>
  </si>
  <si>
    <t>1780,2</t>
  </si>
  <si>
    <t>1255-1205-1204-1221-1202-1219-1248-1247-1206-1217-1249-1250-1252-1253-1254</t>
  </si>
  <si>
    <t>ΘΑΝΑΣΑ</t>
  </si>
  <si>
    <t>ΓΕΩΡΓΙΑ</t>
  </si>
  <si>
    <t>ΛΑΖΑΡΟΣ</t>
  </si>
  <si>
    <t>ΑΒ857776</t>
  </si>
  <si>
    <t>771,1</t>
  </si>
  <si>
    <t>1779,1</t>
  </si>
  <si>
    <t>ΒΑΡΔΑΚΗ</t>
  </si>
  <si>
    <t>ΜΑΡΙΝΑ</t>
  </si>
  <si>
    <t>ΑΚ142668</t>
  </si>
  <si>
    <t>720,5</t>
  </si>
  <si>
    <t>1778,5</t>
  </si>
  <si>
    <t>1219-1247-1250-1248-1267-1217-1205-1255-1204-1201-1202-1203-1221-1252-1254-1249-1222-1206-1256-1218-1223-1253-1251-1220</t>
  </si>
  <si>
    <t>ΒΛΑΧΟΓΙΑΝΝΗ</t>
  </si>
  <si>
    <t>ΑΚ161831</t>
  </si>
  <si>
    <t>1267-1248-1253-1256-1206</t>
  </si>
  <si>
    <t>ΡΕΓΚΟΥΤΑΣ</t>
  </si>
  <si>
    <t>ΑΝΔΡΕΑΣ</t>
  </si>
  <si>
    <t>ΘΩΜΑΣ</t>
  </si>
  <si>
    <t>Φ204886</t>
  </si>
  <si>
    <t>719,4</t>
  </si>
  <si>
    <t>1777,4</t>
  </si>
  <si>
    <t>1205-1202-1201-1206-1247-1248-1253-1254-1255</t>
  </si>
  <si>
    <t>ΖΛΕΜΑΡΗΣ</t>
  </si>
  <si>
    <t>ΑΒ438860</t>
  </si>
  <si>
    <t>1201-1249-1219-1248-1253-1267-1252-1203-1206-1218-1217-1250-1204-1205-1202-1255-1221-1254-1247-1256-1220-1222-1223-1251</t>
  </si>
  <si>
    <t>ΤΣΑΠΡΑΛΗ</t>
  </si>
  <si>
    <t>Ρ893326</t>
  </si>
  <si>
    <t>1203-1201-1254-1256-1267-1248-1223</t>
  </si>
  <si>
    <t>ΚΟΥΤΣΟΥΠΑΣ</t>
  </si>
  <si>
    <t>ΛΑΜΠΡΟΣ</t>
  </si>
  <si>
    <t>ΑΜ851955</t>
  </si>
  <si>
    <t>932,8</t>
  </si>
  <si>
    <t>1770,8</t>
  </si>
  <si>
    <t>1249-1253-1219-1248-1201-1202-1250-1217-1205-1255-1221-1206-1247-1254</t>
  </si>
  <si>
    <t>ΜΠΑΛΑΦΟΥΤΗ</t>
  </si>
  <si>
    <t>ΑΗ899567</t>
  </si>
  <si>
    <t>796,4</t>
  </si>
  <si>
    <t>1764,4</t>
  </si>
  <si>
    <t>1206-1248-1255-1249-1267-1247-1250-1252-1253-1254</t>
  </si>
  <si>
    <t>ΖΩΤΟΥ</t>
  </si>
  <si>
    <t>ΘΕΟΔΩΡΑ</t>
  </si>
  <si>
    <t>ΑΖ746034</t>
  </si>
  <si>
    <t>789,8</t>
  </si>
  <si>
    <t>1757,8</t>
  </si>
  <si>
    <t>1205-1255-1248-1249-1253-1206-1201-1250-1254-1247-1202</t>
  </si>
  <si>
    <t>ΣΚΥΛΙΤΣΗΣ</t>
  </si>
  <si>
    <t>ΑΙ179058</t>
  </si>
  <si>
    <t>1267-1219-1248-1253-1256-1220-1222-1249-1206-1252-1201-1203-1218-1247-1254-1250-1223-1205-1204-1255-1202-1221-1251</t>
  </si>
  <si>
    <t>ΚΟΚΚΟΤΑ</t>
  </si>
  <si>
    <t>ΑΡΓΥΡΩ</t>
  </si>
  <si>
    <t>ΑΒ156403</t>
  </si>
  <si>
    <t>1219-1248-1267</t>
  </si>
  <si>
    <t>ΝΤΑΝΙΚΑΣ</t>
  </si>
  <si>
    <t>ΖΗΣΗΣ</t>
  </si>
  <si>
    <t>Χ413616</t>
  </si>
  <si>
    <t>1203-1201-1247-1248-1250-1254-1253-1255-1205</t>
  </si>
  <si>
    <t>ΚΟΝΤΟΣΤΕΡΓΙΟΥ</t>
  </si>
  <si>
    <t>ΑΒ107727</t>
  </si>
  <si>
    <t>1203-1254-1201-1223-1253-1248-1267-1247-1249-1206-1222-1256-1250-1255-1204-1205-1221-1202-1218</t>
  </si>
  <si>
    <t>ΑΜΕΡΙΚΑΝΗ</t>
  </si>
  <si>
    <t>ΘΕΟΦΑΝΗΣ</t>
  </si>
  <si>
    <t>ΑΖ227498</t>
  </si>
  <si>
    <t>1743,8</t>
  </si>
  <si>
    <t>1250-1217-1254-1247-1201-1206-1253-1249-1203</t>
  </si>
  <si>
    <t>ΧΑΤΖΟΓΛΟΥ</t>
  </si>
  <si>
    <t>ΑΗ312233</t>
  </si>
  <si>
    <t>1253-1256-1248-1219</t>
  </si>
  <si>
    <t>ΔΕΡΒΕΝΗΣ</t>
  </si>
  <si>
    <t>ΑΝΑΣΤΑΣΙΟΣ</t>
  </si>
  <si>
    <t>ΔΗΜΟΣΘΕΝΗΣ</t>
  </si>
  <si>
    <t>ΑΕ574220</t>
  </si>
  <si>
    <t>733,7</t>
  </si>
  <si>
    <t>1739,7</t>
  </si>
  <si>
    <t>ΣΤΑΥΡΟΠΟΥΛΟΥ</t>
  </si>
  <si>
    <t>ΚΑΛΛΙΟΠΗ</t>
  </si>
  <si>
    <t>ΑΖ217061</t>
  </si>
  <si>
    <t>621,5</t>
  </si>
  <si>
    <t>1739,5</t>
  </si>
  <si>
    <t>1201-1202-1203-1204-1205-1206-1217-1218-1219-1220-1221-1222-1223-1247-1248-1249-1250-1251-1252-1253-1254-1255</t>
  </si>
  <si>
    <t>ΓΚΟΥΓΚΟΥΓΙΑΝΝΗ</t>
  </si>
  <si>
    <t>ΑΙ326658</t>
  </si>
  <si>
    <t>1249-1253-1201-1206-1248-1256-1254</t>
  </si>
  <si>
    <t>ΜΑΝΤΖΩΡΟΥ</t>
  </si>
  <si>
    <t>ΑΕ531132</t>
  </si>
  <si>
    <t>1737,8</t>
  </si>
  <si>
    <t>1218-1217-1250-1221-1255-1204-1205-1253-1206-1202-1247-1201-1256-1254-1223-1249-1203-1219-1267-1252-1220-1222-1248-1251</t>
  </si>
  <si>
    <t>ΔΗΜΑΔΗΣ</t>
  </si>
  <si>
    <t>ΔΗΜΟΣ</t>
  </si>
  <si>
    <t>ΑΕ863006</t>
  </si>
  <si>
    <t>729,3</t>
  </si>
  <si>
    <t>1737,3</t>
  </si>
  <si>
    <t>1222-1206-1253-1248-1218-1204-1249-1201-1254-1247-1202-1205-1255-1217-1250-1219-1267-1221-1203-1252-1220-1256-1223-1251</t>
  </si>
  <si>
    <t>ΚΟΓΙΑ</t>
  </si>
  <si>
    <t>ΕΥΦΡΟΣΥΝΗ</t>
  </si>
  <si>
    <t>ΑΝ374179</t>
  </si>
  <si>
    <t>1253-1249-1219-1248-1267</t>
  </si>
  <si>
    <t>ΚΑΡΑΓΙΑΝΝΙΔΟΥ</t>
  </si>
  <si>
    <t>ΣΜΑΡΩ</t>
  </si>
  <si>
    <t>ΑΖ883092</t>
  </si>
  <si>
    <t>845,9</t>
  </si>
  <si>
    <t>1733,9</t>
  </si>
  <si>
    <t>1206-1219-1267-1248-1253-1256-1217-1250-1247-1249-1251-1255-1205-1202-1201</t>
  </si>
  <si>
    <t>ΔΑΜΑΣΚΟΠΟΥΛΟΥ</t>
  </si>
  <si>
    <t>Σ084893</t>
  </si>
  <si>
    <t>919,6</t>
  </si>
  <si>
    <t>1730,6</t>
  </si>
  <si>
    <t>1247-1217-1250-1219-1248-1201-1254-1205-1255-1202-1253-1249-1206-1267-1256-1251</t>
  </si>
  <si>
    <t>ΚΑΤΣΟΥΛΑ</t>
  </si>
  <si>
    <t>ΑΘΑΝΑΣΙΑ</t>
  </si>
  <si>
    <t>ΑΖ477106</t>
  </si>
  <si>
    <t>732,6</t>
  </si>
  <si>
    <t>1250-1247-1255-1248-1254-1206-1249-1253</t>
  </si>
  <si>
    <t>ΧΑΡΑΚΟΠΟΥΛΟΥ</t>
  </si>
  <si>
    <t>ΜΑΡΙΑ</t>
  </si>
  <si>
    <t>ΑΖ761430</t>
  </si>
  <si>
    <t>1728,5</t>
  </si>
  <si>
    <t>1203-1201-1219-1248-1247-1249-1206-1254</t>
  </si>
  <si>
    <t>ΓΚΟΥΝΤΡΟΥΜΠΗ</t>
  </si>
  <si>
    <t>Σ923190</t>
  </si>
  <si>
    <t>1249-1201-1267-1248-1254-1206-1256-1253-1250-1247-1205-1255-1202-1221</t>
  </si>
  <si>
    <t>ΤΕΛΑΚΗΣ</t>
  </si>
  <si>
    <t>Π137682</t>
  </si>
  <si>
    <t>1253-1249-1201-1248-1267-1203-1256-1254-1222-1206-1218-1250-1247-1202-1204-1205-1255-1221-1223</t>
  </si>
  <si>
    <t>ΣΚΟΥΡΑ</t>
  </si>
  <si>
    <t>ΑΛΕΞΑΝΔΡΑ</t>
  </si>
  <si>
    <t>ΑΖ831349</t>
  </si>
  <si>
    <t>1253-1249-1256-1219-1248-1267-1206-1201-1247-1252-1254-1250-1202-1205-1217-1218-1255-1251</t>
  </si>
  <si>
    <t>ΝΙΚΟΛΑΙΔΟΥ</t>
  </si>
  <si>
    <t>ΛΙΑΝΑ</t>
  </si>
  <si>
    <t>Χ107833</t>
  </si>
  <si>
    <t>773,3</t>
  </si>
  <si>
    <t>1721,3</t>
  </si>
  <si>
    <t>1247-1250-1217-1201-1252-1254-1203-1253-1248-1267-1219-1255-1204-1205-1221-1202-1218-1223-1220-1249-1256-1206-1222-1251</t>
  </si>
  <si>
    <t>ΚΑΤΣΑΝΑ</t>
  </si>
  <si>
    <t>Χ326303</t>
  </si>
  <si>
    <t>862,4</t>
  </si>
  <si>
    <t>1720,4</t>
  </si>
  <si>
    <t>1247-1223-1248-1267-1201-1202-1204-1205-1255-1206-1217-1250-1251-1253-1218-1203-1252-1221-1249-1254-1256-1222-1219</t>
  </si>
  <si>
    <t>ΤΣΑΡΤΣΑΡΑ</t>
  </si>
  <si>
    <t>ΑΙ281480</t>
  </si>
  <si>
    <t>859,1</t>
  </si>
  <si>
    <t>1717,1</t>
  </si>
  <si>
    <t>1203-1252-1201-1219-1248-1254-1253-1206-1249-1247-1217-1250-1218-1204-1205-1255-1202-1221</t>
  </si>
  <si>
    <t>ΛΑΜΠΡΟΥ</t>
  </si>
  <si>
    <t>ΑΖ528003</t>
  </si>
  <si>
    <t>ΣΦΑΚΙΑΝΟΥΔΗΣ</t>
  </si>
  <si>
    <t>ΑΕ938703</t>
  </si>
  <si>
    <t>656,7</t>
  </si>
  <si>
    <t>1714,7</t>
  </si>
  <si>
    <t>1250-1247-1248-1254-1253-1255-1206-1205</t>
  </si>
  <si>
    <t>ΧΑΣΧΑΣΙΔΟΥ</t>
  </si>
  <si>
    <t>ΚΥΡΙΑΚΗ</t>
  </si>
  <si>
    <t>ΑΕ408823</t>
  </si>
  <si>
    <t>873,4</t>
  </si>
  <si>
    <t>1711,4</t>
  </si>
  <si>
    <t>1206-1222-1248</t>
  </si>
  <si>
    <t>ΠΑΥΛΟΣ</t>
  </si>
  <si>
    <t>ΑΗ999739</t>
  </si>
  <si>
    <t>1206-1247-1248-1249-1250-1253-1254-1255-1256-1201-1202-1205</t>
  </si>
  <si>
    <t>ΠΙΣΤΙΚΟΥ</t>
  </si>
  <si>
    <t>ΑΕ727021</t>
  </si>
  <si>
    <t>850,3</t>
  </si>
  <si>
    <t>1708,3</t>
  </si>
  <si>
    <t>1202-1201-1206-1247-1248-1249-1250-1253-1254-1255-1267-1256-1251</t>
  </si>
  <si>
    <t>ΑΛΕΞΑΚΗ</t>
  </si>
  <si>
    <t>Ρ827380</t>
  </si>
  <si>
    <t>699,6</t>
  </si>
  <si>
    <t>1707,6</t>
  </si>
  <si>
    <t>1202-1221-1204-1205-1255-1250-1217-1201-1256-1218-1219-1247-1248-1249-1206-1253-1254-1251-1252-1220-1222</t>
  </si>
  <si>
    <t>ΔΕΡΜΟΥΣΗΣ</t>
  </si>
  <si>
    <t>Ρ121830</t>
  </si>
  <si>
    <t>1218-1221-1247-1248-1249-1250-1252-1253-1254-1255-1206-1205-1202</t>
  </si>
  <si>
    <t>ΠΑΠΑΔΟΠΟΥΛΟΣ</t>
  </si>
  <si>
    <t>ΑΕ676804</t>
  </si>
  <si>
    <t>1006,5</t>
  </si>
  <si>
    <t>1704,5</t>
  </si>
  <si>
    <t>1248-1267-1253-1206-1249-1247-1201-1254-1250-1202-1255-1205-1204-1221-1218-1203-1222-1256-1223</t>
  </si>
  <si>
    <t>ΒΕΡΓΟΥΛΙΔΟΥ</t>
  </si>
  <si>
    <t>ΚΥΡΙΑΚΟΣ</t>
  </si>
  <si>
    <t>ΑΕ376524</t>
  </si>
  <si>
    <t>675,4</t>
  </si>
  <si>
    <t>1703,4</t>
  </si>
  <si>
    <t>1219-1248</t>
  </si>
  <si>
    <t>ΜΟΥΣΤΑΚΑ</t>
  </si>
  <si>
    <t>ΚΟΝΙΤΣΑ</t>
  </si>
  <si>
    <t>Χ920909</t>
  </si>
  <si>
    <t>1701,9</t>
  </si>
  <si>
    <t>ΜΑΝΔΡΑΒΕΛΟΥ</t>
  </si>
  <si>
    <t>ΣΤΑΜΑΤΙΝΑ</t>
  </si>
  <si>
    <t>Χ833999</t>
  </si>
  <si>
    <t>842,6</t>
  </si>
  <si>
    <t>1700,6</t>
  </si>
  <si>
    <t>1247-1254-1217-1250-1219-1248-1253-1202-1205-1255-1222-1201</t>
  </si>
  <si>
    <t>ΘΑΝΑΣΟΥ</t>
  </si>
  <si>
    <t>Χ309245</t>
  </si>
  <si>
    <t>839,3</t>
  </si>
  <si>
    <t>1697,3</t>
  </si>
  <si>
    <t>ΑΘΑΝΑΣΑΚΗ</t>
  </si>
  <si>
    <t>ΒΑΣΙΛΙΚΗ</t>
  </si>
  <si>
    <t>ΑΕ861851</t>
  </si>
  <si>
    <t>688,6</t>
  </si>
  <si>
    <t>1696,6</t>
  </si>
  <si>
    <t>1255-1205-1202-1206-1219-1248-1222-1201-1254-1247-1253-1249-1217-1250-1251-1256</t>
  </si>
  <si>
    <t>ΝΤΖΟΙΔΟΣ</t>
  </si>
  <si>
    <t>ΑΒ979791</t>
  </si>
  <si>
    <t>1254-1247-1250-1253-1249</t>
  </si>
  <si>
    <t>ΤΣΙΜΠΗΣ</t>
  </si>
  <si>
    <t>ΠΑΡΑΣΚΕΥΑΣ</t>
  </si>
  <si>
    <t>Χ234594</t>
  </si>
  <si>
    <t>940,5</t>
  </si>
  <si>
    <t>1695,5</t>
  </si>
  <si>
    <t>1248-1219-1267</t>
  </si>
  <si>
    <t>ΦΑΡΑΣΟΠΟΥΛΟΥ</t>
  </si>
  <si>
    <t>ΑΜ905515</t>
  </si>
  <si>
    <t>665,5</t>
  </si>
  <si>
    <t>1202-1203-1204-1205-1206-1217-1218-1219-1221-1247-1248-1249-1250-1252-1253-1254</t>
  </si>
  <si>
    <t>ΕΛΕΚΙΔΗΣ</t>
  </si>
  <si>
    <t>ΑΝΕΣΤΗΣ</t>
  </si>
  <si>
    <t>ΑΑ962279</t>
  </si>
  <si>
    <t>837,1</t>
  </si>
  <si>
    <t>1695,1</t>
  </si>
  <si>
    <t>1219-1267-1206-1253-1248-1256-1249-1255-1201-1205-1202-1254-1247-1250-1217-1251</t>
  </si>
  <si>
    <t>ΚΟΣΜΑΔΑΚΗ</t>
  </si>
  <si>
    <t>ΜΙΝΩΣ</t>
  </si>
  <si>
    <t>Χ359786</t>
  </si>
  <si>
    <t>1202-1205-1255-1250-1217-1253-1254-1201-1249-1267-1219-1247-1256-1222-1251</t>
  </si>
  <si>
    <t>ΚΟΚΟΡΑΚΗΣ</t>
  </si>
  <si>
    <t>ΓΡΗΓΟΡΙΟΣ</t>
  </si>
  <si>
    <t>Ξ241055</t>
  </si>
  <si>
    <t>1201-1202-1204-1205-1206-1217-1218-1219-1220-1221-1222-1223-1247-1248-1249-1250-1251-1252-1253-1254-1255-1256</t>
  </si>
  <si>
    <t>ΒΑΣΙΛΕΙΟΥ</t>
  </si>
  <si>
    <t>ΒΙΚΤΩΡΙΑ ΜΑΡΙΑ</t>
  </si>
  <si>
    <t>ΣΤΑΜΑΤΙΟΣ</t>
  </si>
  <si>
    <t>ΑΙ483319</t>
  </si>
  <si>
    <t>799,7</t>
  </si>
  <si>
    <t>1687,7</t>
  </si>
  <si>
    <t>ΜΠΕΛΗΣ</t>
  </si>
  <si>
    <t>ΑΕ337512</t>
  </si>
  <si>
    <t>1687,4</t>
  </si>
  <si>
    <t>ΧΑΛΟΥ</t>
  </si>
  <si>
    <t>ΜΑΡΙΑ-ΑΓΓΕΛΙΚΗ</t>
  </si>
  <si>
    <t>ΑΙ291914</t>
  </si>
  <si>
    <t>1026,3</t>
  </si>
  <si>
    <t>1684,3</t>
  </si>
  <si>
    <t>1203-1201-1267-1252-1219-1248-1250-1222-1247-1206-1253-1220-1256-1249-1217-1218-1254-1223</t>
  </si>
  <si>
    <t>ΠΑΠΑΔΟΠΟΥΛΟΥ</t>
  </si>
  <si>
    <t>ΗΛΙΑΣ</t>
  </si>
  <si>
    <t>Χ369231</t>
  </si>
  <si>
    <t>782,1</t>
  </si>
  <si>
    <t>1682,1</t>
  </si>
  <si>
    <t>1206-1250-1217-1253-1203-1249-1201-1247-1254-1248-1267-1219-1218-1255-1202-1205-1221-1204-1223-1256-1222-1251</t>
  </si>
  <si>
    <t>ΜΗΤΣΟΠΟΥΛΟΥ</t>
  </si>
  <si>
    <t>ΧΡΥΣΑΝΘΗ</t>
  </si>
  <si>
    <t>ΑΚ984103</t>
  </si>
  <si>
    <t>1249-1253-1256-1219-1267-1248-1206-1201-1254-1247-1218-1217-1250-1202-1251-1255</t>
  </si>
  <si>
    <t>ΚΑΤΣΑΡΑ</t>
  </si>
  <si>
    <t>ΑΝ363611</t>
  </si>
  <si>
    <t>1681,7</t>
  </si>
  <si>
    <t>1219-1267-1253-1203-1249-1223-1254-1248-1206-1217-1250-1247-1204-1202-1221-1255-1251</t>
  </si>
  <si>
    <t>ΖΑΓΚΟΥΜΙΔΟΥ</t>
  </si>
  <si>
    <t>ΣΤΥΛΙΑΝΟΣ</t>
  </si>
  <si>
    <t>ΑΕ679747</t>
  </si>
  <si>
    <t>1201-1202-1205-1206-1217-1219-1247-1248-1249-1250-1251-1254-1253-1255-1256</t>
  </si>
  <si>
    <t>ΠΑΠΑΕΥΑΓΓΕΛΟΥ</t>
  </si>
  <si>
    <t>ΣΙΜΕΛΑ</t>
  </si>
  <si>
    <t>ΑΝ218753</t>
  </si>
  <si>
    <t>1678,9</t>
  </si>
  <si>
    <t>1219-1267-1248-1206-1253-1221-1220-1222-1223-1256-1203-1202-1204-1205-1255-1249-1252-1254-1217-1250-1247-1218-1251</t>
  </si>
  <si>
    <t>ΛΑΖΙΟΥ</t>
  </si>
  <si>
    <t>ΑΖ263548</t>
  </si>
  <si>
    <t>1248-1219-1253-1256</t>
  </si>
  <si>
    <t>ΒΑΣΙΛΑΚΟΥ</t>
  </si>
  <si>
    <t>ΦΩΤΕΙΝΗ</t>
  </si>
  <si>
    <t>ΣΩΤΗΡΙΟΣ</t>
  </si>
  <si>
    <t>ΑΖ248715</t>
  </si>
  <si>
    <t>817,3</t>
  </si>
  <si>
    <t>1675,3</t>
  </si>
  <si>
    <t>1249-1253-1201-1206-1248-1267-1219-1247-1250-1217-1254</t>
  </si>
  <si>
    <t>ΜΥΛΩΝΑΚΗΣ</t>
  </si>
  <si>
    <t>ΑΜ677176</t>
  </si>
  <si>
    <t>754,6</t>
  </si>
  <si>
    <t>1673,6</t>
  </si>
  <si>
    <t>1267-1248-1253-1206-1201-1249-1255-1205-1254-1250-1247-1202</t>
  </si>
  <si>
    <t>ΧΑΤΖΗΠΟΛΥΖΗΣ</t>
  </si>
  <si>
    <t>ΑΚ301337</t>
  </si>
  <si>
    <t>1673,3</t>
  </si>
  <si>
    <t>ΤΣΙΓΑΡΑ</t>
  </si>
  <si>
    <t>ΣΠΥΡΙΔΩΝ</t>
  </si>
  <si>
    <t>Ρ351808</t>
  </si>
  <si>
    <t>1203-1248</t>
  </si>
  <si>
    <t>ΜΠΑΝΤΕΚΑΣ</t>
  </si>
  <si>
    <t>ΑΖ346076</t>
  </si>
  <si>
    <t>752,4</t>
  </si>
  <si>
    <t>1670,4</t>
  </si>
  <si>
    <t>1222-1219-1248</t>
  </si>
  <si>
    <t>ΚΟΤΖΑΓΕΩΡΓΙΟΥ</t>
  </si>
  <si>
    <t>ΑΙ233619</t>
  </si>
  <si>
    <t>755,7</t>
  </si>
  <si>
    <t>1663,7</t>
  </si>
  <si>
    <t>1217-1250</t>
  </si>
  <si>
    <t>ΜΑΚΡΥΒΟΓΙΑΤΖΑΚΗΣ</t>
  </si>
  <si>
    <t>ΑΝ472791</t>
  </si>
  <si>
    <t>1221-1205-1204-1255-1202-1201-1206-1217-1218-1219-1247-1248-1249-1250-1252-1253-1254-1203-1267</t>
  </si>
  <si>
    <t>ΟΡΛΗ</t>
  </si>
  <si>
    <t>ΕΥΑΓΓΕΛΙΑ</t>
  </si>
  <si>
    <t>Σ340426</t>
  </si>
  <si>
    <t>1662,4</t>
  </si>
  <si>
    <t>1219-1248-1206-1253-1249</t>
  </si>
  <si>
    <t>ΠΑΠΑΚΩΝΣΤΑΝΤΙΝΟΥ</t>
  </si>
  <si>
    <t>Ρ160269</t>
  </si>
  <si>
    <t>1219-1248-1253-1267</t>
  </si>
  <si>
    <t>ΓΚΕΛΣΙΝΗ</t>
  </si>
  <si>
    <t>ΠΟΛΥΞΕΝΗ</t>
  </si>
  <si>
    <t>ΛΕΩΝΙΔΑΣ</t>
  </si>
  <si>
    <t>ΑΚ943272</t>
  </si>
  <si>
    <t>1219-1267-1253-1248</t>
  </si>
  <si>
    <t>ΓΕΩΡΓΙΟΥΔΑΚΗ</t>
  </si>
  <si>
    <t>ΑΙ966775</t>
  </si>
  <si>
    <t>885,5</t>
  </si>
  <si>
    <t>1660,5</t>
  </si>
  <si>
    <t>1221-1202-1205-1255-1206-1219-1248-1253-1252-1201-1254-1250-1247-1249-1217-1267-1256-1251</t>
  </si>
  <si>
    <t>ΠΙΛΕΝΙΔΟΥ</t>
  </si>
  <si>
    <t>ΟΛΓΑ</t>
  </si>
  <si>
    <t>ΑΖ854314</t>
  </si>
  <si>
    <t>1219-1267-1248-1253-1206-1249-1247-1252-1250-1202</t>
  </si>
  <si>
    <t>ΕΥΣΤΑΘΙΟΣ</t>
  </si>
  <si>
    <t>ΑΚ839183</t>
  </si>
  <si>
    <t>1201-1202-1203-1204-1205-1206-1217-1218-1219-1220-1221-1222-1223-1247-1248-1249-1250-1251-1252-1253-1254-1255-1256-1267</t>
  </si>
  <si>
    <t>ΚΟΥΤΡΑΣ</t>
  </si>
  <si>
    <t>ΓΕΡΑΣΙΜΟΣ</t>
  </si>
  <si>
    <t>ΑΜ587217</t>
  </si>
  <si>
    <t>809,6</t>
  </si>
  <si>
    <t>1657,6</t>
  </si>
  <si>
    <t>1247-1254-1250-1201-1249-1248-1267-1253-1256-1202-1205-1206-1265</t>
  </si>
  <si>
    <t>ΖΑΧΑΡΙΟΥ</t>
  </si>
  <si>
    <t>ΑΗ505700</t>
  </si>
  <si>
    <t>1656,6</t>
  </si>
  <si>
    <t>1247-1217-1250</t>
  </si>
  <si>
    <t>ΓΚΟΛΦΙΝΟΠΟΥΛΟΣ</t>
  </si>
  <si>
    <t>ΑΙ766581</t>
  </si>
  <si>
    <t>683,1</t>
  </si>
  <si>
    <t>1655,1</t>
  </si>
  <si>
    <t>1217-1250-1247-1254-1219-1248-1201-1249-1253-1256-1206-1255-1222-1205-1202-1251</t>
  </si>
  <si>
    <t>ΦΟΥΣΤΕΡΗ</t>
  </si>
  <si>
    <t>ΑΦΡΟΔΙΤΗ</t>
  </si>
  <si>
    <t>ΑΚ597101</t>
  </si>
  <si>
    <t>764,5</t>
  </si>
  <si>
    <t>1652,5</t>
  </si>
  <si>
    <t>1217-1250-1247-1254-1201-1219-1248-1267-1206-1202-1255-1205</t>
  </si>
  <si>
    <t>ΑΓΓΕΛΟΥ</t>
  </si>
  <si>
    <t>ΑΣΗΜΙΝΑ</t>
  </si>
  <si>
    <t>ΑΝ495303</t>
  </si>
  <si>
    <t>728,2</t>
  </si>
  <si>
    <t>1651,2</t>
  </si>
  <si>
    <t>1202-1203-1204-1205-1206-1217-1219-1221-1247-1248-1249-1250-1252-1253-1254-1255-1267</t>
  </si>
  <si>
    <t>ΤΖΟΒΑΡΑ</t>
  </si>
  <si>
    <t>Τ479881</t>
  </si>
  <si>
    <t>1254-1247-1250</t>
  </si>
  <si>
    <t>ΔΡΑΜΠΑ</t>
  </si>
  <si>
    <t>ΑΖ178537</t>
  </si>
  <si>
    <t>1219-1248-1220-1206-1253-1222</t>
  </si>
  <si>
    <t>ΤΕΡΤΗΣ</t>
  </si>
  <si>
    <t>ΑΖ292540</t>
  </si>
  <si>
    <t>1648,4</t>
  </si>
  <si>
    <t>ΚΑΛΟΓΕΡΑΚΟΣ</t>
  </si>
  <si>
    <t>Σ241887</t>
  </si>
  <si>
    <t>1248-1250-1247-1255-1251-1253-1254-1249-1256-1202-1205-1219-1217-1206</t>
  </si>
  <si>
    <t>ΧΑΤΖΗΜΑΝΩΛΗ</t>
  </si>
  <si>
    <t>ΕΥΣΤΑΘΙΑ</t>
  </si>
  <si>
    <t>ΛΟΥΚΑΣ</t>
  </si>
  <si>
    <t>Ξ995583</t>
  </si>
  <si>
    <t>1254-1247-1250-1206-1249-1253-1248-1219-1217-1201-1205-1202-1255</t>
  </si>
  <si>
    <t>ΚΑΡΑΚΟΝΤΑΚΗ</t>
  </si>
  <si>
    <t>ΑΝΤΩΝΙΟΣ</t>
  </si>
  <si>
    <t>Χ424229</t>
  </si>
  <si>
    <t>1249-1201-1254-1253-1206-1247-1255-1205-1202-1248-1267-1250</t>
  </si>
  <si>
    <t>ΜΠΑΣΟΥΡΗ</t>
  </si>
  <si>
    <t>ΖΩΗ</t>
  </si>
  <si>
    <t>Χ487460</t>
  </si>
  <si>
    <t>867,9</t>
  </si>
  <si>
    <t>1647,9</t>
  </si>
  <si>
    <t>1206-1219-1248-1202-1205-1217-1247-1249-1250-1251-1253-1254-1255-1256-1267</t>
  </si>
  <si>
    <t>ΚΟΥΚΟΡΙΝΗ</t>
  </si>
  <si>
    <t>ΜΙΣΕΛ-ΤΖΟΑΝΝΑ</t>
  </si>
  <si>
    <t>ΑΝ330576</t>
  </si>
  <si>
    <t>988,9</t>
  </si>
  <si>
    <t>1646,9</t>
  </si>
  <si>
    <t>1201-1219-1248-1249-1253-1256-1206-1247-1254-1217-1250-1205-1255-1202-1251</t>
  </si>
  <si>
    <t>ΑΝΔΡΙΟΠΟΥΛΟΥ</t>
  </si>
  <si>
    <t>ΑΗ135497</t>
  </si>
  <si>
    <t>828,3</t>
  </si>
  <si>
    <t>1646,3</t>
  </si>
  <si>
    <t>1205-1247-1217-1250-1255-1221-1254-1257-1219-1267-1206-1201-1202-1248</t>
  </si>
  <si>
    <t>ΝΤΑΛΑ</t>
  </si>
  <si>
    <t>ΛΑΜΠΡΙΝΗ</t>
  </si>
  <si>
    <t>ΑΚ134120</t>
  </si>
  <si>
    <t>1643,9</t>
  </si>
  <si>
    <t>1217-1250-1247</t>
  </si>
  <si>
    <t>ΣΩΠΑΣΗΣ</t>
  </si>
  <si>
    <t>Φ176121</t>
  </si>
  <si>
    <t>785,4</t>
  </si>
  <si>
    <t>1643,4</t>
  </si>
  <si>
    <t>1202-1205-1204-1206-1201-1248-1247-1255-1267-1250-1253-1254-1249-1256</t>
  </si>
  <si>
    <t>ΑΘΑΝΑΣΑΣ</t>
  </si>
  <si>
    <t>ΑΒ080849</t>
  </si>
  <si>
    <t>1250-1247-1255-1205-1253-1249-1254-1202-1252-1206-1248</t>
  </si>
  <si>
    <t>ΜΗΛΙΟΥ</t>
  </si>
  <si>
    <t>ΑΜΑΛΙΑ</t>
  </si>
  <si>
    <t>Ρ967307</t>
  </si>
  <si>
    <t>1206-1217-1219-1201-1202-1205-1247-1248-1249-1250</t>
  </si>
  <si>
    <t>ΣΑΜΑΡΑ</t>
  </si>
  <si>
    <t>ΔΑΦΝΗ</t>
  </si>
  <si>
    <t>ΑΖ789760</t>
  </si>
  <si>
    <t>1249-1253-1256-1267-1248-1219-1201-1206-1247-1254-1250-1217-1202-1255-1251</t>
  </si>
  <si>
    <t>ΠΑΡΑΣΚΕΥΗ</t>
  </si>
  <si>
    <t>ΑΜ108955</t>
  </si>
  <si>
    <t>707,3</t>
  </si>
  <si>
    <t>1639,3</t>
  </si>
  <si>
    <t>1202-1205-1217-1206-1219-1247-1248-1250-1249-1254-1255-1253-1267</t>
  </si>
  <si>
    <t>ΑΗ787836</t>
  </si>
  <si>
    <t>661,1</t>
  </si>
  <si>
    <t>1639,1</t>
  </si>
  <si>
    <t>1249-1267-1248-1253-1254-1256-1247-1206-1218-1250-1255</t>
  </si>
  <si>
    <t>ΜΠΑΛΚΟΥΛΗΣ</t>
  </si>
  <si>
    <t>ΝΙΚΟΛΑΟΣ ΑΝΤΩΝΙΟΣ</t>
  </si>
  <si>
    <t>ΑΑ432927</t>
  </si>
  <si>
    <t>1201-1203-1252-1248-1219-1254-1267-1222-1247-1218-1220-1223-1256-1253-1202-1206-1217-1221-1255-1204-1249-1250-1205-1251</t>
  </si>
  <si>
    <t>ΓΡΗΓΟΡΙΟΥ</t>
  </si>
  <si>
    <t>ΑΧΙΛΛΕΑΣ</t>
  </si>
  <si>
    <t>ΑΚ923079</t>
  </si>
  <si>
    <t>1638,9</t>
  </si>
  <si>
    <t>1256-1267-1202-1255-1205-1206-1248-1249-1247-1253-1254-1250</t>
  </si>
  <si>
    <t>ΚΟΥΤΣΟΓΙΑΝΝΗ</t>
  </si>
  <si>
    <t>Σ468679</t>
  </si>
  <si>
    <t>1201-1254-1267-1219-1248-1247-1256-1253-1206-1249-1217-1250-1202-1255-1251</t>
  </si>
  <si>
    <t>ΠΑΥΛΙΔΟΥ</t>
  </si>
  <si>
    <t>ΑΖ787991</t>
  </si>
  <si>
    <t>1249-1253-1256-1248-1219-1267-1206</t>
  </si>
  <si>
    <t>ΒΑΣΙΛΑΡΟΥ</t>
  </si>
  <si>
    <t>ΑΓΓΕΛΙΚΗ</t>
  </si>
  <si>
    <t>ΑΙ659058</t>
  </si>
  <si>
    <t>1202-1219-1267-1248-1205-1255-1201-1203-1204-1221-1252-1254-1257-1256-1253-1250-1217-1247-1206-1218-1222-1220-1223-1251-1249</t>
  </si>
  <si>
    <t>ΜΥΛΩΝΟΠΟΥΛΟΥ</t>
  </si>
  <si>
    <t>ΕΥΘΥΜΙΑ</t>
  </si>
  <si>
    <t>Ρ919064</t>
  </si>
  <si>
    <t>779,9</t>
  </si>
  <si>
    <t>1633,9</t>
  </si>
  <si>
    <t>1217-1250-1247-1248-1219-1202-1205-1255-1204-1253-1267-1256-1254-1221-1252-1206-1249-1220-1222</t>
  </si>
  <si>
    <t>ΣΠΥΡΟΥ</t>
  </si>
  <si>
    <t>ΑΑ418159</t>
  </si>
  <si>
    <t>734,8</t>
  </si>
  <si>
    <t>1632,8</t>
  </si>
  <si>
    <t>ΓΕΛΛΑΛΗ</t>
  </si>
  <si>
    <t>ΑΗ762365</t>
  </si>
  <si>
    <t>1201-1219-1267-1248-1253-1249-1254-1247-1206-1250-1217-1255-1205-1202-1221</t>
  </si>
  <si>
    <t>ΑΝΤΩΝΙΑ</t>
  </si>
  <si>
    <t>Π919647</t>
  </si>
  <si>
    <t>1250-1218</t>
  </si>
  <si>
    <t>ΓΕΡΑΓΟΡΗ</t>
  </si>
  <si>
    <t>ΝΙΚΗ</t>
  </si>
  <si>
    <t>Ρ980803</t>
  </si>
  <si>
    <t>1249-1248-1253-1250-1247-1221-1219-1222-1254</t>
  </si>
  <si>
    <t>ΤΣΟΥΝΗ</t>
  </si>
  <si>
    <t>ΜΑΡΙΟΣ</t>
  </si>
  <si>
    <t>ΑΖ498505</t>
  </si>
  <si>
    <t>1254-1201-1219-1217-1250-1247-1249-1206-1255-1202-1205-1222-1253-1251</t>
  </si>
  <si>
    <t>ΚΑΛΛΗ</t>
  </si>
  <si>
    <t>ΑΜ999517</t>
  </si>
  <si>
    <t>765,6</t>
  </si>
  <si>
    <t>1623,6</t>
  </si>
  <si>
    <t>1247-1254-1248-1253-1249-1255-1201-1202-1206-1205-1217-1219-1250</t>
  </si>
  <si>
    <t>ΧΙΝΤΙΑΔΟΥ</t>
  </si>
  <si>
    <t>ΑΝΑΣΤΑΣΙΑ</t>
  </si>
  <si>
    <t>ΑΙ605205</t>
  </si>
  <si>
    <t>775,5</t>
  </si>
  <si>
    <t>1623,5</t>
  </si>
  <si>
    <t>ΜΑΝΙΑΤΗ</t>
  </si>
  <si>
    <t>ΚΑΤΕΡΙΝΑ</t>
  </si>
  <si>
    <t>ΑΚ801315</t>
  </si>
  <si>
    <t>1621,7</t>
  </si>
  <si>
    <t>1247-1250-1217-1254-1201-1219-1248-1206-1253-1255-1205-1202</t>
  </si>
  <si>
    <t>ΠΑΛΛΑ</t>
  </si>
  <si>
    <t>Χ393865</t>
  </si>
  <si>
    <t>763,4</t>
  </si>
  <si>
    <t>1621,4</t>
  </si>
  <si>
    <t>1248-1267-1253-1249-1206</t>
  </si>
  <si>
    <t>ΒΟΥΖΑΣ</t>
  </si>
  <si>
    <t>ΑΙ499080</t>
  </si>
  <si>
    <t>793,1</t>
  </si>
  <si>
    <t>1621,1</t>
  </si>
  <si>
    <t>1206-1247-1248-1249-1250-1253-1254-1255-1256-1267</t>
  </si>
  <si>
    <t>ΓΛΕΖΑΚΗΣ</t>
  </si>
  <si>
    <t>ΠΑΝΤΕΛΕΗΜΩΝ</t>
  </si>
  <si>
    <t>Σ142333</t>
  </si>
  <si>
    <t>1617,1</t>
  </si>
  <si>
    <t>ΠΟΙΜΕΝΙΔΟΥ</t>
  </si>
  <si>
    <t>ΑΜ366072</t>
  </si>
  <si>
    <t>1252-1201-1267-1219-1248-1256-1254-1253-1247-1255-1250-1249-1205-1202</t>
  </si>
  <si>
    <t>ΣΑΜΑΡΤΖΗΣ</t>
  </si>
  <si>
    <t>ΑΒ984614</t>
  </si>
  <si>
    <t>ΠΑΝΑΓΙΩΤΟΠΟΥΛΟΥ</t>
  </si>
  <si>
    <t>ΒΙΡΓΙΝΙΑ</t>
  </si>
  <si>
    <t>ΑΝ186880</t>
  </si>
  <si>
    <t>1219-1202-1204-1205-1206-1201-1220-1221-1222-1223-1248</t>
  </si>
  <si>
    <t>ΓΙΔΟΥ</t>
  </si>
  <si>
    <t>ΑΒ442174</t>
  </si>
  <si>
    <t>1256-1253-1248-1267-1219-1249-1206-1222-1201-1203-1252</t>
  </si>
  <si>
    <t>ΜΕΛΕΤΙΑΔΗΣ</t>
  </si>
  <si>
    <t>Χ395151</t>
  </si>
  <si>
    <t>1613,7</t>
  </si>
  <si>
    <t>ΛΙΟΥΣΑ</t>
  </si>
  <si>
    <t>ΣΤΕΛΑ</t>
  </si>
  <si>
    <t>Χ974273</t>
  </si>
  <si>
    <t>818,4</t>
  </si>
  <si>
    <t>1613,4</t>
  </si>
  <si>
    <t>1222-1248-1267-1206-1203-1253-1249-1201-1218-1247-1254-1250-1255-1205-1202-1221</t>
  </si>
  <si>
    <t>ΤΣΙΩΛΗΣ</t>
  </si>
  <si>
    <t>ΑΜ092118</t>
  </si>
  <si>
    <t>685,3</t>
  </si>
  <si>
    <t>1613,3</t>
  </si>
  <si>
    <t>1202-1203-1204-1205-1206-1247-1248-1249-1250-1251-1252-1253-1254-1255-1256-1267</t>
  </si>
  <si>
    <t>ΑΜ763410</t>
  </si>
  <si>
    <t>ΚΑΡΑΝΩΤΑ</t>
  </si>
  <si>
    <t>ΑΒ856236</t>
  </si>
  <si>
    <t>1249-1253</t>
  </si>
  <si>
    <t>ΜΑΥΡΟΜΜΑΤΗΣ</t>
  </si>
  <si>
    <t>ΑΕ191251</t>
  </si>
  <si>
    <t>1248-1267-1222-1256-1253-1206-1249-1203-1223-1251-1255-1204-1205</t>
  </si>
  <si>
    <t>ΣΑΛΑΜΟΥΡΑΣ</t>
  </si>
  <si>
    <t>ΣΕΡΑΦΕΙΜ</t>
  </si>
  <si>
    <t>ΒΛΑΣΙΟΣ</t>
  </si>
  <si>
    <t>ΑΚ330926</t>
  </si>
  <si>
    <t>723,8</t>
  </si>
  <si>
    <t>1611,8</t>
  </si>
  <si>
    <t>1218-1201-1252-1250-1217-1247-1253-1254-1249-1206-1219-1248-1202-1204-1205-1255-1221</t>
  </si>
  <si>
    <t>ΡΑΥΤΟΠΟΥΛΟΥ</t>
  </si>
  <si>
    <t>ΟΛΙΒΙΑ</t>
  </si>
  <si>
    <t>ΑΕ782020</t>
  </si>
  <si>
    <t>722,7</t>
  </si>
  <si>
    <t>1610,7</t>
  </si>
  <si>
    <t>1250-1217-1267</t>
  </si>
  <si>
    <t>ΣΠΙΝΙΑΔΑΚΗ ΣΤΑΥΡΟΥΛΑΚΗ</t>
  </si>
  <si>
    <t>ΑΑ464979</t>
  </si>
  <si>
    <t>1610,4</t>
  </si>
  <si>
    <t>1221-1255-1205-1204-1202-1250-1247-1248-1254-1252-1253-1206-1203-1218-1249-1223-1256</t>
  </si>
  <si>
    <t>ΝΕΡΑΝΤΖΟΥΛΑΚΗΣ</t>
  </si>
  <si>
    <t>ΑΒ963686</t>
  </si>
  <si>
    <t>760,1</t>
  </si>
  <si>
    <t>1609,1</t>
  </si>
  <si>
    <t>1202-1221-1204-1205-1255-1250-1247-1267-1248-1203-1206-1222-1223-1249-1253-1254-1256</t>
  </si>
  <si>
    <t>ΑΗ665085</t>
  </si>
  <si>
    <t>1248-1267-1206-1253-1249-1256-1218-1247-1254-1250-1255</t>
  </si>
  <si>
    <t>ΒΑΣΙΛΟΠΟΥΛΟΣ</t>
  </si>
  <si>
    <t>Τ888196</t>
  </si>
  <si>
    <t>1250-1247-1254-1206-1248-1267-1218-1203-1201-1252-1220-1253-1249-1202-1205-1255-1204-1221-1256-1223</t>
  </si>
  <si>
    <t>ΤΑΓΛΗΣ</t>
  </si>
  <si>
    <t>ΑΕ604125</t>
  </si>
  <si>
    <t>1606,2</t>
  </si>
  <si>
    <t>1217-1218-1250-1254</t>
  </si>
  <si>
    <t>ΣΤΕΡΓΙΟΥ</t>
  </si>
  <si>
    <t>ΑΕ124696</t>
  </si>
  <si>
    <t>1247-1217-1250-1254-1218-1252-1203-1219-1253-1205-1255-1204-1249-1248-1221-1202-1206-1267-1201</t>
  </si>
  <si>
    <t>ΜΑΚΡΑΚΗΣ</t>
  </si>
  <si>
    <t>ΑΒ328937</t>
  </si>
  <si>
    <t>1267-1205-1203-1201-1202-1204-1206-1217-1218-1219-1220-1221-1222-1223-1247-1248-1249-1250-1251-1252-1253-1254-1255-1256</t>
  </si>
  <si>
    <t>ΑΡΣΕΝΙΔΟΥ</t>
  </si>
  <si>
    <t>Χ890251</t>
  </si>
  <si>
    <t>804,1</t>
  </si>
  <si>
    <t>1602,1</t>
  </si>
  <si>
    <t>1206-1219-1267-1249-1253-1222-1220-1203-1256-1248-1252-1201-1202-1204-1205-1255-1221-1223-1247-1254-1218-1217-1250-1251</t>
  </si>
  <si>
    <t>ΜΙΝΤΖΑΡΙΔΟΥ</t>
  </si>
  <si>
    <t>ΑΙ153406</t>
  </si>
  <si>
    <t>1253-1267-1219-1248-1256-1249-1206-1254-1250-1203-1218</t>
  </si>
  <si>
    <t>ΚΟΣΜΑ</t>
  </si>
  <si>
    <t>ΑΛΕΞΙΑ</t>
  </si>
  <si>
    <t>ΑΑ225774</t>
  </si>
  <si>
    <t>1219-1248-1205-1255-1220-1221-1267</t>
  </si>
  <si>
    <t>ΓΚΙΟΚΑΣ</t>
  </si>
  <si>
    <t>Χ889752</t>
  </si>
  <si>
    <t>831,6</t>
  </si>
  <si>
    <t>1599,6</t>
  </si>
  <si>
    <t>ΚΕΜΕΝΤΖΕΣΙΔΟΥ</t>
  </si>
  <si>
    <t>ΠΑΝΑΓΙΩΤΑ</t>
  </si>
  <si>
    <t>ΑΜ651912</t>
  </si>
  <si>
    <t>1599,1</t>
  </si>
  <si>
    <t>1248-1219</t>
  </si>
  <si>
    <t>ΚΑΡΑΜΗΤΡΗ</t>
  </si>
  <si>
    <t>Χ220116</t>
  </si>
  <si>
    <t>1201-1202-1203-1204-1205-1206-1217-1218-1219-1221-1222-1223-1247-1248-1249-1250-1251-1253-1254-1255-1256-1267</t>
  </si>
  <si>
    <t>ΓΕΡΟΚΩΣΤΑ</t>
  </si>
  <si>
    <t>ΑΗ266291</t>
  </si>
  <si>
    <t>738,1</t>
  </si>
  <si>
    <t>1596,1</t>
  </si>
  <si>
    <t>1252-1219-1223-1254-1253-1256-1220-1249-1248-1222-1206-1218-1217-1250-1255-1204-1205-1202-1221-1251</t>
  </si>
  <si>
    <t>ΖΙΩΓΑΣ</t>
  </si>
  <si>
    <t>Π446444</t>
  </si>
  <si>
    <t>766,7</t>
  </si>
  <si>
    <t>1594,7</t>
  </si>
  <si>
    <t>1248-1247-1249-1250-1253-1254-1256-1255-1252-1218-1217-1219-1220-1222-1206-1221-1223-1201-1205-1204-1202-1251-1203-1267</t>
  </si>
  <si>
    <t>ΓΚΡΙΤΣΑ</t>
  </si>
  <si>
    <t>Χ120135</t>
  </si>
  <si>
    <t>1250-1217-1247-1204-1205-1255-1221-1202-1248-1219-1267-1223-1201-1206-1254-1251-1249-1253-1256-1222-1218-1220-1203</t>
  </si>
  <si>
    <t>ΒΕΛΑΩΡΑ</t>
  </si>
  <si>
    <t>ΑΗ003351</t>
  </si>
  <si>
    <t>776,6</t>
  </si>
  <si>
    <t>1594,6</t>
  </si>
  <si>
    <t>1254-1257-1267-1248-1219-1250-1201-1252-1203-1253-1247-1217-1206-1222-1220-1218-1249-1223</t>
  </si>
  <si>
    <t>ΠΑΤΡΙΚΗ</t>
  </si>
  <si>
    <t>ΔΕΣΠΟΙΝΑ</t>
  </si>
  <si>
    <t>ΑΕ662091</t>
  </si>
  <si>
    <t>1249-1267-1248-1253-1256-1206-1201-1254-1247-1250-1255-1205-1202</t>
  </si>
  <si>
    <t>ΜΙΜΗΤΟΥ</t>
  </si>
  <si>
    <t>ΑΙ353446</t>
  </si>
  <si>
    <t>1249-1253-1219-1256</t>
  </si>
  <si>
    <t>ΣΤΑΜΑΤΑΚΗΣ</t>
  </si>
  <si>
    <t>ΑΒ721891</t>
  </si>
  <si>
    <t>1220-1219-1248-1256-1253-1222</t>
  </si>
  <si>
    <t>ΒΑΣΙΛΕΙΑΔΗΣ</t>
  </si>
  <si>
    <t>ΑΖ675915</t>
  </si>
  <si>
    <t>1591,7</t>
  </si>
  <si>
    <t>1219-1267-1248-1256-1253</t>
  </si>
  <si>
    <t>ΜΠΑΓΙΑΣ</t>
  </si>
  <si>
    <t>ΚΑΛΛΙΣΘΕΝΗΣ</t>
  </si>
  <si>
    <t>ΑΖ310962</t>
  </si>
  <si>
    <t>1256-1253-1248-1267-1219-1254-1249-1247-1201-1206-1217-1218-1250</t>
  </si>
  <si>
    <t>ΜΙΧΑΛΟΥΣΗ</t>
  </si>
  <si>
    <t>Σ970577</t>
  </si>
  <si>
    <t>1590,6</t>
  </si>
  <si>
    <t>1222-1219-1206-1248-1253-1220</t>
  </si>
  <si>
    <t>ΚΟΡΔΑ</t>
  </si>
  <si>
    <t>ΠΗΝΕΛΟΠΗ</t>
  </si>
  <si>
    <t>Τ265604</t>
  </si>
  <si>
    <t>711,7</t>
  </si>
  <si>
    <t>1589,7</t>
  </si>
  <si>
    <t>1201-1202-1204-1205-1206-1217-1218-1219-1220-1221-1222-1223-1247-1248-1249-1250-1251-1252-1253-1254-1255-1256-1267-1203</t>
  </si>
  <si>
    <t>ΚΑΛΙΑΚΟΥΔΑΣ</t>
  </si>
  <si>
    <t>ΑΗ174558</t>
  </si>
  <si>
    <t>1589,1</t>
  </si>
  <si>
    <t>1248-1267-1253</t>
  </si>
  <si>
    <t>ΚΑΛΗΜΑΝΗ</t>
  </si>
  <si>
    <t>ΑΡΙΣΤΟΚΛΗΣ</t>
  </si>
  <si>
    <t>ΑΚ898575</t>
  </si>
  <si>
    <t>1267-1248</t>
  </si>
  <si>
    <t>ΚΩΤΟΥΛΑ</t>
  </si>
  <si>
    <t>ΑΙ329070</t>
  </si>
  <si>
    <t>1249-1253-1248-1254-1206-1247-1201-1267-1250-1255-1202</t>
  </si>
  <si>
    <t>ΦΡΑΓΓΕΔΑΚΗ</t>
  </si>
  <si>
    <t>ΙΩΑΝΝΑ</t>
  </si>
  <si>
    <t>Χ296862</t>
  </si>
  <si>
    <t>1255-1248-1247-1250-1252-1254-1253-1256-1249</t>
  </si>
  <si>
    <t>ΤΣΑΛΙΚΑΚΗ</t>
  </si>
  <si>
    <t>ΑΚ900557</t>
  </si>
  <si>
    <t>1219-1248-1253-1206-1202-1205-1249-1201-1267-1255</t>
  </si>
  <si>
    <t>ΜΑΡΑΥΓΑΚΗ</t>
  </si>
  <si>
    <t>ΑΗ458156</t>
  </si>
  <si>
    <t>1202-1221-1255-1205-1204-1247-1219-1248-1217-1250-1206-1249-1253-1254-1201</t>
  </si>
  <si>
    <t>ΤΣΙΓΓΕΝΗ</t>
  </si>
  <si>
    <t>ΕΛΙΣΑΒΕΤ</t>
  </si>
  <si>
    <t>ΑΑ229123</t>
  </si>
  <si>
    <t>1219-1248-1256-1267</t>
  </si>
  <si>
    <t>ΜΠΟΥΛΟΥΜΠΑΣΗ</t>
  </si>
  <si>
    <t>ΑΕ712425</t>
  </si>
  <si>
    <t>1218-1250-1217</t>
  </si>
  <si>
    <t>ΤΣΙΓΚΑ</t>
  </si>
  <si>
    <t>ΑΗ273791</t>
  </si>
  <si>
    <t>1201-1202-1205-1206-1247-1248-1249-1250-1253-1254-1255-1267-1221</t>
  </si>
  <si>
    <t>ΤΣΙΤΣΙΡΙΔΑΚΗ</t>
  </si>
  <si>
    <t>ΑΙ474834</t>
  </si>
  <si>
    <t>1255-1205-1202-1221-1250-1247-1254-1253-1249-1206-1267-1248-1201</t>
  </si>
  <si>
    <t>ΜΕΓΑ</t>
  </si>
  <si>
    <t>ΑΙ262332</t>
  </si>
  <si>
    <t>1256-1219-1267-1248-1206-1203-1201-1253-1249-1252-1250-1218-1220-1222-1217-1254-1247-1223-1221-1251-1255-1202-1204-1205</t>
  </si>
  <si>
    <t>ΤΟΥΦΕΞΗ</t>
  </si>
  <si>
    <t>Φ327194</t>
  </si>
  <si>
    <t>794,2</t>
  </si>
  <si>
    <t>1582,2</t>
  </si>
  <si>
    <t>1222-1248-1206-1253-1249-1250-1255</t>
  </si>
  <si>
    <t>ΔΗΜΟΥ</t>
  </si>
  <si>
    <t>ΑΗ271139</t>
  </si>
  <si>
    <t>1581,8</t>
  </si>
  <si>
    <t>1201-1219-1247-1248-1249-1252-1253-1267</t>
  </si>
  <si>
    <t>ΧΑΡΑΛΑΜΠΙΔΟΥ</t>
  </si>
  <si>
    <t>ΕΠΑΜΕΙΝΩΝΔΑΣ</t>
  </si>
  <si>
    <t>Ν921303</t>
  </si>
  <si>
    <t>1267-1248-1221-1203-1218-1253-1249-1206-1205-1255-1201-1202-1254-1247-1250</t>
  </si>
  <si>
    <t>ΜΙΧΑΗΛΙΔΟΥ</t>
  </si>
  <si>
    <t>ΣΒΕΤΛΑΝΑ</t>
  </si>
  <si>
    <t>ΛΑΥΡΕΝΤΗΣ</t>
  </si>
  <si>
    <t>ΑΒ128593</t>
  </si>
  <si>
    <t>909,7</t>
  </si>
  <si>
    <t>1580,7</t>
  </si>
  <si>
    <t>1206-1248</t>
  </si>
  <si>
    <t>ΠΙΤΕΛΗ</t>
  </si>
  <si>
    <t>ΑΖ610707</t>
  </si>
  <si>
    <t>ΝΑΣΙΟΠΟΥΛΟΥ</t>
  </si>
  <si>
    <t>ΑΖ299663</t>
  </si>
  <si>
    <t>ΤΣΙΩΡΑΣ</t>
  </si>
  <si>
    <t>ΒΙΚΤΩΡ</t>
  </si>
  <si>
    <t>ΑΒ110930</t>
  </si>
  <si>
    <t>1249-1248-1204-1205-1206-1201-1221-1247-1255</t>
  </si>
  <si>
    <t>ΠΟΛΙΤΗΣ</t>
  </si>
  <si>
    <t>Σ811625</t>
  </si>
  <si>
    <t>1218-1223-1204-1205-1206-1217-1219-1220-1221-1222-1247-1248-1249-1250-1251-1252-1253-1255-1254-1256-1202-1203</t>
  </si>
  <si>
    <t>Χ414723</t>
  </si>
  <si>
    <t>1576,7</t>
  </si>
  <si>
    <t>1203-1252-1254-1247-1249-1253-1248-1223-1256-1220-1222-1218-1250-1205-1267-1221-1204-1255-1202</t>
  </si>
  <si>
    <t>ΒΕΛΝΤΕΣ</t>
  </si>
  <si>
    <t>ΘΕΟΔΟΣΙΟΣ</t>
  </si>
  <si>
    <t>ΑΙ500816</t>
  </si>
  <si>
    <t>1247-1250-1248-1255-1205-1202-1254-1253-1267-1201-1249-1206</t>
  </si>
  <si>
    <t>Τ565045</t>
  </si>
  <si>
    <t>716,1</t>
  </si>
  <si>
    <t>1575,1</t>
  </si>
  <si>
    <t>1255-1205-1247-1217-1250-1233-1201-1257-1254-1267-1218-1253-1256-1248-1202-1206-1251-1249</t>
  </si>
  <si>
    <t>ΚΑΖΑΣ</t>
  </si>
  <si>
    <t>AH345462</t>
  </si>
  <si>
    <t>1574,1</t>
  </si>
  <si>
    <t>1222-1219-1248-1206</t>
  </si>
  <si>
    <t>ΛΑΜΠΡΟΠΟΥΛΟΣ</t>
  </si>
  <si>
    <t>ΑΙ840376</t>
  </si>
  <si>
    <t>1267-1202-1206-1253-1248-1247-1249-1255-1256-1250-1205-1222-1201-1221-1254</t>
  </si>
  <si>
    <t>ΚΑΛΑΘΑΣ</t>
  </si>
  <si>
    <t>ΑΕ764615</t>
  </si>
  <si>
    <t>1573,9</t>
  </si>
  <si>
    <t>1219-1248-1267-1222</t>
  </si>
  <si>
    <t>ΣΟΦΙΑΝΙΔΗΣ</t>
  </si>
  <si>
    <t>ΑΒ888849</t>
  </si>
  <si>
    <t>1253-1249-1256</t>
  </si>
  <si>
    <t>ΤΡΥΦΩΝ</t>
  </si>
  <si>
    <t>Χ798165</t>
  </si>
  <si>
    <t>1250-1217-1254-1201-1247-1219-1248-1206-1249-1253-1255</t>
  </si>
  <si>
    <t>ΖΑΒΒΑ</t>
  </si>
  <si>
    <t>ΑΗ678622</t>
  </si>
  <si>
    <t>1267-1219-1248-1220-1222-1203-1252-1201-1247-1250</t>
  </si>
  <si>
    <t>ΕΥΘΥΜΙΟΥ</t>
  </si>
  <si>
    <t>Σ430307</t>
  </si>
  <si>
    <t>1206-1267-1248-1219-1201-1202-1205-1217-1247-1249-1250-1251-1253-1254-1255-1256</t>
  </si>
  <si>
    <t>ΠΑΠΑΘΑΝΑΣΙΟΥ</t>
  </si>
  <si>
    <t>ΑΙ710435</t>
  </si>
  <si>
    <t>1569,7</t>
  </si>
  <si>
    <t>1219-1248-1253-1206-1249-1203-1252-1267</t>
  </si>
  <si>
    <t>ΚΑΤΣΙΦΑΣ</t>
  </si>
  <si>
    <t>ΣΩΚΡΑΤΗΣ</t>
  </si>
  <si>
    <t>ΑΚ933673</t>
  </si>
  <si>
    <t>1248-1253-1255-1205-1249-1206</t>
  </si>
  <si>
    <t>ΔΕΜΙΡΤΖΟΓΛΟΥ</t>
  </si>
  <si>
    <t>ΠΕΡΙΚΛΗΣ</t>
  </si>
  <si>
    <t>ΑΜ787828</t>
  </si>
  <si>
    <t>900,9</t>
  </si>
  <si>
    <t>1568,9</t>
  </si>
  <si>
    <t>1203-1222-1223-1201-1206-1249-1253-1254-1255-1202-1204-1205-1221-1256-1248-1219-1247-1250-1217-1251</t>
  </si>
  <si>
    <t>ΜΠΑΚΑΛΜΠΑΣΗΣ</t>
  </si>
  <si>
    <t>ΣΤΕΦΑΝΟΣ</t>
  </si>
  <si>
    <t>Ρ152847</t>
  </si>
  <si>
    <t>906,4</t>
  </si>
  <si>
    <t>1566,4</t>
  </si>
  <si>
    <t>1219-1248-1267-1253-1254-1206-1247-1201-1217-1218-1203-1249-1250-1255-1202-1221-1205-1256-1223-1251</t>
  </si>
  <si>
    <t>ΞΕΝΑΚΗ</t>
  </si>
  <si>
    <t>ΑΖ308247</t>
  </si>
  <si>
    <t>1256-1253-1249-1206-1248-1201-1221-1250-1254-1247-1255-1205-1202</t>
  </si>
  <si>
    <t>ΔΕΛΛΗΣ</t>
  </si>
  <si>
    <t>ΜΑΡΙΟΣ ΑΛΕΞΑΝΔΡΟΣ</t>
  </si>
  <si>
    <t>ΑΝ283601</t>
  </si>
  <si>
    <t>1202-1203-1204-1205-1206-1217-1218-1219-1221-1222-1223-1247-1248-1249-1250-1251-1252-1253-1254-1255-1256-1267</t>
  </si>
  <si>
    <t>ΒΑΣΙΛΕΙΑΔΟΥ</t>
  </si>
  <si>
    <t>ΑΙ324268</t>
  </si>
  <si>
    <t>777,7</t>
  </si>
  <si>
    <t>1565,7</t>
  </si>
  <si>
    <t>1249-1253-1204-1218-1223-1221-1219-1222-1220-1252-1205-1202-1201-1248-1206-1247-1255-1254-1250-1256-1251</t>
  </si>
  <si>
    <t>ΣΟΦΟΥ</t>
  </si>
  <si>
    <t>ΑΝ282013</t>
  </si>
  <si>
    <t>1250-1254-1218-1247-1249-1255-1253-1256-1248-1206</t>
  </si>
  <si>
    <t>ΤΣΙΟΚΑΣ</t>
  </si>
  <si>
    <t>ΤΑΚΗΣ</t>
  </si>
  <si>
    <t>Π788585</t>
  </si>
  <si>
    <t>1267-1248-1253-1206-1249-1255</t>
  </si>
  <si>
    <t>ΟΥΖΟΥΝΗ</t>
  </si>
  <si>
    <t>ΖΑΧΑΡΟΥΛΑ</t>
  </si>
  <si>
    <t>ΑΙ172983</t>
  </si>
  <si>
    <t>1248-1219-1267-1206-1249-1253-1247-1201-1217-1254-1250-1205-1255-1202-1256-1251</t>
  </si>
  <si>
    <t>ΚΑΤΑΚΟΣ</t>
  </si>
  <si>
    <t>ΑΜ138244</t>
  </si>
  <si>
    <t>1563,5</t>
  </si>
  <si>
    <t>1201-1219-1248-1267-1249-1217-1250-1247-1253-1254-1256</t>
  </si>
  <si>
    <t>ΖΑΡΟΓΙΑΝΝΗ</t>
  </si>
  <si>
    <t>ΑΕ816777</t>
  </si>
  <si>
    <t>1563,3</t>
  </si>
  <si>
    <t>ΜΕΙΜΑΡΙΔΟΥ</t>
  </si>
  <si>
    <t>ΑΖ825549</t>
  </si>
  <si>
    <t>1253-1248-1267-1206-1249-1202-1255-1205-1247-1201-1250-1254-1256-1218-1221-1203</t>
  </si>
  <si>
    <t>ΜΠΟΥΖΑ</t>
  </si>
  <si>
    <t>ΑΒ482378</t>
  </si>
  <si>
    <t>1202-1204-1205-1221-1255-1219-1248-1267-1250-1217-1247-1218-1201-1203-1206-1254-1253-1252-1249</t>
  </si>
  <si>
    <t>ΑΣΛΑΝΗ</t>
  </si>
  <si>
    <t>ΑΡΙΣΤΟΤΕΛΗΣ-ΠΑΥΛΟΣ</t>
  </si>
  <si>
    <t>ΑΕ889135</t>
  </si>
  <si>
    <t>1206-1219-1248-1267-1253-1256-1249-1201-1254-1247-1217-1250-1205-1255-1202-1251</t>
  </si>
  <si>
    <t>ΒΑΡΣΑΜΗ</t>
  </si>
  <si>
    <t>ΑΗ283540</t>
  </si>
  <si>
    <t>1201-1252-1203-1204-1205-1206-1221-1247-1248-1249-1250-1253-1254-1255-1256</t>
  </si>
  <si>
    <t>ΝΤΟΤΣΙΟΥ</t>
  </si>
  <si>
    <t>ΑΝ826111</t>
  </si>
  <si>
    <t>ΛΥΜΠΕΡΟΠΟΥΛΟΥ</t>
  </si>
  <si>
    <t>Ρ383864</t>
  </si>
  <si>
    <t>1560,6</t>
  </si>
  <si>
    <t>1250-1254-1247-1248-1206-1249-1253-1256-1255</t>
  </si>
  <si>
    <t>ΛΑΧΟΒΑΡΗ</t>
  </si>
  <si>
    <t>ΑΚ448421</t>
  </si>
  <si>
    <t>821,7</t>
  </si>
  <si>
    <t>1559,7</t>
  </si>
  <si>
    <t>1206-1248-1267-1253-1256-1249-1254-1218-1250-1255</t>
  </si>
  <si>
    <t>ΑΒΡΑΜΙΔΟΥ</t>
  </si>
  <si>
    <t xml:space="preserve">ΜΑΡΙΑ </t>
  </si>
  <si>
    <t>ΑΑ461060</t>
  </si>
  <si>
    <t>1559,5</t>
  </si>
  <si>
    <t>1248-1253-1206-1249-1247-1254-1250</t>
  </si>
  <si>
    <t>ΓΙΑΝΝΑΚΟΥΛΗΣ</t>
  </si>
  <si>
    <t>ΣΤΑΥΡΟΣ</t>
  </si>
  <si>
    <t>ΑΖ485500</t>
  </si>
  <si>
    <t>ΔΕΛΗΓΙΑΝΝΙΔΗ</t>
  </si>
  <si>
    <t>ΑΗ280257</t>
  </si>
  <si>
    <t>870,1</t>
  </si>
  <si>
    <t>1558,1</t>
  </si>
  <si>
    <t>1219-1206-1217-1250-1249-1248</t>
  </si>
  <si>
    <t>ΠΑΛΙΒΑΝΗ</t>
  </si>
  <si>
    <t>Σ927063</t>
  </si>
  <si>
    <t>1206-1247-1248-1249-1250-1253-1254-1255</t>
  </si>
  <si>
    <t>ΚΕΛΕΣΙΔΟΥ</t>
  </si>
  <si>
    <t>Ρ938983</t>
  </si>
  <si>
    <t>1267-1248-1206-1256-1222-1220-1249-1253-1254-1252-1247-1218</t>
  </si>
  <si>
    <t>ΚΑΚΟΥΡΗ</t>
  </si>
  <si>
    <t>ΑΒ079434</t>
  </si>
  <si>
    <t>761,2</t>
  </si>
  <si>
    <t>1556,2</t>
  </si>
  <si>
    <t>1218-1217-1254-1250-1203-1206-1247-1248-1219-1253-1252-1249-1202-1204-1205-1221-1255-1223-1220-1251-1256</t>
  </si>
  <si>
    <t>ΦΕΡΕΤΖΑΝΗ</t>
  </si>
  <si>
    <t>Ν468399</t>
  </si>
  <si>
    <t>1250-1247-1218-1254-1253-1248-1249-1206-1255</t>
  </si>
  <si>
    <t>ΚΟΥΡΟΥΝΗΣ</t>
  </si>
  <si>
    <t>ΤΑΞΙΑΡΧΗΣ</t>
  </si>
  <si>
    <t>ΑΙ232917</t>
  </si>
  <si>
    <t>744,7</t>
  </si>
  <si>
    <t>1555,7</t>
  </si>
  <si>
    <t>1247-1202-1255-1205-1254-1222-1219-1248-1206-1201-1217-1250-1253-1256-1249</t>
  </si>
  <si>
    <t>ΜΙΓΚΟΣ</t>
  </si>
  <si>
    <t>ΑΕ197960</t>
  </si>
  <si>
    <t>1248-1253-1206-1256-1249-1201</t>
  </si>
  <si>
    <t>ΣΥΡΟΠΟΥΛΟΥ</t>
  </si>
  <si>
    <t>ΕΥΣΤΡΑΤΙΟΣ</t>
  </si>
  <si>
    <t>ΑΜ703496</t>
  </si>
  <si>
    <t>1248-1267-1206-1249-1250-1253-1254-1255</t>
  </si>
  <si>
    <t>ΠΑΠΑΙΔΟΥ</t>
  </si>
  <si>
    <t>ΑΒ860050</t>
  </si>
  <si>
    <t>1249-1253-1248-1256-1206-1254-1247-1250-1255-1267</t>
  </si>
  <si>
    <t>ΔΗΛΙΑΠΗ</t>
  </si>
  <si>
    <t>ΑΜ865041</t>
  </si>
  <si>
    <t>1551,8</t>
  </si>
  <si>
    <t>1256-1253-1249-1248-1206-1247-1255</t>
  </si>
  <si>
    <t>ΣΚΕΝΤΖΟΥ</t>
  </si>
  <si>
    <t>ΔΙΟΝΥΣΙΟΣ</t>
  </si>
  <si>
    <t>Χ295327</t>
  </si>
  <si>
    <t>1549,2</t>
  </si>
  <si>
    <t>1250-1218-1206-1221-1252-1253-1220-1248-1222-1247-1249-1254-1255-1256-1267</t>
  </si>
  <si>
    <t>ΔΙΑΜΑΝΤΙΔΗΣ</t>
  </si>
  <si>
    <t>ΑΒ582107</t>
  </si>
  <si>
    <t>1546,6</t>
  </si>
  <si>
    <t>ΝΙΚΟΛΑΙΔΗΣ</t>
  </si>
  <si>
    <t>ΑΝΔΡΕΑΣ-ΝΙΚΟΛΑΟΣ</t>
  </si>
  <si>
    <t>ΑΚ748564</t>
  </si>
  <si>
    <t>708,4</t>
  </si>
  <si>
    <t>1546,4</t>
  </si>
  <si>
    <t>1250-1217-1254</t>
  </si>
  <si>
    <t>ΔΡΑΚΟΥ</t>
  </si>
  <si>
    <t>ΑΚ394814</t>
  </si>
  <si>
    <t>905,3</t>
  </si>
  <si>
    <t>1546,3</t>
  </si>
  <si>
    <t>1248-1247-1250-1249-1253-1254-1256-1201-1206-1202-1255</t>
  </si>
  <si>
    <t>ΓΕΡΟΝΤΙΔΟΥ</t>
  </si>
  <si>
    <t>ΑΕ167057</t>
  </si>
  <si>
    <t>687,5</t>
  </si>
  <si>
    <t>1545,5</t>
  </si>
  <si>
    <t>1219-1248-1220-1222-1206-1256-1203-1252-1253-1249-1223-1251-1202-1205</t>
  </si>
  <si>
    <t>ΖΥΓΟΓΙΑΝΝΗ</t>
  </si>
  <si>
    <t>ΑΖ986684</t>
  </si>
  <si>
    <t>ΓΚΟΥΒΑ</t>
  </si>
  <si>
    <t>ΑΒ809435</t>
  </si>
  <si>
    <t>1250-1248-1267-1247-1201-1255-1205-1202-1249-1253-1254-1206</t>
  </si>
  <si>
    <t>ΤΡΟΥΛΛΙΝΟΥ</t>
  </si>
  <si>
    <t>ΑΜ085112</t>
  </si>
  <si>
    <t>1206-1247-1248-1249-1250-1253-1254-1255-1267-1201-1202-1203-1204-1205-1217-1218-1219-1220-1221-1222-1223-1251-1252-1256</t>
  </si>
  <si>
    <t>ΚΟΤΣΑΝΗ</t>
  </si>
  <si>
    <t>ΔΙΟΝΥΣΙΑ</t>
  </si>
  <si>
    <t>Χ961032</t>
  </si>
  <si>
    <t>768,9</t>
  </si>
  <si>
    <t>1542,9</t>
  </si>
  <si>
    <t>1218-1219-1203-1217-1267-1248-1249-1252-1250-1247-1201-1221-1253-1254-1206-1202-1204-1205-1220-1222-1223-1256-1251-1255</t>
  </si>
  <si>
    <t>ΣΑΛΟΝΙΚΙΔΗ</t>
  </si>
  <si>
    <t>ΕΛΕΟΝΟΡΑ</t>
  </si>
  <si>
    <t>ΑΖ164409</t>
  </si>
  <si>
    <t>938,3</t>
  </si>
  <si>
    <t>1542,3</t>
  </si>
  <si>
    <t>1267-1248-1256-1253-1219-1220-1222</t>
  </si>
  <si>
    <t>ΚΑΡΑΛΗ</t>
  </si>
  <si>
    <t>ΑΙ190855</t>
  </si>
  <si>
    <t>ΣΠΥΡΙΔΗΣ</t>
  </si>
  <si>
    <t>ΑΗ306473</t>
  </si>
  <si>
    <t>1256-1253-1219-1248-1267-1220</t>
  </si>
  <si>
    <t>ΧΑΤΖΗΓΕΩΡΓΙΟΥ</t>
  </si>
  <si>
    <t>ΑΜ440546</t>
  </si>
  <si>
    <t>702,9</t>
  </si>
  <si>
    <t>1540,9</t>
  </si>
  <si>
    <t>1206-1219-1248-1249-1253-1267</t>
  </si>
  <si>
    <t>ΔΟΡΙΑΚΗ</t>
  </si>
  <si>
    <t>ΑΙ435487</t>
  </si>
  <si>
    <t>778,8</t>
  </si>
  <si>
    <t>1540,8</t>
  </si>
  <si>
    <t>1202-1221-1205-1204-1255-1250-1217-1247-1254-1248-1219-1203-1218-1253-1252-1206-1256-1249-1251-1223-1222-1220</t>
  </si>
  <si>
    <t>Φ296172</t>
  </si>
  <si>
    <t>1540,1</t>
  </si>
  <si>
    <t>1251-1219-1217-1202-1201-1248-1255-1247-1254-1253-1250-1267-1249-1206-1256</t>
  </si>
  <si>
    <t>ΜΑΛΚΟΓΕΩΡΓΟΥ</t>
  </si>
  <si>
    <t>ΑΖ189343</t>
  </si>
  <si>
    <t>ΔΑΛΓΙΤΣΗ</t>
  </si>
  <si>
    <t>ΝΕΚΤΑΡΙΑ</t>
  </si>
  <si>
    <t>ΑΕ916287</t>
  </si>
  <si>
    <t>1206-1248-1267-1205-1221-1255-1254-1256-1253-1252-1249-1250-1247-1202-1203-1222-1223-1220-1219-1201-1204</t>
  </si>
  <si>
    <t>ΑΝΑΛΥΤΗΣ</t>
  </si>
  <si>
    <t>ΑΜ592986</t>
  </si>
  <si>
    <t>701,8</t>
  </si>
  <si>
    <t>1539,8</t>
  </si>
  <si>
    <t>1267-1219-1248-1222-1256-1206-1201-1203-1217-1218-1247-1249-1250-1254</t>
  </si>
  <si>
    <t>ΠΑΠΑΔΗΜΗΤΡΙΟΥ</t>
  </si>
  <si>
    <t>ΑΗ248992</t>
  </si>
  <si>
    <t>898,7</t>
  </si>
  <si>
    <t>1536,7</t>
  </si>
  <si>
    <t>1249-1253-1201-1256-1219-1248-1267-1206-1217-1250-1254-1247</t>
  </si>
  <si>
    <t>Μυλωνά</t>
  </si>
  <si>
    <t>Αικατερίνη</t>
  </si>
  <si>
    <t>Χρήστος</t>
  </si>
  <si>
    <t>ΑΙ954728</t>
  </si>
  <si>
    <t>1536,1</t>
  </si>
  <si>
    <t>1202-1255-1205-1217-1250-1247-1219-1248-1206-1249-1256-1254-1253-1201</t>
  </si>
  <si>
    <t>ΑΤΣΑΛΑΚΗ</t>
  </si>
  <si>
    <t>ΑΕ156142</t>
  </si>
  <si>
    <t>826,1</t>
  </si>
  <si>
    <t>1534,1</t>
  </si>
  <si>
    <t>ΜΥΡΙΔΑΚΗ</t>
  </si>
  <si>
    <t>ΜΑΡΙΑ - ΚΥΡΙΑΚΗ</t>
  </si>
  <si>
    <t>ΑΜ473538</t>
  </si>
  <si>
    <t>1533,4</t>
  </si>
  <si>
    <t>1204-1205-1202-1221-1222-1255-1206-1223-1247-1248-1249-1250-1253-1254-1256-1219-1203</t>
  </si>
  <si>
    <t>ΒΟΥΤΣΚΙΔΗΣ</t>
  </si>
  <si>
    <t>ΑΜ848758</t>
  </si>
  <si>
    <t>1249-1253-1203-1267-1248-1223-1201-1206-1254-1218-1247-1250-1202-1205-1221-1255-1204</t>
  </si>
  <si>
    <t>ΜΑΝΩΛΑ</t>
  </si>
  <si>
    <t>ΑΗ793593</t>
  </si>
  <si>
    <t>1249-1253-1202-1205-1255-1221-1247-1254-1250-1248-1201-1206-1256-1203-1204-1217-1218-1219-1220-1222-1223-1251-1252</t>
  </si>
  <si>
    <t>ΔΗΜΗΤΡΙΑΔΟΥ</t>
  </si>
  <si>
    <t>ΑΖ887850</t>
  </si>
  <si>
    <t>1206-1248-1267-1253-1256-1249-1201-1254-1247-1250-1255-1205-1202</t>
  </si>
  <si>
    <t>ΣΤΥΛΙΔΗΣ</t>
  </si>
  <si>
    <t>ΑΜ398657</t>
  </si>
  <si>
    <t>1201-1202-1205-1206-1217-1219-1221-1247-1249-1250-1253-1254-1255</t>
  </si>
  <si>
    <t>ΑΝΤΩΝΙΟΥ</t>
  </si>
  <si>
    <t>ΕΛΕΥΘΕΡΙΑ</t>
  </si>
  <si>
    <t>ΑΖ238908</t>
  </si>
  <si>
    <t>874,5</t>
  </si>
  <si>
    <t>1532,5</t>
  </si>
  <si>
    <t>1253-1201-1248-1249-1206-1219-1250-1247-1217-1254-1205-1255-1202</t>
  </si>
  <si>
    <t>ΤΑΤΣΗΣ</t>
  </si>
  <si>
    <t>ΑΝ287608</t>
  </si>
  <si>
    <t>840,4</t>
  </si>
  <si>
    <t>1532,4</t>
  </si>
  <si>
    <t>1201-1202-1206-1247-1248-1249-1250-1253-1254-1255-1205-1267</t>
  </si>
  <si>
    <t>ΚΑΡΑΤΑΣΟΣ</t>
  </si>
  <si>
    <t>Χ275575</t>
  </si>
  <si>
    <t>1531,9</t>
  </si>
  <si>
    <t>1218-1219-1201-1202-1205-1206-1217-1247-1248-1249-1250-1252-1253-1254-1255-1267-1203-1204-1220-1221-1222-1223-1251-1256</t>
  </si>
  <si>
    <t>ΤΕΡΤΛΙΑΝ</t>
  </si>
  <si>
    <t>Φ182539</t>
  </si>
  <si>
    <t>1531,2</t>
  </si>
  <si>
    <t>1219-1267-1206-1248-1253</t>
  </si>
  <si>
    <t>ΤΑΙΠΛΙΑΔΟΥ</t>
  </si>
  <si>
    <t>ΑΕ363234</t>
  </si>
  <si>
    <t>1253-1256-1249-1248-1206-1254-1222-1223-1247-1204-1205-1255-1221-1201-1202</t>
  </si>
  <si>
    <t>ΤΖΕΤΖΙΑ</t>
  </si>
  <si>
    <t>ΦΙΛΙΩ</t>
  </si>
  <si>
    <t>ΑΒ722337</t>
  </si>
  <si>
    <t>1253-1249-1219-1267</t>
  </si>
  <si>
    <t>ΑΘΑΝΑΣΙΑΔΟΥ</t>
  </si>
  <si>
    <t>ΑΚ937363</t>
  </si>
  <si>
    <t>1248-1267</t>
  </si>
  <si>
    <t>ΚΑΡΝΑΒΑ</t>
  </si>
  <si>
    <t>ΠΑΝΤΕΛΗΣ</t>
  </si>
  <si>
    <t>ΑΜ176247</t>
  </si>
  <si>
    <t>1529,1</t>
  </si>
  <si>
    <t>1205-1233-1234-1257-1267-1255-1217-1250-1202-1219-1248-1247-1254-1253-1201-1206-1249</t>
  </si>
  <si>
    <t>ΚΑΠΑΓΕΡΙΔΗΣ</t>
  </si>
  <si>
    <t>Π186534</t>
  </si>
  <si>
    <t>1250-1247-1202-1255-1205-1206-1248-1249</t>
  </si>
  <si>
    <t>ΒΛΑΖΑΚΗΣ</t>
  </si>
  <si>
    <t>ΑΖ823553</t>
  </si>
  <si>
    <t>1253-1249-1248-1252-1206-1254-1218-1247-1250-1255</t>
  </si>
  <si>
    <t>ΣΙΑΤΗ</t>
  </si>
  <si>
    <t>ΑΚ338178</t>
  </si>
  <si>
    <t>710,6</t>
  </si>
  <si>
    <t>1528,6</t>
  </si>
  <si>
    <t>1250-1247</t>
  </si>
  <si>
    <t>ΣΚΛΑΒΟΣ</t>
  </si>
  <si>
    <t>ΑΗ764842</t>
  </si>
  <si>
    <t>1527,7</t>
  </si>
  <si>
    <t>1219-1201-1248-1249-1217-1253-1254-1247-1206-1250-1202-1205-1255</t>
  </si>
  <si>
    <t>Ρ872234</t>
  </si>
  <si>
    <t>668,8</t>
  </si>
  <si>
    <t>1526,8</t>
  </si>
  <si>
    <t>1249-1253-1219-1267-1248-1206</t>
  </si>
  <si>
    <t>ΣΥΜΣΕΡΟΠΟΥΛΟΥ</t>
  </si>
  <si>
    <t>ΑΜ253026</t>
  </si>
  <si>
    <t>1525,2</t>
  </si>
  <si>
    <t>1249-1253-1267-1248-1219-1201-1206-1247-1254-1255</t>
  </si>
  <si>
    <t>ΠΟΝΤΖΟ</t>
  </si>
  <si>
    <t>ΑΝΤΟΝΙΟ</t>
  </si>
  <si>
    <t>Φ158608</t>
  </si>
  <si>
    <t>1219-1267-1248-1253-1256-1206-1249-1201-1254-1247-1217-1250-1205-1202-1221</t>
  </si>
  <si>
    <t>ΖΑΦΕΙΡΗ</t>
  </si>
  <si>
    <t>ΑΜ323626</t>
  </si>
  <si>
    <t>1523,6</t>
  </si>
  <si>
    <t>ΔΕΡΝΙΚΑΣ</t>
  </si>
  <si>
    <t>ΑΑ975576</t>
  </si>
  <si>
    <t>695,2</t>
  </si>
  <si>
    <t>1523,2</t>
  </si>
  <si>
    <t>1254-1218-1247-1255</t>
  </si>
  <si>
    <t>ΣΩΤΗΡΟΠΟΥΛΟΣ</t>
  </si>
  <si>
    <t>ΑΕ418260</t>
  </si>
  <si>
    <t>664,4</t>
  </si>
  <si>
    <t>1522,4</t>
  </si>
  <si>
    <t>1267-1248-1219-1222-1206-1220-1256-1254-1201-1203-1217-1247-1249-1250-1252-1253-1218</t>
  </si>
  <si>
    <t>ΤΟΥΛΚΑΡΙΔΗΣ</t>
  </si>
  <si>
    <t>ΑΚ201253</t>
  </si>
  <si>
    <t>663,3</t>
  </si>
  <si>
    <t>1521,3</t>
  </si>
  <si>
    <t>1217-1250-1247-1248-1219-1206-1223-1202-1203-1204-1205-1201-1221-1255-1252-1254-1253-1222-1220-1218-1267</t>
  </si>
  <si>
    <t>ΓΕΩΡΓΙΑΔΟΥ</t>
  </si>
  <si>
    <t>ΑΛΕΞΙΟΣ</t>
  </si>
  <si>
    <t>ΑΕ644676</t>
  </si>
  <si>
    <t>1222-1219-1248-1206-1253-1256</t>
  </si>
  <si>
    <t>ΚΑΡΑΝΙΚΑ</t>
  </si>
  <si>
    <t>ΒΑΙΑ</t>
  </si>
  <si>
    <t>Π983528</t>
  </si>
  <si>
    <t>1249-1248-1254-1247-1250-1256-1206-1253-1223</t>
  </si>
  <si>
    <t>ΑΗ806966</t>
  </si>
  <si>
    <t>1256-1253-1249-1206-1254-1250-1247</t>
  </si>
  <si>
    <t>ΣΕΡΕΤΗ</t>
  </si>
  <si>
    <t>ΚΛΕΟΠΑΤΡΑ</t>
  </si>
  <si>
    <t>ΑΡΙΣΤΕΙΔΗΣ</t>
  </si>
  <si>
    <t>ΑΙ262855</t>
  </si>
  <si>
    <t>1218-1267-1248-1219-1201-1252-1217-1250-1204-1255-1205-1206-1247-1249-1254-1203-1256-1253-1220-1221-1222-1202-1223-1251</t>
  </si>
  <si>
    <t>ΚΑΒΒΑΔΙΑ</t>
  </si>
  <si>
    <t>ΦΙΛΗΜΩΝ</t>
  </si>
  <si>
    <t>ΑΕ744598</t>
  </si>
  <si>
    <t>1519,8</t>
  </si>
  <si>
    <t>1218-1203-1204-1221-1250-1248-1247-1267-1201-1254-1249-1253-1255-1205-1206-1202</t>
  </si>
  <si>
    <t>ΣΤΑΘΑΚΗ</t>
  </si>
  <si>
    <t>ΟΛΓΑ ΧΡΙΣΤΙΝΑ</t>
  </si>
  <si>
    <t>ΑΕ807305</t>
  </si>
  <si>
    <t>1201-1202-1206-1217-1219-1247-1248-1249-1250-1253-1254</t>
  </si>
  <si>
    <t>ΜΑΡΚΟΥ</t>
  </si>
  <si>
    <t>ΓΛΥΚΕΡΙΑ</t>
  </si>
  <si>
    <t>Χ394152</t>
  </si>
  <si>
    <t>ΓΚΑΡΝΑΡΑ</t>
  </si>
  <si>
    <t>ΕΥΘΥΜΙΟΣ</t>
  </si>
  <si>
    <t>ΑΑ967952</t>
  </si>
  <si>
    <t>689,7</t>
  </si>
  <si>
    <t>1517,7</t>
  </si>
  <si>
    <t>1252-1203-1254-1219</t>
  </si>
  <si>
    <t>ΤΑΟΥΣΑΚΟΥ</t>
  </si>
  <si>
    <t>ΑΖ598556</t>
  </si>
  <si>
    <t>1517,6</t>
  </si>
  <si>
    <t>1250-1247-1248-1255-1249-1254-1253-1201-1202</t>
  </si>
  <si>
    <t>ΓΑΝΙΤΗ</t>
  </si>
  <si>
    <t>ΑΖ849623</t>
  </si>
  <si>
    <t>706,2</t>
  </si>
  <si>
    <t>1517,2</t>
  </si>
  <si>
    <t>1267-1248-1206-1253-1249-1254-1247-1250-1255-1202</t>
  </si>
  <si>
    <t>ΠΡΟΔΡΟΜΟΥ</t>
  </si>
  <si>
    <t>ΑΖ829727</t>
  </si>
  <si>
    <t>1253-1267-1248-1249-1250-1247-1201-1202-1205-1206-1254-1255-1223-1203-1221</t>
  </si>
  <si>
    <t>ΜΙΧΑΗΛΙΔΗ</t>
  </si>
  <si>
    <t>Χ212472</t>
  </si>
  <si>
    <t>1516,5</t>
  </si>
  <si>
    <t>1202-1206-1217-1219-1221-1247-1248-1249-1250-1253-1254-1255</t>
  </si>
  <si>
    <t>ΚΩΝΣΤΑΝΤΙΝΙΔΗΣ</t>
  </si>
  <si>
    <t>ΑΗ683466</t>
  </si>
  <si>
    <t>698,5</t>
  </si>
  <si>
    <t>1248-1206-1202-1201-1255-1254-1253-1250-1247</t>
  </si>
  <si>
    <t>ΚΟΥΛΟΥ</t>
  </si>
  <si>
    <t>ΑΗ997521</t>
  </si>
  <si>
    <t>1250-1217-1255-1205-1202-1204-1267</t>
  </si>
  <si>
    <t>ΒΕΛΟΥΔΟΥ</t>
  </si>
  <si>
    <t>ΓΑΛΑΤΕΙΑ</t>
  </si>
  <si>
    <t>Σ663726</t>
  </si>
  <si>
    <t>1247-1250-1217</t>
  </si>
  <si>
    <t>ΜΑΜΑΤΣΙΟΥ</t>
  </si>
  <si>
    <t>ΑΕ814151</t>
  </si>
  <si>
    <t>1249-1253-1267-1248-1206-1247-1254-1250-1205-1255-1202</t>
  </si>
  <si>
    <t>ΧΑΡΙΤΩΝΙΔΟΥ</t>
  </si>
  <si>
    <t>ΑΒ420186</t>
  </si>
  <si>
    <t>1249-1201-1253-1267-1206-1248-1254-1247-1255-1205-1219-1202-1217-1250-1256-1222-1251</t>
  </si>
  <si>
    <t>ΑΒ199594</t>
  </si>
  <si>
    <t>1515,4</t>
  </si>
  <si>
    <t>1254-1201-1217-1250-1247-1219-1248-1267-1249-1253-1256-1206</t>
  </si>
  <si>
    <t>ΒΑΣΙΛΟΠΟΥΛΟΥ</t>
  </si>
  <si>
    <t>ΑΜ138243</t>
  </si>
  <si>
    <t>1514,7</t>
  </si>
  <si>
    <t>1201-1248-1267-1249-1250-1247-1253-1254-1256</t>
  </si>
  <si>
    <t>ΛΟΥΔΑΣ</t>
  </si>
  <si>
    <t>Χ488715</t>
  </si>
  <si>
    <t>673,2</t>
  </si>
  <si>
    <t>1514,2</t>
  </si>
  <si>
    <t>1248-1219-1206-1249-1203-1204-1256-1253-1252-1201-1220-1247-1255-1202-1205-1221-1223-1250-1251-1254-1217-1218</t>
  </si>
  <si>
    <t>ΒΑΒΡΙΤΣΑ</t>
  </si>
  <si>
    <t>ΣΤΕΡΓΙΑΝΗ</t>
  </si>
  <si>
    <t>ΑΒ421276</t>
  </si>
  <si>
    <t>745,8</t>
  </si>
  <si>
    <t>1513,8</t>
  </si>
  <si>
    <t>1252-1203-1249-1254-1253-1248-1267-1247-1223-1218-1220-1250-1255-1221-1205-1204-1206-1256</t>
  </si>
  <si>
    <t>ΖΑΦΕΙΡΟΠΟΥΛΟΥ</t>
  </si>
  <si>
    <t>Χ296831</t>
  </si>
  <si>
    <t>1219-1248-1255-1204-1205-1202-1217-1221-1250-1247-1254-1253</t>
  </si>
  <si>
    <t>ΚΡΑΝΙΩΤΗ</t>
  </si>
  <si>
    <t>ΑΚ408707</t>
  </si>
  <si>
    <t>1203-1201-1267-1248-1247-1254-1223-1222-1206-1253-1249-1256-1255-1204-1221-1202-1218-1250</t>
  </si>
  <si>
    <t>ΣΤΑΓΚΑ</t>
  </si>
  <si>
    <t>Χ201897</t>
  </si>
  <si>
    <t>1510,8</t>
  </si>
  <si>
    <t>1217-1250-1247-1254-1201-1219-1248-1253-1206-1255-1205-1202-1249</t>
  </si>
  <si>
    <t>ΚΕΧΑΓΙΑ</t>
  </si>
  <si>
    <t>ΧΡΥΣΗ</t>
  </si>
  <si>
    <t>ΑΖ649846</t>
  </si>
  <si>
    <t>1220-1256-1255-1254-1252-1251-1250-1249-1247-1223-1221-1218-1217-1205-1204-1203-1202</t>
  </si>
  <si>
    <t>ΚΕΦΑΛΑ</t>
  </si>
  <si>
    <t>ΣΙΔΕΡΗ</t>
  </si>
  <si>
    <t>ΑΕ917871</t>
  </si>
  <si>
    <t>1206-1222-1218-1248-1267-1252-1220-1249-1253-1256-1254-1250-1247-1255</t>
  </si>
  <si>
    <t>ΚΑΤΣΑΡΟΥ</t>
  </si>
  <si>
    <t>ΕΥΣΕΒΙΑ</t>
  </si>
  <si>
    <t>ΑΖ341139</t>
  </si>
  <si>
    <t>1222-1248-1219-1267-1206-1253-1249-1247-1254-1201-1255-1205-1202-1221-1256-1217-1250-1251</t>
  </si>
  <si>
    <t>ΑΑ870174</t>
  </si>
  <si>
    <t>762,3</t>
  </si>
  <si>
    <t>1508,3</t>
  </si>
  <si>
    <t>1249-1253-1267-1219-1203-1252-1247-1218</t>
  </si>
  <si>
    <t>ΚΑΖΑ</t>
  </si>
  <si>
    <t>ΑΜ841391</t>
  </si>
  <si>
    <t>650,1</t>
  </si>
  <si>
    <t>1508,1</t>
  </si>
  <si>
    <t>1221-1217-1219-1250-1248-1247-1267-1254-1253-1256-1249-1255-1251-1223-1218</t>
  </si>
  <si>
    <t>ΠΑΠΑΓΕΩΡΓΙΟΥ</t>
  </si>
  <si>
    <t>Ρ983213</t>
  </si>
  <si>
    <t>1254-1223-1201-1247-1252</t>
  </si>
  <si>
    <t>ΜΑΛΕΦΑΚΗΣ</t>
  </si>
  <si>
    <t>ΙΟΑΝΝΗΣ</t>
  </si>
  <si>
    <t>ΑΗ973489</t>
  </si>
  <si>
    <t>679,8</t>
  </si>
  <si>
    <t>1507,8</t>
  </si>
  <si>
    <t>1255-1247-1248-1253-1250-1249</t>
  </si>
  <si>
    <t>ΑΝ769360</t>
  </si>
  <si>
    <t>1206-1205-1255-1267-1219-1248-1249-1250-1202-1201-1217-1253-1254</t>
  </si>
  <si>
    <t>ΣΥΜΕΛΑ</t>
  </si>
  <si>
    <t>ΖΑΧΑΡΙΑΣ</t>
  </si>
  <si>
    <t>ΑΜ902407</t>
  </si>
  <si>
    <t>1220-1219-1248-1267-1206-1253-1249-1250-1221-1204-1205-1202-1217-1252-1255-1254-1218-1247</t>
  </si>
  <si>
    <t>ΡΕΤΣΙΝΑ</t>
  </si>
  <si>
    <t>ΑΓΑΘΗ</t>
  </si>
  <si>
    <t>ΑΚ143608</t>
  </si>
  <si>
    <t>1218-1201-1202-1203-1204-1205-1206-1217-1219-1220-1221-1222-1223-1247-1248-1249-1250-1251-1252-1253-1254-1255-1256-1267</t>
  </si>
  <si>
    <t>ΒΙΟΛΕΣΤΟΥ</t>
  </si>
  <si>
    <t>KΩΝΣΤΑΝΤΙΝΟΣ</t>
  </si>
  <si>
    <t>ΑΙ151342</t>
  </si>
  <si>
    <t>1201-1206-1247-1248-1249-1250-1253-1254-1256-1267-1203</t>
  </si>
  <si>
    <t>ΧΡΙΣΤΟΔΟΥΛΟΠΟΥΛΟΥ</t>
  </si>
  <si>
    <t>ΑΝ247627</t>
  </si>
  <si>
    <t>816,2</t>
  </si>
  <si>
    <t>1504,2</t>
  </si>
  <si>
    <t>1250-1217-1255-1205-1202-1221-1219-1248-1247-1254-1253-1249-1206</t>
  </si>
  <si>
    <t>ΑΝΔΡΕΑΔΟΥ</t>
  </si>
  <si>
    <t>ΑΙ907604</t>
  </si>
  <si>
    <t>1206-1219-1220-1222-1248-1249</t>
  </si>
  <si>
    <t>ΤΖΙΓΓΙΖΗΣ</t>
  </si>
  <si>
    <t>ΕΥΓΕΝΙΟΣ</t>
  </si>
  <si>
    <t>ΑΗ883074</t>
  </si>
  <si>
    <t>1206-1253-1247-1254</t>
  </si>
  <si>
    <t>ΔΟΥΛΚΕΡΙΔΗΣ</t>
  </si>
  <si>
    <t>ΑΖ811409</t>
  </si>
  <si>
    <t>1256-1253-1249-1206-1201-1248-1247-1202-1255-1254-1250</t>
  </si>
  <si>
    <t>ΓΕΩΡΓΟΠΟΥΛΟΥ</t>
  </si>
  <si>
    <t>Τ447124</t>
  </si>
  <si>
    <t>841,5</t>
  </si>
  <si>
    <t>1499,5</t>
  </si>
  <si>
    <t>1248-1219-1267-1253-1256-1249-1206-1254-1247-1201-1205-1255-1202-1221-1217-1250</t>
  </si>
  <si>
    <t>ΝΙΚΟΛΗ</t>
  </si>
  <si>
    <t>ΒΑΣΙΛΕΙΑ</t>
  </si>
  <si>
    <t>Π227162</t>
  </si>
  <si>
    <t>1253-1267-1248-1254-1247-1249-1206-1250-1255</t>
  </si>
  <si>
    <t>ΝΕΑΝΙΔΗΣ</t>
  </si>
  <si>
    <t>ΑΗ418659</t>
  </si>
  <si>
    <t>1206-1219-1248-1253-1201-1203-1249-1252-1223-1254-1247-1218-1250-1255-1204-1205-1217-1202-1221-1267</t>
  </si>
  <si>
    <t>ΛΑΖΑΡΙΔΟΥ</t>
  </si>
  <si>
    <t>Ρ335384</t>
  </si>
  <si>
    <t>1497,6</t>
  </si>
  <si>
    <t>1206-1219-1248</t>
  </si>
  <si>
    <t>ΧΕΛΙΟΥ</t>
  </si>
  <si>
    <t>ΑΓΓΕΛΑ</t>
  </si>
  <si>
    <t>ΑΒ557358</t>
  </si>
  <si>
    <t>1219-1267-1248-1205-1255-1202-1206-1253-1256-1249-1247-1254-1250-1217-1201-1251</t>
  </si>
  <si>
    <t>ΤΣΙΜΕΝΤΕΡΙΔΗΣ</t>
  </si>
  <si>
    <t>ΑΕ197748</t>
  </si>
  <si>
    <t>1219-1248-1267-1253-1256</t>
  </si>
  <si>
    <t>ΛΑΖΑΡΟΥ</t>
  </si>
  <si>
    <t>ΑΖ680411</t>
  </si>
  <si>
    <t>1219-1248-1220-1206-1253-1256-1267-1252-1204-1255-1247-1223-1203</t>
  </si>
  <si>
    <t>ΦΥΤΡΟΥ</t>
  </si>
  <si>
    <t>ΑΡΤΕΜΙΟΣ</t>
  </si>
  <si>
    <t>Σ927766</t>
  </si>
  <si>
    <t>1251-1254-1219-1217-1248-1250-1247-1206-1249-1205-1202-1255-1253</t>
  </si>
  <si>
    <t>ΚΑΤΣΙΚΟΥ</t>
  </si>
  <si>
    <t>ΑΗ274605</t>
  </si>
  <si>
    <t>657,8</t>
  </si>
  <si>
    <t>1495,8</t>
  </si>
  <si>
    <t>1203-1201-1219-1218-1217-1204-1221-1202-1205-1249-1247-1248-1253-1254-1267-1255-1206-1250-1252-1256-1223-1222-1220-1251</t>
  </si>
  <si>
    <t>ΧΑΜΑΛΕΛΛΗ</t>
  </si>
  <si>
    <t>ΜΑΡΙΑΝΘΗ</t>
  </si>
  <si>
    <t>Σ652006</t>
  </si>
  <si>
    <t>1493,9</t>
  </si>
  <si>
    <t>1251-1255-1205-1202-1250-1217-1247-1267-1219-1248-1206-1201-1252-1254-1253-1249-1256</t>
  </si>
  <si>
    <t>ΛΟΥΤΡΙΩΤΗ</t>
  </si>
  <si>
    <t>ΑΕ310512</t>
  </si>
  <si>
    <t>1493,7</t>
  </si>
  <si>
    <t>1201-1252-1255-1202-1219-1248-1254-1211-1206-1253-1250-1217-1247</t>
  </si>
  <si>
    <t>ΖΙΑΚΟΥΛΗ</t>
  </si>
  <si>
    <t>ΑΜ369635</t>
  </si>
  <si>
    <t>1219-1248-1201-1249-1254-1247-1206-1217-1250-1253-1218-1205-1255-1256</t>
  </si>
  <si>
    <t>ΓΡΑΜΜΕΝΟΥ</t>
  </si>
  <si>
    <t>ΑΓΝΗ</t>
  </si>
  <si>
    <t>ΜΑΡΚΟΣ</t>
  </si>
  <si>
    <t>Φ278100</t>
  </si>
  <si>
    <t>1492,6</t>
  </si>
  <si>
    <t>ΜΟΥΣΤΑΚΛΗ</t>
  </si>
  <si>
    <t>ΑΖ380431</t>
  </si>
  <si>
    <t>633,6</t>
  </si>
  <si>
    <t>1491,6</t>
  </si>
  <si>
    <t>1206-1201-1202-1205-1247-1248-1249-1250-1253-1254-1255</t>
  </si>
  <si>
    <t>ΠΑΝΤΑΖΗ</t>
  </si>
  <si>
    <t>Χ247965</t>
  </si>
  <si>
    <t>1490,4</t>
  </si>
  <si>
    <t>ΜΠΟΥΧΩΡΗ</t>
  </si>
  <si>
    <t>Χ429479</t>
  </si>
  <si>
    <t>1489,6</t>
  </si>
  <si>
    <t>1203-1254-1252-1201-1249-1267-1219-1253-1248-1247-1218-1250-1217-1206-1202-1204-1205-1255-1221-1223-1222-1220-1256</t>
  </si>
  <si>
    <t>ΑΡΝΑΡΗ</t>
  </si>
  <si>
    <t>ΑΜ989774</t>
  </si>
  <si>
    <t>1489,1</t>
  </si>
  <si>
    <t>ΠΑΡΑΣΚΕΥΟΠΟΥΛΟΣ</t>
  </si>
  <si>
    <t>ΜΗΝΑΣ</t>
  </si>
  <si>
    <t>Σ131172</t>
  </si>
  <si>
    <t>1252-1247-1250-1254-1255-1249-1253-1218-1206-1219-1248-1267-1220-1256</t>
  </si>
  <si>
    <t>ΠΑΠΟΥΤΣΑΚΗ</t>
  </si>
  <si>
    <t>Ξ951866</t>
  </si>
  <si>
    <t>669,9</t>
  </si>
  <si>
    <t>1487,9</t>
  </si>
  <si>
    <t>1204-1202-1221-1205-1255-1247-1250-1223-1218-1253-1251</t>
  </si>
  <si>
    <t>ΠΑΠΑΙΩΑΝΝΟΥ</t>
  </si>
  <si>
    <t>ΑΕ688014</t>
  </si>
  <si>
    <t>897,6</t>
  </si>
  <si>
    <t>1487,6</t>
  </si>
  <si>
    <t>1248-1267-1253-1256-1206-1222-1249-1201</t>
  </si>
  <si>
    <t>ΜΑΣΤΡΟΓΙΑΝΝΙΔΟΥ</t>
  </si>
  <si>
    <t>Ρ874988</t>
  </si>
  <si>
    <t>1249-1253-1248-1267-1256-1206-1254-1201-1247-1250-1202-1205-1255</t>
  </si>
  <si>
    <t xml:space="preserve">ΜΑΡΓΑΡΙΤΑ </t>
  </si>
  <si>
    <t xml:space="preserve">ΓΕΩΡΓΙΟΣ </t>
  </si>
  <si>
    <t>ΑΚ331834</t>
  </si>
  <si>
    <t>917,4</t>
  </si>
  <si>
    <t>1486,4</t>
  </si>
  <si>
    <t>ΔΟΜΟΥΖΗ</t>
  </si>
  <si>
    <t>ΠΑΓΩΝΑ</t>
  </si>
  <si>
    <t>Ρ215024</t>
  </si>
  <si>
    <t>1253-1267-1256-1248-1206-1222-1249-1201-1203-1254-1250-1218-1202-1247-1223-1221-1204-1205-1255</t>
  </si>
  <si>
    <t>ΑΜ367827</t>
  </si>
  <si>
    <t>694,1</t>
  </si>
  <si>
    <t>1484,1</t>
  </si>
  <si>
    <t>1203-1201-1249-1204-1221-1254-1248-1267-1253-1247-1206-1250-1218-1255-1202-1205-1223-1256-1222</t>
  </si>
  <si>
    <t>ΠΑΠΑΜΑΡΓΑΡΙΤΗ</t>
  </si>
  <si>
    <t>Σ461757</t>
  </si>
  <si>
    <t>1201-1254-1248-1247-1253-1206-1249-1250</t>
  </si>
  <si>
    <t>ΚΑΠΡΙΝΗ</t>
  </si>
  <si>
    <t>ΒΡΑΣΙΔΑΣ</t>
  </si>
  <si>
    <t>ΑΖ295462</t>
  </si>
  <si>
    <t>1249-1253-1206-1248-1267-1201-1203-1254-1202-1255-1205-1204-1221-1247-1250-1218-1220-1256-1222-1223-1252-1219-1217</t>
  </si>
  <si>
    <t>ΕΥΑΓΓΕΛΙΟΥ</t>
  </si>
  <si>
    <t>ΑΑ351397</t>
  </si>
  <si>
    <t>1481,9</t>
  </si>
  <si>
    <t>1247-1250-1254-1217-1253-1252-1249-1248-1206</t>
  </si>
  <si>
    <t>ΤΣΑΚΜΑΚΗ</t>
  </si>
  <si>
    <t>ΑΕ344598</t>
  </si>
  <si>
    <t>623,7</t>
  </si>
  <si>
    <t>1481,7</t>
  </si>
  <si>
    <t>1248-1252-1253-1218-1249-1202-1204-1255-1206-1221-1254-1247-1250-1205-1267-1203-1220-1201-1222-1256</t>
  </si>
  <si>
    <t>ΚΟΥΤΚΙΑ</t>
  </si>
  <si>
    <t>Φ336920</t>
  </si>
  <si>
    <t>1480,6</t>
  </si>
  <si>
    <t>1254-1201-1247-1217-1218-1253-1206-1250-1219-1248-1256-1249-1223-1255-1204-1205-1221-1202-1251</t>
  </si>
  <si>
    <t>ΠΑΝΤΕΛΙΔΟΥ</t>
  </si>
  <si>
    <t>ΑΕ401088</t>
  </si>
  <si>
    <t>1206-1267-1253-1249-1201-1254-1247-1202-1205-1255-1250-1248</t>
  </si>
  <si>
    <t>ΖΑΦΕΙΡΑΚΟΥ</t>
  </si>
  <si>
    <t>ΠΑΝΑΓΙΩΤΗ</t>
  </si>
  <si>
    <t>Χ489341</t>
  </si>
  <si>
    <t>677,6</t>
  </si>
  <si>
    <t>1479,6</t>
  </si>
  <si>
    <t>1250-1247-1248-1219-1254-1253-1267-1217-1249-1256-1201-1255-1221-1202-1206-1203-1218-1205-1204-1222-1223-1251</t>
  </si>
  <si>
    <t>ΘΕΟΔΩΡΕΛΛΗ</t>
  </si>
  <si>
    <t>ΧΑΡΙΛΑΟΣ</t>
  </si>
  <si>
    <t>ΑΚ931437</t>
  </si>
  <si>
    <t>741,4</t>
  </si>
  <si>
    <t>1479,4</t>
  </si>
  <si>
    <t>1253-1248-1249-1206-1255-1267</t>
  </si>
  <si>
    <t>ΚΑΛΑΒΡΙΑΝΟΥ</t>
  </si>
  <si>
    <t>ΣΥΝΑΝΑΡΧΟΣ</t>
  </si>
  <si>
    <t>Σ758948</t>
  </si>
  <si>
    <t>ΠΑΡΘΕΝΑ</t>
  </si>
  <si>
    <t>Χ458716</t>
  </si>
  <si>
    <t>1218-1248-1267-1203-1249-1253-1250-1247-1254-1206-1201-1256-1222</t>
  </si>
  <si>
    <t>ΣΠΥΡΙΔΟΥΛΑ</t>
  </si>
  <si>
    <t>ΑΝ169296</t>
  </si>
  <si>
    <t>1477,8</t>
  </si>
  <si>
    <t>ΑΒ424124</t>
  </si>
  <si>
    <t>918,5</t>
  </si>
  <si>
    <t>1477,5</t>
  </si>
  <si>
    <t>1219-1203-1267-1201-1252-1248-1255</t>
  </si>
  <si>
    <t>ΚΟΝΤΕΛΗ</t>
  </si>
  <si>
    <t>ΑΖ884323</t>
  </si>
  <si>
    <t>1206-1248-1267-1222</t>
  </si>
  <si>
    <t>ΜΠΟΓΙΑΤΖΗΣ</t>
  </si>
  <si>
    <t>ΑΙ037648</t>
  </si>
  <si>
    <t>1476,4</t>
  </si>
  <si>
    <t>1247-1217-1248-1250-1254-1201-1267-1219-1205-1221-1255-1202-1249-1251-1206-1253-1256</t>
  </si>
  <si>
    <t>ΤΣΙΜΕΡΑΚΗ</t>
  </si>
  <si>
    <t>ΒΑΡΒΑΡΑ</t>
  </si>
  <si>
    <t>ΑΒ098336</t>
  </si>
  <si>
    <t>718,3</t>
  </si>
  <si>
    <t>1476,3</t>
  </si>
  <si>
    <t>1223-1203-1204-1206-1256-1201-1202-1217-1250-1218-1219-1255-1247-1249-1252-1254-1253-1221-1222-1220-1251</t>
  </si>
  <si>
    <t>ΝΤΕΛΗ</t>
  </si>
  <si>
    <t>ΕΥΑΝΘΙΑ</t>
  </si>
  <si>
    <t>Τ447015</t>
  </si>
  <si>
    <t>1201-1267-1248-1249</t>
  </si>
  <si>
    <t>ΜΕΝΤΖΕΛΙΔΗ</t>
  </si>
  <si>
    <t>ΜΑΡΙΑ ΑΓΓΕΛΙΚΗ</t>
  </si>
  <si>
    <t>Τ081475</t>
  </si>
  <si>
    <t>ΖΟΛΩΤΑ</t>
  </si>
  <si>
    <t>ΩΡΑΙΑ</t>
  </si>
  <si>
    <t>ΑΕ819302</t>
  </si>
  <si>
    <t>1249-1253-1248-1206-1254-1247-1250-1255</t>
  </si>
  <si>
    <t>ΠΑΣΧΑΛΙΔΟΥ</t>
  </si>
  <si>
    <t>ΜΑΛΑΜΑΣ</t>
  </si>
  <si>
    <t>Φ155385</t>
  </si>
  <si>
    <t>827,2</t>
  </si>
  <si>
    <t>1475,2</t>
  </si>
  <si>
    <t>1247-1253-1256-1255-1206-1249-1205-1202-1250-1254</t>
  </si>
  <si>
    <t>ΚΟΥΤΡΟΥΜΠΗ</t>
  </si>
  <si>
    <t>ΕΥΣΤΡΑΤΙΑ</t>
  </si>
  <si>
    <t>ΑΝ434477</t>
  </si>
  <si>
    <t>617,1</t>
  </si>
  <si>
    <t>1475,1</t>
  </si>
  <si>
    <t>1221-1248-1255-1247-1250-1249-1202-1205</t>
  </si>
  <si>
    <t>ΤΣΑΝΤΑ</t>
  </si>
  <si>
    <t>ΧΑΡΑΛΑΜΠΙΑ</t>
  </si>
  <si>
    <t>ΑΑ260910</t>
  </si>
  <si>
    <t>1202-1203-1204-1205-1206-1217-1218-1219-1220-1221-1222-1223-1247-1248-1249-1250-1251-1252-1253-1254-1255-1256-1267</t>
  </si>
  <si>
    <t>ΜΠΟΥΛΑΚΑΣ</t>
  </si>
  <si>
    <t>ΜΑΤΘΑΙΟΣ</t>
  </si>
  <si>
    <t>Χ228016</t>
  </si>
  <si>
    <t>1267-1248-1253-1206-1249-1255-1247-1256-1254-1250</t>
  </si>
  <si>
    <t>ΕΥΤΕΡΠΗ</t>
  </si>
  <si>
    <t>ΑΙ876488</t>
  </si>
  <si>
    <t>1473,8</t>
  </si>
  <si>
    <t>ΑΓΙΑΝΝΙΤΗΣ</t>
  </si>
  <si>
    <t>ΑΗ484879</t>
  </si>
  <si>
    <t>645,7</t>
  </si>
  <si>
    <t>1473,7</t>
  </si>
  <si>
    <t>1247-1254-1250-1218-1253-1249-1248-1267-1206-1255</t>
  </si>
  <si>
    <t>ΣΙΟΥΛΗ</t>
  </si>
  <si>
    <t>ΧΡΗΣΤΟΥ</t>
  </si>
  <si>
    <t>ΑΗ742861</t>
  </si>
  <si>
    <t>1473,4</t>
  </si>
  <si>
    <t>1201-1249-1253-1203-1248-1267-1250-1222-1254-1206-1204-1205-1255-1256-1223-1221</t>
  </si>
  <si>
    <t>ΤΣΑΒΟΥ</t>
  </si>
  <si>
    <t>ΣΠΥΡΟΣ</t>
  </si>
  <si>
    <t>ΑΙ278749</t>
  </si>
  <si>
    <t>1473,1</t>
  </si>
  <si>
    <t>1250-1217-1247-1218-1254-1267-1248-1219-1206-1249-1256-1253-1202-1205-1255-1251</t>
  </si>
  <si>
    <t>ΖΑΡΑΦΙΔΟΥ</t>
  </si>
  <si>
    <t>ΣΟΥΛΤΑΝΑ</t>
  </si>
  <si>
    <t>ΑΕ376366</t>
  </si>
  <si>
    <t>1248-1267-1206-1253-1249-1201-1202-1255-1205-1247-1254-1250</t>
  </si>
  <si>
    <t>ΕΥΘΥΜΙΑΔΟΥ</t>
  </si>
  <si>
    <t>ΑΜ794980</t>
  </si>
  <si>
    <t>1472,5</t>
  </si>
  <si>
    <t>1249-1219-1267-1248-1253-1201-1217-1206-1250-1254-1247-1202-1255-1205</t>
  </si>
  <si>
    <t>ΠΕΡΓΑΝΤΗ</t>
  </si>
  <si>
    <t>ΑΚ787141</t>
  </si>
  <si>
    <t>1472,3</t>
  </si>
  <si>
    <t>1250-1247-1217-1254-1252-1201</t>
  </si>
  <si>
    <t>ΝΑΤΣΙΟΥ</t>
  </si>
  <si>
    <t>Χ380138</t>
  </si>
  <si>
    <t>1249-1219-1267-1248</t>
  </si>
  <si>
    <t>ΖΕΡΒΑΣ</t>
  </si>
  <si>
    <t>ΑΖ788968</t>
  </si>
  <si>
    <t>883,3</t>
  </si>
  <si>
    <t>1471,3</t>
  </si>
  <si>
    <t>1249-1253-1256</t>
  </si>
  <si>
    <t>ΔΑΣΚΑΛΟΥ</t>
  </si>
  <si>
    <t>ΑΑ339457</t>
  </si>
  <si>
    <t>1471,1</t>
  </si>
  <si>
    <t>1206-1222-1248-1267-1256-1253-1249-1254-1247-1250-1255</t>
  </si>
  <si>
    <t>ΓΚΟΛΦΟΜΗΤΣΟΥ</t>
  </si>
  <si>
    <t>ΑΡΧΟΝΤΩ</t>
  </si>
  <si>
    <t>ΑΜ983802</t>
  </si>
  <si>
    <t>1470,6</t>
  </si>
  <si>
    <t>1254-1247</t>
  </si>
  <si>
    <t>ΜΗΤΑΛΑ</t>
  </si>
  <si>
    <t>ΑΖ496690</t>
  </si>
  <si>
    <t>1468,8</t>
  </si>
  <si>
    <t>1203-1204-1223-1221-1222-1201-1202-1205-1254-1255-1250-1247-1248-1253-1249-1206-1267-1256</t>
  </si>
  <si>
    <t>ΑΜ381180</t>
  </si>
  <si>
    <t>1247-1248-1249-1250-1253-1254-1255</t>
  </si>
  <si>
    <t>ΝΩΤΑ</t>
  </si>
  <si>
    <t>ΑΓΓΕΛΟΣ</t>
  </si>
  <si>
    <t>ΑΑ238025</t>
  </si>
  <si>
    <t>1219-1248-1249-1267-1256-1255-1204-1205-1203-1202-1221-1220-1222-1223-1252-1253-1254</t>
  </si>
  <si>
    <t>ΑΖ767428</t>
  </si>
  <si>
    <t>1252-1253-1206-1256-1255-1248-1247-1218-1220-1250-1249</t>
  </si>
  <si>
    <t>ΛΙΤΟΠΟΥΛΟΥ</t>
  </si>
  <si>
    <t>ΑΝ482714</t>
  </si>
  <si>
    <t>1254-1203-1201-1247</t>
  </si>
  <si>
    <t>ΣΟΥΖΑΝΑ</t>
  </si>
  <si>
    <t>ΑΚ911575</t>
  </si>
  <si>
    <t>1267-1248-1253</t>
  </si>
  <si>
    <t>ΤΣΕΛΑ</t>
  </si>
  <si>
    <t>ΑΚ950006</t>
  </si>
  <si>
    <t>646,8</t>
  </si>
  <si>
    <t>1464,8</t>
  </si>
  <si>
    <t>1250-1247-1255-1253-1254-1256-1249-1248-1206-1202-1201</t>
  </si>
  <si>
    <t>ΙΩΑΝΝΙΔΟΥ</t>
  </si>
  <si>
    <t>ΑΝΕΥ</t>
  </si>
  <si>
    <t>Χ 260504</t>
  </si>
  <si>
    <t>783,2</t>
  </si>
  <si>
    <t>1464,2</t>
  </si>
  <si>
    <t>1267-1248-1249-1253-1256</t>
  </si>
  <si>
    <t>ΚΩΣΤΟΥΛΑ</t>
  </si>
  <si>
    <t>Σ591169</t>
  </si>
  <si>
    <t>1464,1</t>
  </si>
  <si>
    <t>1247-1250-1249-1255</t>
  </si>
  <si>
    <t>ΖΗΣΟΠΟΥΛΟΥ</t>
  </si>
  <si>
    <t>ΑΗ495218</t>
  </si>
  <si>
    <t>1463,3</t>
  </si>
  <si>
    <t>1247-1254-1201-1252-1250-1217-1203-1219-1248-1223</t>
  </si>
  <si>
    <t>ΤΖΕΒΕΛΕΚΙΔΟΥ</t>
  </si>
  <si>
    <t>ΑΗ405692</t>
  </si>
  <si>
    <t>1206-1219-1253-1249-1252-1203-1254-1250-1217-1202-1204-1205-1221</t>
  </si>
  <si>
    <t>ΠΑΠΑΧΑΡΑΛΑΜΠΟΥΣ</t>
  </si>
  <si>
    <t>Τ396421</t>
  </si>
  <si>
    <t>643,5</t>
  </si>
  <si>
    <t>1461,5</t>
  </si>
  <si>
    <t>1201-1202-1205-1206-1247-1248-1249-1250-1253-1254-1255</t>
  </si>
  <si>
    <t>ΑΞΑΡΛΗ</t>
  </si>
  <si>
    <t>ΑΗ431194</t>
  </si>
  <si>
    <t>ΦΡΑΓΚΟΥ</t>
  </si>
  <si>
    <t>ΑΒ669362</t>
  </si>
  <si>
    <t>1251-1255-1206-1201-1202-1249-1253-1205-1252-1254-1250-1247-1248-1219</t>
  </si>
  <si>
    <t>ΚΑΡΑΔΑΓΛΗ</t>
  </si>
  <si>
    <t>ΓΡΑΜΜΑΤΙΚΗ</t>
  </si>
  <si>
    <t>ΑΙ168619</t>
  </si>
  <si>
    <t xml:space="preserve">ΠΑΠΑΔΟΠΟΥΛΟΥ </t>
  </si>
  <si>
    <t xml:space="preserve">ΙΦΙΓΕΝΕΙΑ </t>
  </si>
  <si>
    <t>ΑΙ718368</t>
  </si>
  <si>
    <t>1202-1204-1205-1247-1248-1249-1250-1251-1252-1255-1256</t>
  </si>
  <si>
    <t>ΚΑΡΑΟΛΗ</t>
  </si>
  <si>
    <t>ΑΙ329495</t>
  </si>
  <si>
    <t>1249-1253-1267-1248</t>
  </si>
  <si>
    <t>ΑΡΑΠΟΓΙΑΝΝΗ</t>
  </si>
  <si>
    <t>ΑΚ393854</t>
  </si>
  <si>
    <t>1460,9</t>
  </si>
  <si>
    <t>1202-1203-1204-1205-1206-1217-1218-1219-1220-1221-1222-1223-1247-1248-1249-1250-1251-1252-1253-1254-1255-1256</t>
  </si>
  <si>
    <t>ΑΝΤΩΝΟΠΟΥΛΟΣ</t>
  </si>
  <si>
    <t>ΝΙΚΗΦΟΡΟΣ</t>
  </si>
  <si>
    <t>ΑΕ126986</t>
  </si>
  <si>
    <t>612,7</t>
  </si>
  <si>
    <t>1460,7</t>
  </si>
  <si>
    <t>1249-1253-1248-1206-1252-1254-1247-1218-1217-1250-1221-1255-1204-1205-1202-1256</t>
  </si>
  <si>
    <t>ΣΙΟΓΙΑ</t>
  </si>
  <si>
    <t>ΔΑΝΑΗ</t>
  </si>
  <si>
    <t>Χ586074</t>
  </si>
  <si>
    <t>801,9</t>
  </si>
  <si>
    <t>1459,9</t>
  </si>
  <si>
    <t>1249-1253-1248-1267-1219-1206-1254-1250-1217-1247</t>
  </si>
  <si>
    <t xml:space="preserve">ΣΙΑΜΑΝΔΟΥΡΑ </t>
  </si>
  <si>
    <t xml:space="preserve">ΒΑΣΙΛΗΣ </t>
  </si>
  <si>
    <t>ΑΕ994545</t>
  </si>
  <si>
    <t>636,9</t>
  </si>
  <si>
    <t>1201-1202-1205-1247-1248-1249-1250-1253-1254-1255</t>
  </si>
  <si>
    <t>ΡΟΖΗ</t>
  </si>
  <si>
    <t>ΑΕ254450</t>
  </si>
  <si>
    <t>1459,7</t>
  </si>
  <si>
    <t>1217-1250-1201-1247-1205-1255-1202-1254-1219-1248-1267-1249-1253-1206-1251-1256</t>
  </si>
  <si>
    <t>ΣΦΑΚΙΑΝΑΚΗ</t>
  </si>
  <si>
    <t>Σ867893</t>
  </si>
  <si>
    <t>1459,2</t>
  </si>
  <si>
    <t>1202-1221-1255-1205-1201-1206-1222-1247-1248-1249-1250-1253-1254-1256-1267</t>
  </si>
  <si>
    <t>ΚΟΚΟΛΗ</t>
  </si>
  <si>
    <t>ΠΑΝΑΓΙΟΥΛΑ</t>
  </si>
  <si>
    <t>ΑΕ269708</t>
  </si>
  <si>
    <t>1459,1</t>
  </si>
  <si>
    <t>1217-1250-1247-1201-1206-1249-1248-1219-1253-1254-1255-1205-1202-1221</t>
  </si>
  <si>
    <t>ΜΠΑΜΠΟΥΛΗ</t>
  </si>
  <si>
    <t>ΑΗ254854</t>
  </si>
  <si>
    <t>1206-1247-1253-1254-1249-1248-1250</t>
  </si>
  <si>
    <t>ΠΑΠΑΧΡΗΣΤΟΣ</t>
  </si>
  <si>
    <t>ΑΖ583886</t>
  </si>
  <si>
    <t>ΠΕΡΔΙΚΑΚΗ</t>
  </si>
  <si>
    <t>Φ339408</t>
  </si>
  <si>
    <t>1458,1</t>
  </si>
  <si>
    <t>1254-1248</t>
  </si>
  <si>
    <t>ΣΚΑΛΑΙΟΥ</t>
  </si>
  <si>
    <t>Χ938132</t>
  </si>
  <si>
    <t>1201-1202-1205-1206-1247-1248-1249-1250-1253-1254-1255-1267</t>
  </si>
  <si>
    <t>ΚΑΡΑΜΑΝΔΑΝΗ</t>
  </si>
  <si>
    <t>Χ844338</t>
  </si>
  <si>
    <t>1457,3</t>
  </si>
  <si>
    <t>1253-1248-1249-1256-1206-1201-1247-1254-1250-1255-1202</t>
  </si>
  <si>
    <t>ΧΑΝΤΖΑΡΙΔΗΣ</t>
  </si>
  <si>
    <t xml:space="preserve">ΔΗΜΗΤΡΙΟΣ </t>
  </si>
  <si>
    <t>ΑΚ865732</t>
  </si>
  <si>
    <t>ΜΟΛΗ</t>
  </si>
  <si>
    <t>Χ451916</t>
  </si>
  <si>
    <t>823,9</t>
  </si>
  <si>
    <t>1456,9</t>
  </si>
  <si>
    <t>1256-1249-1219-1248-1247-1267-1206-1201-1253-1254-1250-1217-1202-1255-1205</t>
  </si>
  <si>
    <t>ΚΟΚΚΙΝΗΣ</t>
  </si>
  <si>
    <t>ΠΑΣΧΑΛΗΣ</t>
  </si>
  <si>
    <t>ΑΚ548272</t>
  </si>
  <si>
    <t>838,2</t>
  </si>
  <si>
    <t>1456,2</t>
  </si>
  <si>
    <t>1250-1247-1255-1254-1206-1201-1253-1202-1205-1256-1267-1248-1249</t>
  </si>
  <si>
    <t>ΚΟΥΤΣΟΥΜΠΑ</t>
  </si>
  <si>
    <t>Σ982313</t>
  </si>
  <si>
    <t>797,5</t>
  </si>
  <si>
    <t>1455,5</t>
  </si>
  <si>
    <t>1254-1253-1255-1256-1251-1250-1248-1247-1206-1201-1202-1205</t>
  </si>
  <si>
    <t>ΤΣΑΚΙΡΟΓΛΟΥ</t>
  </si>
  <si>
    <t>ΜΑΝΩΛΗΣ</t>
  </si>
  <si>
    <t>ΑΖ958581</t>
  </si>
  <si>
    <t>ΓΟΥΣΙΟΥ</t>
  </si>
  <si>
    <t>ΑΙ342450</t>
  </si>
  <si>
    <t>1256-1253-1267-1206-1255-1202-1247</t>
  </si>
  <si>
    <t>ΜΙΣΤΡΙΩΤΗ</t>
  </si>
  <si>
    <t>ΑΕ989137</t>
  </si>
  <si>
    <t>ΜΕΤΑΛΛΗΝΟΥ</t>
  </si>
  <si>
    <t>ΙΩΣΗΦ</t>
  </si>
  <si>
    <t>ΑΒ280302</t>
  </si>
  <si>
    <t>1452,3</t>
  </si>
  <si>
    <t>ΖΗΡΑ</t>
  </si>
  <si>
    <t>ΑΕ265726</t>
  </si>
  <si>
    <t>1219-1248-1250-1217-1206-1256-1247-1249-1253-1254-1255-1202</t>
  </si>
  <si>
    <t>ΧΑΛΚΙΑΔΑΚΗ</t>
  </si>
  <si>
    <t>Τ514446</t>
  </si>
  <si>
    <t>1204-1221-1255-1205-1202-1203-1223-1250-1267-1248-1247-1249-1256-1254-1253-1206</t>
  </si>
  <si>
    <t>ΛΟΥΤΣΟΥ</t>
  </si>
  <si>
    <t>ΜΑΡΙΑΝΝΑ</t>
  </si>
  <si>
    <t>ΑΕ757567</t>
  </si>
  <si>
    <t>1219-1248-1247-1249-1253-1254-1255-1217-1201-1202-1203-1204-1205-1206-1221-1250-1218-1222-1223-1251-1256</t>
  </si>
  <si>
    <t>ΔΟΥΜΤΣΗ</t>
  </si>
  <si>
    <t>ΑΜ870559</t>
  </si>
  <si>
    <t>742,5</t>
  </si>
  <si>
    <t>1450,5</t>
  </si>
  <si>
    <t>1253-1249-1219-1248-1252</t>
  </si>
  <si>
    <t>ΤΣΟΥΚΑΛΑ</t>
  </si>
  <si>
    <t>ΣΤΥΛΙΑΝΗ</t>
  </si>
  <si>
    <t>ΑΙ718945</t>
  </si>
  <si>
    <t>1450,3</t>
  </si>
  <si>
    <t>1248-1219-1267-1253-1206-1201-1249-1254-1205-1255-1202-1251-1247-1250-1217</t>
  </si>
  <si>
    <t>ΓΑΒΡΑ</t>
  </si>
  <si>
    <t>Π875383</t>
  </si>
  <si>
    <t>1217-1250-1247-1254-1253-1201-1249-1206-1219-1267-1248-1255-1205-1202-1256-1251</t>
  </si>
  <si>
    <t>ΤΣΕΑ</t>
  </si>
  <si>
    <t>ΑΒ888451</t>
  </si>
  <si>
    <t>1253-1219-1249-1248-1206-1202-1247-1250-1254-1255-1204-1205-1217-1221-1201-1256</t>
  </si>
  <si>
    <t>ΑΙ329952</t>
  </si>
  <si>
    <t>1449,2</t>
  </si>
  <si>
    <t>1201-1202-1203-1204-1205-1206-1217-1218-1219-1220-1221-1222-1223-1247-1248-1249-1250-1251-1252-1253-1254-1255-1256</t>
  </si>
  <si>
    <t>ΑΛΕΞΙΑΔΗ</t>
  </si>
  <si>
    <t>ΑΙ698714</t>
  </si>
  <si>
    <t>740,3</t>
  </si>
  <si>
    <t>1448,3</t>
  </si>
  <si>
    <t>1217-1250-1247-1248-1249-1202-1204-1205-1206-1218-1219-1220-1221-1222-1223-1251-1252-1253-1254-1255-1256</t>
  </si>
  <si>
    <t>ΝΙΚΟΛΙΤΣΑ</t>
  </si>
  <si>
    <t>ΑΙ137600</t>
  </si>
  <si>
    <t>1447,4</t>
  </si>
  <si>
    <t>1250-1253-1249-1254-1206-1205-1255-1202-1201-1222</t>
  </si>
  <si>
    <t>ΜΠΟΙΤΣΙΟΥ</t>
  </si>
  <si>
    <t>ΑΝ386699</t>
  </si>
  <si>
    <t>1222-1267-1248-1206-1253-1249</t>
  </si>
  <si>
    <t>ΔΟΥΔΑ</t>
  </si>
  <si>
    <t>Χ844134</t>
  </si>
  <si>
    <t>1446,9</t>
  </si>
  <si>
    <t>1253-1256-1249-1219-1267-1206-1248</t>
  </si>
  <si>
    <t>ΒΑΙΛΑΣ</t>
  </si>
  <si>
    <t>Χ895416</t>
  </si>
  <si>
    <t>1445,2</t>
  </si>
  <si>
    <t>ΓΕΡΑΣΙΜΟΥ</t>
  </si>
  <si>
    <t>ΑΖ176693</t>
  </si>
  <si>
    <t>ΤΣΑΚΩΝΑΣ</t>
  </si>
  <si>
    <t>Λ689852</t>
  </si>
  <si>
    <t>1444,8</t>
  </si>
  <si>
    <t>1247-1250-1254-1218-1206-1248-1267-1249-1252-1253-1255</t>
  </si>
  <si>
    <t>ΦΩΤΟΥ</t>
  </si>
  <si>
    <t>ΑΙ235631</t>
  </si>
  <si>
    <t>705,1</t>
  </si>
  <si>
    <t>1444,1</t>
  </si>
  <si>
    <t>1250-1217</t>
  </si>
  <si>
    <t>ΠΑΝΑΓΙΩΤΟΥ</t>
  </si>
  <si>
    <t>ΑΝ375725</t>
  </si>
  <si>
    <t>1253-1219-1267-1248-1249-1206-1201</t>
  </si>
  <si>
    <t>ΜΑΝΟΥΡΑ</t>
  </si>
  <si>
    <t>ΚΙΜΩΝ</t>
  </si>
  <si>
    <t>ΑΙ736269</t>
  </si>
  <si>
    <t>1267-1202-1248</t>
  </si>
  <si>
    <t>ΧΙΝΑΚΗ</t>
  </si>
  <si>
    <t>Π980367</t>
  </si>
  <si>
    <t>1222-1248-1267</t>
  </si>
  <si>
    <t>ΣΙΑΚΑΒΑΡΑ</t>
  </si>
  <si>
    <t>Π986543</t>
  </si>
  <si>
    <t>1201-1249-1252-1247</t>
  </si>
  <si>
    <t>ΚΑΛΟΥΣΗ</t>
  </si>
  <si>
    <t>ΣΤΑΜΑΤΙΑ</t>
  </si>
  <si>
    <t>ΑΖ381830</t>
  </si>
  <si>
    <t>1206-1248-1219-1253-1249-1201-1205-1254-1247-1250-1202-1255</t>
  </si>
  <si>
    <t>ΚΑΜΠΕΡΗ</t>
  </si>
  <si>
    <t>ΑΚ981804</t>
  </si>
  <si>
    <t>1204-1205-1202-1203-1206-1247-1248-1249-1250-1251-1252-1256-1267-1217</t>
  </si>
  <si>
    <t>ΣΑΠΑΛΙΔΟΥ</t>
  </si>
  <si>
    <t>ΑΙ323035</t>
  </si>
  <si>
    <t>1441,5</t>
  </si>
  <si>
    <t>1248-1267-1206-1249-1253-1256-1201-1254-1247-1250-1221-1255-1203-1218</t>
  </si>
  <si>
    <t>ΜΟΥΣΙΟΥ</t>
  </si>
  <si>
    <t>ΣΤΕΛΛΑ</t>
  </si>
  <si>
    <t>Ρ870988</t>
  </si>
  <si>
    <t>1249-1253-1219-1248-1267-1201-1203</t>
  </si>
  <si>
    <t>ΟΙΚΟΝΟΜΙΔΟΥ</t>
  </si>
  <si>
    <t>ΑΝΑΣΤΑΣΙΑ ΕΙΡΗΝΗ</t>
  </si>
  <si>
    <t>ΑΕ345959</t>
  </si>
  <si>
    <t>1440,8</t>
  </si>
  <si>
    <t>1248-1267-1253-1249-1256-1206-1203-1252-1254-1247-1223-1250-1218-1255-1204-1205-1202-1221-1219-1217-1251</t>
  </si>
  <si>
    <t>ΤΣΑΓΚΑΡΗ</t>
  </si>
  <si>
    <t>Σ039814</t>
  </si>
  <si>
    <t>1439,3</t>
  </si>
  <si>
    <t>Χ781546</t>
  </si>
  <si>
    <t>1250-1254-1247-1201-1248-1249-1253-1206-1221-1202-1205-1255-1222-1256-1203-1252-1223-1204</t>
  </si>
  <si>
    <t>ΑΗ 883826</t>
  </si>
  <si>
    <t>1437,4</t>
  </si>
  <si>
    <t>1206-1201-1205-1202-1247-1255-1253</t>
  </si>
  <si>
    <t>ΧΕΛΙΟΥΔΑΚΗ</t>
  </si>
  <si>
    <t>ΑΚ485688</t>
  </si>
  <si>
    <t>1437,3</t>
  </si>
  <si>
    <t>1205-1255-1202-1248-1267-1206-1247-1249-1250-1253-1254</t>
  </si>
  <si>
    <t>ΚΙΟΥΡΤΣΗ</t>
  </si>
  <si>
    <t>Τ354426</t>
  </si>
  <si>
    <t>1436,4</t>
  </si>
  <si>
    <t>1203-1201-1252-1254-1256-1253-1223-1247-1248-1219-1249-1222-1206-1220-1204-1205-1255-1221-1202-1218-1217-1250-1251</t>
  </si>
  <si>
    <t>ΚΑΤΣΙΚΑ</t>
  </si>
  <si>
    <t>ΑΖ846730</t>
  </si>
  <si>
    <t>1436,3</t>
  </si>
  <si>
    <t>1206-1222-1248-1249-1253-1219</t>
  </si>
  <si>
    <t>ΑΗ295649</t>
  </si>
  <si>
    <t>1249-1253-1267-1248-1206-1202-1255</t>
  </si>
  <si>
    <t>ΚΑΤΣΑΝΕΒΑΚΗ</t>
  </si>
  <si>
    <t>ΑΕ599678</t>
  </si>
  <si>
    <t>1217-1250-1254-1247-1205-1255-1204-1202-1203-1219-1248-1267-1221-1218-1201-1222-1206-1249-1253-1256-1251-1223</t>
  </si>
  <si>
    <t>ΗΡΑ ΑΘΑΝΑΣΙΑ</t>
  </si>
  <si>
    <t>ΧΡΗΣΤΑΚΗΣ</t>
  </si>
  <si>
    <t>ΑΑ487384</t>
  </si>
  <si>
    <t>1435,4</t>
  </si>
  <si>
    <t>ΠΑΠΑΧΡΙΣΤΟΥΔΗΣ</t>
  </si>
  <si>
    <t>ΑΕ178985</t>
  </si>
  <si>
    <t>1256-1267-1253-1248-1206</t>
  </si>
  <si>
    <t>ΔΟΔΟΥΔΗ</t>
  </si>
  <si>
    <t>Μαρία</t>
  </si>
  <si>
    <t>ΑΗ670002</t>
  </si>
  <si>
    <t>ΤΣΟΥΤΣΑ</t>
  </si>
  <si>
    <t>Ξ709599</t>
  </si>
  <si>
    <t>1203-1252-1248-1247-1249-1254-1253</t>
  </si>
  <si>
    <t>ΜΠΑΧΤΣΕΣ</t>
  </si>
  <si>
    <t>ΑΙ869252</t>
  </si>
  <si>
    <t>1434,2</t>
  </si>
  <si>
    <t>1249-1253-1206-1201-1254-1267-1248-1247-1250-1205-1202-1221-1255</t>
  </si>
  <si>
    <t>ΤΑΣΣΟΥ</t>
  </si>
  <si>
    <t>ΑΒ079847</t>
  </si>
  <si>
    <t>700,7</t>
  </si>
  <si>
    <t>1432,7</t>
  </si>
  <si>
    <t>1202-1206-1249-1250-1253-1254-1255-1248-1247-1251</t>
  </si>
  <si>
    <t>ΘΕΟΔΩΡΙΔΟΥ</t>
  </si>
  <si>
    <t>ΑΖ385259</t>
  </si>
  <si>
    <t>1206-1222-1248-1219-1252-1253-1254-1256-1247-1220-1249-1250-1218-1223-1251-1204-1205-1255-1221</t>
  </si>
  <si>
    <t>ΧΑΤΖΗΔΑΚΗ</t>
  </si>
  <si>
    <t>ΑΡΙΣΤΟΤΕΛΗΣ</t>
  </si>
  <si>
    <t>ΑΙ371790</t>
  </si>
  <si>
    <t>1248-1267-1206-1253-1201-1249-1250-1254-1247-1202-1255-1205</t>
  </si>
  <si>
    <t>ΚΑΡΑΜΠΟΥΛΑ</t>
  </si>
  <si>
    <t>Τ392763</t>
  </si>
  <si>
    <t>1203-1267-1204-1205-1206-1220-1222-1247-1248-1249-1250-1251-1252-1253-1254-1255-1256</t>
  </si>
  <si>
    <t>ΚΑΡΑΓΙΑΝΝΙΔΗ</t>
  </si>
  <si>
    <t>ΑΗ238727</t>
  </si>
  <si>
    <t>1431,4</t>
  </si>
  <si>
    <t>1219-1217-1248-1267-1202-1250-1253-1255-1205-1206-1247-1249-1201-1254</t>
  </si>
  <si>
    <t>ΚΑΣΙΜΗΣ</t>
  </si>
  <si>
    <t>ΑΚ113438</t>
  </si>
  <si>
    <t>724,9</t>
  </si>
  <si>
    <t>1430,9</t>
  </si>
  <si>
    <t>1250-1247-1267-1248-1205-1255-1201-1206-1202-1253-1254-1249-1256</t>
  </si>
  <si>
    <t>ΝΕΝΟΥ</t>
  </si>
  <si>
    <t>ΑΝ373121</t>
  </si>
  <si>
    <t>1253-1248-1256-1267-1219-1249-1222</t>
  </si>
  <si>
    <t>ΑΝΔΡΕΟΥ</t>
  </si>
  <si>
    <t>Σ137347</t>
  </si>
  <si>
    <t>811,8</t>
  </si>
  <si>
    <t>1429,8</t>
  </si>
  <si>
    <t>1247-1250-1202-1255-1205</t>
  </si>
  <si>
    <t>ΚΑΡΑΓΙΑΝΝΗ</t>
  </si>
  <si>
    <t>Φ339323</t>
  </si>
  <si>
    <t>1429,3</t>
  </si>
  <si>
    <t>1254-1219-1248-1201-1247-1206-1250-1253-1205-1255-1202-1249</t>
  </si>
  <si>
    <t>ΚΩΝΣΤΑΝΤΙΝΙΔΟΥ</t>
  </si>
  <si>
    <t>ΑΖ415049</t>
  </si>
  <si>
    <t>810,7</t>
  </si>
  <si>
    <t>1428,7</t>
  </si>
  <si>
    <t>1206-1248-1247-1267-1253-1201-1249-1202-1255-1254-1250-1256-1207-1219-1220-1252-1251-1203-1222-1221-1204-1223-1217-1218</t>
  </si>
  <si>
    <t>ΝΑΝΟΥ</t>
  </si>
  <si>
    <t>ΑΖ291505</t>
  </si>
  <si>
    <t>ΠΑΠΠΑΣ</t>
  </si>
  <si>
    <t>ΕΥΡΙΠΙΔΗΣ</t>
  </si>
  <si>
    <t>ΑΖ072913</t>
  </si>
  <si>
    <t>1427,7</t>
  </si>
  <si>
    <t>1250-1247-1248-1254-1255-1202</t>
  </si>
  <si>
    <t>ΤΖΙΟΜΑΚΗ</t>
  </si>
  <si>
    <t>ΑΖ209640</t>
  </si>
  <si>
    <t>1426,9</t>
  </si>
  <si>
    <t>1217-1250-1254-1247-1253-1249-1219-1248-1202-1206-1205-1221-1255</t>
  </si>
  <si>
    <t>ΣΕΠΕΤΗ</t>
  </si>
  <si>
    <t>ΑΚ205338</t>
  </si>
  <si>
    <t>812,9</t>
  </si>
  <si>
    <t>1425,9</t>
  </si>
  <si>
    <t>1247-1248-1219-1254-1201-1206-1253-1250-1217-1218-1249-1204-1205-1255-1202</t>
  </si>
  <si>
    <t>ΧΑΤΣΙΟΥ</t>
  </si>
  <si>
    <t>ΚΩΝΣΤΑΝΤΙΝΙΑ</t>
  </si>
  <si>
    <t>ΑΗ794163</t>
  </si>
  <si>
    <t>1249-1248-1253-1254-1206</t>
  </si>
  <si>
    <t>ΚΑΝΑΚΑΡΙΔΟΥ</t>
  </si>
  <si>
    <t>ΑΚ912125</t>
  </si>
  <si>
    <t>1248-1219-1253-1256-1206-1249-1247-1250-1254-1255-1201-1202-1217-1205-1251-1220-1222-1252-1223-1221-1204-1218</t>
  </si>
  <si>
    <t>ΑΜ417232</t>
  </si>
  <si>
    <t>1423,9</t>
  </si>
  <si>
    <t>1253-1256-1249</t>
  </si>
  <si>
    <t>ΒΟΖΙΝΙΔΟΥ</t>
  </si>
  <si>
    <t>ΧΑΡΟΥΛΑ</t>
  </si>
  <si>
    <t>Φ497420</t>
  </si>
  <si>
    <t>805,2</t>
  </si>
  <si>
    <t>1423,2</t>
  </si>
  <si>
    <t>1219-1248-1267-1249-1253-1256-1252-1203-1201-1206-1220-1222-1218-1254-1217-1250-1247-1223-1204-1205-1255-1202-1221-1251</t>
  </si>
  <si>
    <t>ΛΙΝΑΡΔΟΥ</t>
  </si>
  <si>
    <t>ΑΜ586640</t>
  </si>
  <si>
    <t>1422,8</t>
  </si>
  <si>
    <t>1217-1247-1250-1254</t>
  </si>
  <si>
    <t>ΝΕΣΤΟΡΑ</t>
  </si>
  <si>
    <t>Φ277850</t>
  </si>
  <si>
    <t>1249-1253-1201-1202-1205-1206-1248-1247-1250-1254-1255-1267</t>
  </si>
  <si>
    <t>ΒΟΥΝΤΑ</t>
  </si>
  <si>
    <t>ΑΑ428920</t>
  </si>
  <si>
    <t>832,7</t>
  </si>
  <si>
    <t>1421,7</t>
  </si>
  <si>
    <t>1219-1267-1248-1247-1249-1206-1254-1250</t>
  </si>
  <si>
    <t>ΑΒ362461</t>
  </si>
  <si>
    <t>1421,2</t>
  </si>
  <si>
    <t>ΚΩΝΣΤΑΝΤΙΝΟΥ</t>
  </si>
  <si>
    <t>ΑΕ021403</t>
  </si>
  <si>
    <t>1217-1247-1250</t>
  </si>
  <si>
    <t>ΤΣΟΥΡΟΥ</t>
  </si>
  <si>
    <t>ΦΑΝΟΥΡΙΟΣ</t>
  </si>
  <si>
    <t>ΑΖ933773</t>
  </si>
  <si>
    <t>1248-1267-1250-1201-1206-1249-1253-1254-1202-1205-1255-1247-1256</t>
  </si>
  <si>
    <t>ΤΣΙΓΚΟΥΛΗ</t>
  </si>
  <si>
    <t>ΑΚ936405</t>
  </si>
  <si>
    <t>ΠΑΠΑΕΜΜΑΝΟΥΗΛ</t>
  </si>
  <si>
    <t>ΟΛΥΜΠΙΑ</t>
  </si>
  <si>
    <t>Ρ822522</t>
  </si>
  <si>
    <t>1256-1253-1248-1267-1249-1201-1206-1254-1247-1202-1255-1250</t>
  </si>
  <si>
    <t>ΧΑΤΖΗΚΩΝΣΤΑΝΤΙΝΟΥ</t>
  </si>
  <si>
    <t>ΝΙΚΟΛΕΤΤΑ</t>
  </si>
  <si>
    <t>ΑΖ778632</t>
  </si>
  <si>
    <t>1203-1223-1201-1252-1247-1256-1248-1267-1254-1253-1220-1222-1218-1206-1250-1249-1202-1204-1205-1221-1255-1219-1217-1251</t>
  </si>
  <si>
    <t>ΤΣΙΑΠΛΕ</t>
  </si>
  <si>
    <t>ΧΑΙΔΩ</t>
  </si>
  <si>
    <t>ΑΒ836526</t>
  </si>
  <si>
    <t>1201-1248-1267-1254-1249-1253-1247-1250-1256-1206</t>
  </si>
  <si>
    <t>ΛΕΞΑΣ</t>
  </si>
  <si>
    <t>ΑΕ696582</t>
  </si>
  <si>
    <t>1420,3</t>
  </si>
  <si>
    <t>ΧΡΙΣΤΟΠΟΥΛΟΥ</t>
  </si>
  <si>
    <t>ΑΖ613076</t>
  </si>
  <si>
    <t>1250-1217-1247</t>
  </si>
  <si>
    <t>Τ000795</t>
  </si>
  <si>
    <t>1420,1</t>
  </si>
  <si>
    <t>1247-1250-1217-1254-1219-1267-1253-1255-1205-1202-1252-1201-1248-1206-1249</t>
  </si>
  <si>
    <t>ΤΖΟΥΤΖΙΔΟΥ</t>
  </si>
  <si>
    <t>ΝΑΘΑΝΑΗΛ</t>
  </si>
  <si>
    <t>ΑΖ796939</t>
  </si>
  <si>
    <t>ΤΣΑΦΑ</t>
  </si>
  <si>
    <t>ΘΩΜΑΗ</t>
  </si>
  <si>
    <t>ΑΖ378435</t>
  </si>
  <si>
    <t>1419,9</t>
  </si>
  <si>
    <t>1201-1203-1206-1217-1219-1223-1247-1248-1249-1250-1252-1253-1254</t>
  </si>
  <si>
    <t>ΝΤΑΦΟΥ</t>
  </si>
  <si>
    <t>ΕΞΑΡΧΟΣ</t>
  </si>
  <si>
    <t>Τ286954</t>
  </si>
  <si>
    <t>721,6</t>
  </si>
  <si>
    <t>1419,6</t>
  </si>
  <si>
    <t>1247-1254-1250</t>
  </si>
  <si>
    <t>ΙΟΡΔΑΝΑ</t>
  </si>
  <si>
    <t>Χ951184</t>
  </si>
  <si>
    <t>863,5</t>
  </si>
  <si>
    <t>1419,5</t>
  </si>
  <si>
    <t>1253-1256-1219-1248-1206-1249-1201-1254-1250-1217-1247-1255-1205-1202-1267</t>
  </si>
  <si>
    <t>ΔΕΛΗΜΑΝΗ</t>
  </si>
  <si>
    <t>ΑΚ469469</t>
  </si>
  <si>
    <t>1202-1255-1205-1250-1247-1206</t>
  </si>
  <si>
    <t>ΓΕΡΜΑΝΟΥ</t>
  </si>
  <si>
    <t>ΚΑΡΙΝΑ</t>
  </si>
  <si>
    <t>ΒΑΛΕΡΙΟΣ</t>
  </si>
  <si>
    <t>Χ960939</t>
  </si>
  <si>
    <t>1418,7</t>
  </si>
  <si>
    <t>1201-1202-1203-1205-1206-1217-1218-1219-1221-1247-1248-1249-1250-1253-1254-1255-1267</t>
  </si>
  <si>
    <t>ΣΥΜΕΩΝΙΔΟΥ</t>
  </si>
  <si>
    <t>ΑΗ826471</t>
  </si>
  <si>
    <t>1418,4</t>
  </si>
  <si>
    <t>1206-1218-1248-1249-1250-1252-1253-1254-1255-1267</t>
  </si>
  <si>
    <t>ΦΩΤΙΑΔΟΥ</t>
  </si>
  <si>
    <t>ΑΗ950788</t>
  </si>
  <si>
    <t>1248-1253-1206-1249-1201-1254</t>
  </si>
  <si>
    <t>ΧΑΤΖΗΑΠΟΣΤΟΛΟΥ</t>
  </si>
  <si>
    <t>ΑΜ257832</t>
  </si>
  <si>
    <t>806,3</t>
  </si>
  <si>
    <t>1417,3</t>
  </si>
  <si>
    <t>ΚΑΛΑΙΤΖΗΣ</t>
  </si>
  <si>
    <t>ΑΖ148733</t>
  </si>
  <si>
    <t>1219-1267-1248-1253-1256-1249-1206-1201-1203-1247-1252-1250-1218-1217-1204-1205-1202</t>
  </si>
  <si>
    <t>ΖΙΩΒΑ</t>
  </si>
  <si>
    <t>ΕΥΘΑΛΙΑ</t>
  </si>
  <si>
    <t>ΑΖ745408</t>
  </si>
  <si>
    <t>1250-1217-1247-1253-1254-1249-1219-1248-1201-1206-1205-1255-1202</t>
  </si>
  <si>
    <t>ΜΠΟΥΣΜΠΟΥ</t>
  </si>
  <si>
    <t>ΔΟΜΝΑ</t>
  </si>
  <si>
    <t>ΑΙ196014</t>
  </si>
  <si>
    <t>1219-1248-1206-1253-1249-1201-1247-1217-1250-1254-1202-1221-1205-1255</t>
  </si>
  <si>
    <t>ΓΑΛΑΝΑΚΗ</t>
  </si>
  <si>
    <t>Ρ904649</t>
  </si>
  <si>
    <t>1202-1221-1204-1205-1255-1217-1250-1254-1247-1253-1219-1248-1249-1218-1203-1201-1206</t>
  </si>
  <si>
    <t>ΜΠΑΡΜΠΑΣ</t>
  </si>
  <si>
    <t>ΑΗ676273</t>
  </si>
  <si>
    <t>1222-1219-1267-1248-1206</t>
  </si>
  <si>
    <t>ΚΑΤΣΑΝΤΩΝΗ</t>
  </si>
  <si>
    <t>ΑΖ478456</t>
  </si>
  <si>
    <t>1254-1253-1255-1250-1249-1202-1205-1206-1201</t>
  </si>
  <si>
    <t>ΝΤΙΝΑ</t>
  </si>
  <si>
    <t>ΑΕ886430</t>
  </si>
  <si>
    <t>1249-1206-1267-1201-1202-1205-1250-1253-1254-1255-1256-1203-1204-1217-1218-1219-1220-1221-1222-1223-1247-1248-1252-1251</t>
  </si>
  <si>
    <t>ΠΛΟΚΑΜΑΚΗ</t>
  </si>
  <si>
    <t>ΑΗ972624</t>
  </si>
  <si>
    <t>1255-1221-1205-1204-1202-1217-1219-1248-1247-1250-1252-1253-1254</t>
  </si>
  <si>
    <t>ΜΠΟΓΙΑΤΖΗ</t>
  </si>
  <si>
    <t>ΑΝΝΟΥΛΑ</t>
  </si>
  <si>
    <t>ΑΕ925875</t>
  </si>
  <si>
    <t>1206-1253-1249-1267-1248-1201-1254-1247-1205-1255-1202-1250</t>
  </si>
  <si>
    <t>ΧΑΤΖΗ</t>
  </si>
  <si>
    <t>ΑΑ403355</t>
  </si>
  <si>
    <t>678,7</t>
  </si>
  <si>
    <t>1415,7</t>
  </si>
  <si>
    <t>1220-1222-1253-1256-1248-1219-1206</t>
  </si>
  <si>
    <t>ΠΡΟΒΕΤΖΑ</t>
  </si>
  <si>
    <t>ΡΑΛΛΙΩ</t>
  </si>
  <si>
    <t>ΑΜ929081</t>
  </si>
  <si>
    <t>1415,4</t>
  </si>
  <si>
    <t>ΡΟΔΙΤΗΣ</t>
  </si>
  <si>
    <t>ΕΡΜΟΛΑΟΣ</t>
  </si>
  <si>
    <t>Σ279777</t>
  </si>
  <si>
    <t>676,5</t>
  </si>
  <si>
    <t>1414,5</t>
  </si>
  <si>
    <t>1217-1250-1247-1254-1252-1249</t>
  </si>
  <si>
    <t>ΚΩΤΣΟΥΛΑ</t>
  </si>
  <si>
    <t>ΑΖ983817</t>
  </si>
  <si>
    <t>1414,4</t>
  </si>
  <si>
    <t>1247-1254-1250-1255-1205-1248-1249-1253-1202-1206-1256</t>
  </si>
  <si>
    <t>ΒΛΑΣΙΑ</t>
  </si>
  <si>
    <t>ΑΙ237031</t>
  </si>
  <si>
    <t>1412,9</t>
  </si>
  <si>
    <t>ΧΑΙΡΕΤΗ</t>
  </si>
  <si>
    <t>ΑΕ157694</t>
  </si>
  <si>
    <t>1412,5</t>
  </si>
  <si>
    <t>1202-1255-1205-1219-1248-1267-1217-1250-1247-1253-1254-1206-1201-1249-1256-1251</t>
  </si>
  <si>
    <t>ΚΑΡΛΗ</t>
  </si>
  <si>
    <t>ΑΒ077222</t>
  </si>
  <si>
    <t>1412,3</t>
  </si>
  <si>
    <t>1247-1254-1267-1219-1248-1203-1252-1201-1217-1250-1218-1205-1255-1221-1202-1206-1253-1249</t>
  </si>
  <si>
    <t>ΠΕΤΡΑΣ</t>
  </si>
  <si>
    <t>ΙΟΡΔΑΝΗΣ</t>
  </si>
  <si>
    <t>Ξ833309</t>
  </si>
  <si>
    <t>1253-1256-1267-1248-1249-1206-1201-1247-1254-1250-1202-1255-1205</t>
  </si>
  <si>
    <t>ΤΣΕΛΕΜΠΗ</t>
  </si>
  <si>
    <t>ΣΟΦΟΚΛΗΣ</t>
  </si>
  <si>
    <t>ΑΖ391874</t>
  </si>
  <si>
    <t>1411,9</t>
  </si>
  <si>
    <t>1206-1267-1253-1248-1249-1250</t>
  </si>
  <si>
    <t>ΠΕΡΕΝΤΕ</t>
  </si>
  <si>
    <t>Ξ980474</t>
  </si>
  <si>
    <t>1217-1250-1247-1218-1254-1221-1219-1267-1248-1201-1203-1253-1249-1204-1205-1255-1202-1206</t>
  </si>
  <si>
    <t>ΚΡΗΤΙΚΟΣ</t>
  </si>
  <si>
    <t>ΑΒ957518</t>
  </si>
  <si>
    <t>1410,8</t>
  </si>
  <si>
    <t>1202-1221-1205-1254-1250-1247-1201-1206-1255-1253-1249-1267-1248</t>
  </si>
  <si>
    <t>ΑΝΑΣΤΑΣΟΠΟΥΛΟΥ</t>
  </si>
  <si>
    <t>Φ469043</t>
  </si>
  <si>
    <t>1249-1253-1254-1248</t>
  </si>
  <si>
    <t>ΣΕΛΙΜΑ</t>
  </si>
  <si>
    <t>Ρ775333</t>
  </si>
  <si>
    <t>1218-1250-1217-1254-1247-1248-1267-1201-1203-1206-1253-1249-1256-1255-1202</t>
  </si>
  <si>
    <t>ΣΑΡΗΒΑΣΙΛΗ</t>
  </si>
  <si>
    <t>ΑΙ981138</t>
  </si>
  <si>
    <t>1254-1247-1203</t>
  </si>
  <si>
    <t>ΔΗΜΟΠΟΥΛΟΥ</t>
  </si>
  <si>
    <t>Ρ889722</t>
  </si>
  <si>
    <t>1201-1253-1254-1249-1219-1267-1248-1206-1247-1250-1217-1205-1255-1202-1221-1256</t>
  </si>
  <si>
    <t>ΑΝΑΓΝΩΣΤΟΥ</t>
  </si>
  <si>
    <t>ΑΗ668038</t>
  </si>
  <si>
    <t>1407,4</t>
  </si>
  <si>
    <t>1201-1255-1205-1202-1206-1254-1249-1219-1248-1267-1253-1250-1247-1217</t>
  </si>
  <si>
    <t>ΣΑΡΑΤΣΗ</t>
  </si>
  <si>
    <t>ΑΝ333418</t>
  </si>
  <si>
    <t>1201-1247-1249-1253-1254-1206-1250-1255-1202-1205-1248</t>
  </si>
  <si>
    <t>ΓΕΩΡΓΟΥΛΑ</t>
  </si>
  <si>
    <t>ΑΝΝΕΤΑ</t>
  </si>
  <si>
    <t>ΑΙ158205</t>
  </si>
  <si>
    <t>1267-1248-1206-1203-1218-1253-1247-1205-1202-1255-1204-1221</t>
  </si>
  <si>
    <t>ΤΑΣΙΟΥ</t>
  </si>
  <si>
    <t>Χ429507</t>
  </si>
  <si>
    <t>786,5</t>
  </si>
  <si>
    <t>1406,5</t>
  </si>
  <si>
    <t>1203-1201-1223-1248-1252-1267-1247-1254-1219-1253-1256-1222-1206-1249-1250-1218-1221-1220-1204-1205</t>
  </si>
  <si>
    <t>ΒΑΛΑΒΑΝΗ</t>
  </si>
  <si>
    <t>ΑΚ968497</t>
  </si>
  <si>
    <t>1252-1203-1201-1219-1267-1254-1253-1249-1220-1256-1248-1222-1223-1206-1204-1205-1255-1202-1221-1247-1218-1217-1250-1251</t>
  </si>
  <si>
    <t>ΑΒΔΙΜΙΩΤΗ</t>
  </si>
  <si>
    <t>Σ454034</t>
  </si>
  <si>
    <t>1267-1201-1206-1219-1248-1254-1247-1253-1249-1256</t>
  </si>
  <si>
    <t>ΦΛΟΥΔΟΠΟΥΛΟΥ</t>
  </si>
  <si>
    <t>ΜΑΡΙΑ ΠΑΝΑΓΙΩΤΑ</t>
  </si>
  <si>
    <t>ΑΖ592461</t>
  </si>
  <si>
    <t>697,4</t>
  </si>
  <si>
    <t>1405,4</t>
  </si>
  <si>
    <t>1218-1217-1247-1250-1203-1254-1249-1253-1219-1248-1206-1256-1202-1221-1204-1205-1255</t>
  </si>
  <si>
    <t>ΓΙΟΛΑΝΤΑ</t>
  </si>
  <si>
    <t>ΑΙ331262</t>
  </si>
  <si>
    <t>1404,5</t>
  </si>
  <si>
    <t>1249-1219-1248-1267-1201-1253-1206-1222-1203-1217-1250-1254-1218-1247-1204-1205-1255-1202-1221-1223-1251</t>
  </si>
  <si>
    <t>ΣΑΚΚΕΤΟΥ</t>
  </si>
  <si>
    <t>Π273339</t>
  </si>
  <si>
    <t>655,6</t>
  </si>
  <si>
    <t>1403,6</t>
  </si>
  <si>
    <t>1247-1250-1254-1248-1201-1206-1255-1202-1205-1249-1253-1256-1221</t>
  </si>
  <si>
    <t>ΣΙΝΑΝΑ</t>
  </si>
  <si>
    <t>ΑΕ832839</t>
  </si>
  <si>
    <t>1267-1219-1248-1253-1206</t>
  </si>
  <si>
    <t>ΦΑΣΣΑ</t>
  </si>
  <si>
    <t>ΑΓΟΡΙΤΣΑ</t>
  </si>
  <si>
    <t>ΑΜ811260</t>
  </si>
  <si>
    <t>1254-1267-1219-1248-1247-1256-1249-1206-1222-1253-1250-1218-1217-1251-1205-1255-1221-1202</t>
  </si>
  <si>
    <t>ΓΡΗΓΟΡΙΑΔΟΥ</t>
  </si>
  <si>
    <t>ΑΕ860048</t>
  </si>
  <si>
    <t>1222-1219-1267-1206-1253-1249-1248-1255-1202-1250-1217-1254</t>
  </si>
  <si>
    <t>ΖΗΣΑΚΟΥ</t>
  </si>
  <si>
    <t>ΑΕ385373</t>
  </si>
  <si>
    <t>1402,7</t>
  </si>
  <si>
    <t>1253-1248-1267-1206-1255-1205-1202-1247-1254-1249-1250-1220-1219-1221-1218-1204-1203-1217-1252-1256-1251-1222-1223</t>
  </si>
  <si>
    <t>ΓΙΑΚΟΥΜΑΚΗ</t>
  </si>
  <si>
    <t>ΑΕ473265</t>
  </si>
  <si>
    <t>1255-1219-1217-1248-1250-1252-1253-1247-1206-1205-1204-1220-1221-1256-1254-1251-1249-1202-1218-1222-1223</t>
  </si>
  <si>
    <t>ΜΑΥΡΙΔΟΥ</t>
  </si>
  <si>
    <t>Τ796024</t>
  </si>
  <si>
    <t>1206-1256-1220-1222-1248-1253-1267-1219</t>
  </si>
  <si>
    <t>ΤΟΥΛΚΕΡΙΔΟΥ</t>
  </si>
  <si>
    <t>ΑΕ670370</t>
  </si>
  <si>
    <t>1267-1248-1253-1249-1206-1254-1247-1250-1255</t>
  </si>
  <si>
    <t>ΓΝΑΦΑΚΗΣ</t>
  </si>
  <si>
    <t>ΑΑ491008</t>
  </si>
  <si>
    <t>1255-1247-1248-1249-1250-1253-1254</t>
  </si>
  <si>
    <t>ΣΑΒΒΙΔΟΥ</t>
  </si>
  <si>
    <t>Τ373816</t>
  </si>
  <si>
    <t>1400,8</t>
  </si>
  <si>
    <t>1249-1253-1267-1248-1201-1206-1254-1247-1250-1205-1255-1202</t>
  </si>
  <si>
    <t>ΛΥΡΑ</t>
  </si>
  <si>
    <t>ΚΑΝΕΛΛΑ</t>
  </si>
  <si>
    <t>Χ692840</t>
  </si>
  <si>
    <t>712,8</t>
  </si>
  <si>
    <t>1247-1217-1250-1254</t>
  </si>
  <si>
    <t>ΣΙΩΠΚΑ</t>
  </si>
  <si>
    <t>ΑΗ355567</t>
  </si>
  <si>
    <t>887,7</t>
  </si>
  <si>
    <t>1400,7</t>
  </si>
  <si>
    <t>1220-1248-1253-1249-1206-1252</t>
  </si>
  <si>
    <t>ΚΑΛΚΑΒΟΥΡΑ</t>
  </si>
  <si>
    <t>ΑΝ275255</t>
  </si>
  <si>
    <t>1400,1</t>
  </si>
  <si>
    <t>1248-1205-1255-1202-1201-1254-1206-1247-1250-1253-1249</t>
  </si>
  <si>
    <t>ΜΕΡΖΙΩΤΗ</t>
  </si>
  <si>
    <t>ΝΙΚΗ ΣΩΤΗΡΙΑ</t>
  </si>
  <si>
    <t>Χ286643</t>
  </si>
  <si>
    <t>1399,8</t>
  </si>
  <si>
    <t>1255-1248-1206-1247-1249-1250-1253-1254</t>
  </si>
  <si>
    <t>ΤΣΙΛΙΔΟΥ</t>
  </si>
  <si>
    <t>ΡΟΛΑΝΔΟΣ</t>
  </si>
  <si>
    <t>ΑΜ271763</t>
  </si>
  <si>
    <t>1399,4</t>
  </si>
  <si>
    <t>1219-1248-1267-1253-1254-1206-1247</t>
  </si>
  <si>
    <t>ΠΕΓΙΟΥΔΗ</t>
  </si>
  <si>
    <t>ΑΒ686719</t>
  </si>
  <si>
    <t>ΦΩΤΟΥΔΗ</t>
  </si>
  <si>
    <t>ΑΝ907240</t>
  </si>
  <si>
    <t>1222-1206-1220-1248-1203-1219-1249-1252-1253-1267-1256-1202-1204-1205-1217-1218-1221-1223-1247-1250-1251-1254-1255</t>
  </si>
  <si>
    <t>ΦΛΩΡΟΣ</t>
  </si>
  <si>
    <t>ΑΙ742088</t>
  </si>
  <si>
    <t>1267-1248-1219</t>
  </si>
  <si>
    <t>ΓΚΑΜΙΛΗ</t>
  </si>
  <si>
    <t>Σ393720</t>
  </si>
  <si>
    <t>ΡΑΠΤΟΠΟΥΛΟΥ</t>
  </si>
  <si>
    <t>ΑΖ804440</t>
  </si>
  <si>
    <t>1398,4</t>
  </si>
  <si>
    <t>1256-1267-1248-1255-1205-1202-1251-1206-1219-1247</t>
  </si>
  <si>
    <t>ΑΑ962442</t>
  </si>
  <si>
    <t>1201-1202-1203-1204-1205-1206-1217-1218-1219-1220-1221-1223-1222-1247-1248-1249-1250-1251-1252-1253-1254-1255-1256-1267</t>
  </si>
  <si>
    <t>ΚΟΥΓΙΑ</t>
  </si>
  <si>
    <t>ΑΡΕΤΗ</t>
  </si>
  <si>
    <t>ΑΜ852463</t>
  </si>
  <si>
    <t>954,8</t>
  </si>
  <si>
    <t>1397,8</t>
  </si>
  <si>
    <t>1249-1201-1202-1255-1253-1254-1205-1206-1250-1247-1248-1256-1221</t>
  </si>
  <si>
    <t>ΛΑΜΠΡΙΔΗΣ</t>
  </si>
  <si>
    <t>ΑΚ315665</t>
  </si>
  <si>
    <t>807,4</t>
  </si>
  <si>
    <t>1397,4</t>
  </si>
  <si>
    <t>ΜΑΡΚΕΤΑΚΗΣ</t>
  </si>
  <si>
    <t>ΑΝ479919</t>
  </si>
  <si>
    <t>808,5</t>
  </si>
  <si>
    <t>1396,5</t>
  </si>
  <si>
    <t>1255-1247-1267-1254-1250-1249-1253-1206-1248</t>
  </si>
  <si>
    <t>ΓΕΩΡΓΟΠΟΥΛΟΣ</t>
  </si>
  <si>
    <t>ΑΖ204206</t>
  </si>
  <si>
    <t>1396,1</t>
  </si>
  <si>
    <t>1217-1250-1218-1247-1254-1221-1202-1204-1205-1255-1201-1252-1203-1223-1251-1249-1253-1219-1248-1256-1206-1222-1220</t>
  </si>
  <si>
    <t>ΚΑΡΑΜΑΝΗ</t>
  </si>
  <si>
    <t>ΗΛΙΑΝΑ</t>
  </si>
  <si>
    <t>Χ975723</t>
  </si>
  <si>
    <t>798,6</t>
  </si>
  <si>
    <t>1395,6</t>
  </si>
  <si>
    <t>1222-1267-1206-1248</t>
  </si>
  <si>
    <t>ΜΑΝΤΑΣΙΑ</t>
  </si>
  <si>
    <t>ΑΒ494443</t>
  </si>
  <si>
    <t>1395,4</t>
  </si>
  <si>
    <t>ΦΑΡΜΑΚΗΣ</t>
  </si>
  <si>
    <t>ΑΜ785138</t>
  </si>
  <si>
    <t>1255-1250-1253-1206-1267-1256-1247-1254-1248-1249</t>
  </si>
  <si>
    <t>ΟΨΙΜΑΚΗ</t>
  </si>
  <si>
    <t>ΔΑΜΟΥΛΗΣ</t>
  </si>
  <si>
    <t>ΑΗ455673</t>
  </si>
  <si>
    <t>597,3</t>
  </si>
  <si>
    <t>1395,3</t>
  </si>
  <si>
    <t>1255-1202-1205-1250-1247-1254-1248-1206-1253-1256-1201-1249-1267</t>
  </si>
  <si>
    <t>ΠΑΓΩΝΑΚΗΣ</t>
  </si>
  <si>
    <t>ΑΗ401653</t>
  </si>
  <si>
    <t>1206-1219-1248-1253-1256-1249-1252-1201-1250-1254-1247-1217-1218-1202-1204-1205-1221-1255</t>
  </si>
  <si>
    <t>ΔΕΛΗΓΙΑΝΝΗ</t>
  </si>
  <si>
    <t>ΑΚ494900</t>
  </si>
  <si>
    <t>746,9</t>
  </si>
  <si>
    <t>1394,9</t>
  </si>
  <si>
    <t>ΖΗΛΕΛΛΗ-ΔΕΛΗΜΗΤΡΟΥ</t>
  </si>
  <si>
    <t>ΑΖ929980</t>
  </si>
  <si>
    <t>753,5</t>
  </si>
  <si>
    <t>1394,5</t>
  </si>
  <si>
    <t>1206-1253-1201-1249-1247-1250-1217-1254-1255-1202-1205-1221-1248-1219-1267-1251</t>
  </si>
  <si>
    <t>ΚΑΤΣΟΥΓΙΑΝΝΟΠΟΥΛΟΥ</t>
  </si>
  <si>
    <t>ΤΡΙΑΝΤΑΦΥΛΛΙΑ</t>
  </si>
  <si>
    <t>ΑΒ723997</t>
  </si>
  <si>
    <t>1249-1253-1256-1252-1250-1254-1255</t>
  </si>
  <si>
    <t>ΒΑΛΔΟΥΡΑΝΗ</t>
  </si>
  <si>
    <t>ΑΖ922635</t>
  </si>
  <si>
    <t>1206-1249-1248-1247-1253</t>
  </si>
  <si>
    <t>ΜΠΑΚΕΑ</t>
  </si>
  <si>
    <t>ΑΕ580621</t>
  </si>
  <si>
    <t>1393,4</t>
  </si>
  <si>
    <t>1217-1250-1247-1254-1201-1218-1249-1219-1267-1220-1222-1206-1204-1205-1221-1202-1223-1251</t>
  </si>
  <si>
    <t>ΑΙΒΑΖΙΔΟΥ</t>
  </si>
  <si>
    <t>ΑΒ734187</t>
  </si>
  <si>
    <t>1206-1219-1248-1267</t>
  </si>
  <si>
    <t>ΒΡΑΚΑ</t>
  </si>
  <si>
    <t>ΧΑΡΙΤΩΜΕΝΗ</t>
  </si>
  <si>
    <t>ΑΖ744794</t>
  </si>
  <si>
    <t>1392,8</t>
  </si>
  <si>
    <t>1219-1248-1206-1201-1254-1249-1250-1217-1247-1253-1255-1205-1202</t>
  </si>
  <si>
    <t>ΤΑΚΟΥ</t>
  </si>
  <si>
    <t>ΔΗΜΗΤΡΑ-ΔΕΣΠΟΙΝΑ</t>
  </si>
  <si>
    <t>ΑΝ978124</t>
  </si>
  <si>
    <t>1392,4</t>
  </si>
  <si>
    <t>1247-1248-1267-1254-1205-1206-1202-1201-1217-1250-1253-1249</t>
  </si>
  <si>
    <t>ΠΑΣΧΑΛΙΔΗΣ</t>
  </si>
  <si>
    <t>ΔΑΜΙΑΝΟΣ</t>
  </si>
  <si>
    <t>ΑΒ723654</t>
  </si>
  <si>
    <t>1253-1248-1249-1206-1247-1254-1250-1255</t>
  </si>
  <si>
    <t>ΑΗ810930</t>
  </si>
  <si>
    <t>1256-1253-1203-1206-1222-1220-1249-1219-1248</t>
  </si>
  <si>
    <t>ΚΟΚΚΑ</t>
  </si>
  <si>
    <t>Χ914341</t>
  </si>
  <si>
    <t>1390,2</t>
  </si>
  <si>
    <t>1203-1201-1206-1247-1218-1202-1204-1205-1221-1267-1223-1222-1256</t>
  </si>
  <si>
    <t>ΤΣΟΛΑΚΗ</t>
  </si>
  <si>
    <t>ΕΥΣΕΒΕΙΑ</t>
  </si>
  <si>
    <t>ΑΙ734775</t>
  </si>
  <si>
    <t>1389,1</t>
  </si>
  <si>
    <t>1267-1206-1203-1249-1256-1253-1247-1201-1204-1255-1205-1221</t>
  </si>
  <si>
    <t>ΛΙΑΠΑΤΗ</t>
  </si>
  <si>
    <t>ΑΕ481461</t>
  </si>
  <si>
    <t>1388,5</t>
  </si>
  <si>
    <t>ΜΕΡΕΝΤΙΤΗ</t>
  </si>
  <si>
    <t>Σ216144</t>
  </si>
  <si>
    <t>1388,3</t>
  </si>
  <si>
    <t>ΠΟΛΥΖΟΣ</t>
  </si>
  <si>
    <t>Ρ235748</t>
  </si>
  <si>
    <t>1201-1202-1206-1247-1248-1249-1250-1253-1255-1254</t>
  </si>
  <si>
    <t>ΒΟΥΛΓΑΡΑΚΗ</t>
  </si>
  <si>
    <t>ΑΗ797864</t>
  </si>
  <si>
    <t>1203-1252-1254-1267-1248-1253-1249</t>
  </si>
  <si>
    <t>ΣΕΜΠΡΟΥ</t>
  </si>
  <si>
    <t>ΑΖ767239</t>
  </si>
  <si>
    <t>1201-1247-1218-1254-1250-1217-1203-1219-1248-1223</t>
  </si>
  <si>
    <t>ΚΩΤΣΙΟΥ</t>
  </si>
  <si>
    <t>ΑΗ803748</t>
  </si>
  <si>
    <t>1201-1202-1205-1206-1248-1249-1250-1253-1254-1255-1267</t>
  </si>
  <si>
    <t>ΓΚΟΥΤΖΕΛΗΣ</t>
  </si>
  <si>
    <t>ΑΝ420655</t>
  </si>
  <si>
    <t>1222-1248-1206-1253-1256-1267-1249-1254-1252</t>
  </si>
  <si>
    <t>ΤΖΗΚΑΛΙΟΥ</t>
  </si>
  <si>
    <t>ΑΙ333904</t>
  </si>
  <si>
    <t>1249-1203-1252-1253-1201-1206-1204-1267-1248-1205-1255-1247-1254-1221-1202-1218-1250</t>
  </si>
  <si>
    <t>ΓΙΑΛΑΜΑΣ</t>
  </si>
  <si>
    <t>ΑΗ773994</t>
  </si>
  <si>
    <t>1386,9</t>
  </si>
  <si>
    <t>1248-1267-1201-1254-1247-1206</t>
  </si>
  <si>
    <t>ΜΑΥΡΟΜΑΤΑΚΗ</t>
  </si>
  <si>
    <t>ΙΑΣΩΝ</t>
  </si>
  <si>
    <t>ΑΙ460929</t>
  </si>
  <si>
    <t>1386,3</t>
  </si>
  <si>
    <t>1255-1248-1267-1247-1250-1254-1249-1253</t>
  </si>
  <si>
    <t>ΦΕΙΜΗ</t>
  </si>
  <si>
    <t>ΑΚ905719</t>
  </si>
  <si>
    <t>1220-1219-1248</t>
  </si>
  <si>
    <t>ΣΙΔΗΡΟΠΟΥΛΟΥ</t>
  </si>
  <si>
    <t>ΕΥΔΟΞΙΑ</t>
  </si>
  <si>
    <t>ΣΥΜΕΩΝ</t>
  </si>
  <si>
    <t>ΑΜ879535</t>
  </si>
  <si>
    <t>1253-1249-1248-1219-1206-1255-1205-1202-1247-1250-1254-1217</t>
  </si>
  <si>
    <t>ΣΙΝΗ</t>
  </si>
  <si>
    <t>ΑΜ320402</t>
  </si>
  <si>
    <t>1384,7</t>
  </si>
  <si>
    <t>1218-1250-1217-1247-1254-1252-1248-1223-1253-1206-1249-1202-1205-1204-1255-1221-1256-1222-1219-1220-1251</t>
  </si>
  <si>
    <t>ΓΑΛΓΑΔΑ</t>
  </si>
  <si>
    <t>ΕΦΡΟΣΥΝΗ</t>
  </si>
  <si>
    <t>Φ238822</t>
  </si>
  <si>
    <t>ΑΙ703757</t>
  </si>
  <si>
    <t>1384,4</t>
  </si>
  <si>
    <t>1248-1249-1253-1222-1256-1254-1255-1247-1206-1250</t>
  </si>
  <si>
    <t>ΡΑΠΤΗ</t>
  </si>
  <si>
    <t>Φ057135</t>
  </si>
  <si>
    <t>1383,2</t>
  </si>
  <si>
    <t>ΚΛΗΜΗ</t>
  </si>
  <si>
    <t>ΑΖ935930</t>
  </si>
  <si>
    <t>1382,5</t>
  </si>
  <si>
    <t>1248-1250-1206-1247-1249-1202-1253-1254-1201-1205</t>
  </si>
  <si>
    <t>ΚΑΡΑΜΑΝΙΔΟΥ</t>
  </si>
  <si>
    <t>ΦΙΛΙΠΠΟΣ</t>
  </si>
  <si>
    <t>ΑΗ329380</t>
  </si>
  <si>
    <t>1253-1248-1249-1206-1247-1250-1201-1202-1255-1256-1267-1254</t>
  </si>
  <si>
    <t>ΚΑΡΑΓΕΩΡΓΙΟΥ</t>
  </si>
  <si>
    <t>ΑΙ523749</t>
  </si>
  <si>
    <t>1247-1202-1205-1255-1221-1267-1201</t>
  </si>
  <si>
    <t>ΒΑΓΓΕΛΗ</t>
  </si>
  <si>
    <t>ΑΖ791503</t>
  </si>
  <si>
    <t>713,9</t>
  </si>
  <si>
    <t>1381,9</t>
  </si>
  <si>
    <t>1249-1253-1267-1248-1254-1247-1256-1206-1250-1255</t>
  </si>
  <si>
    <t>ΘΕΡΑΠΙΔΗΣ</t>
  </si>
  <si>
    <t>ΑΣΤΕΡΙΟΣ</t>
  </si>
  <si>
    <t>ΑΖ166760</t>
  </si>
  <si>
    <t>1381,4</t>
  </si>
  <si>
    <t>1202-1203-1204-1205-1206-1247-1248-1250-1255-1252-1253-1254-1256-1251</t>
  </si>
  <si>
    <t>ΛΟΥΡΟΥ</t>
  </si>
  <si>
    <t>Ρ494499</t>
  </si>
  <si>
    <t>1250-1247-1267</t>
  </si>
  <si>
    <t>ΑΜ844685</t>
  </si>
  <si>
    <t>861,3</t>
  </si>
  <si>
    <t>1381,3</t>
  </si>
  <si>
    <t>1201-1247-1248-1267-1256-1249-1253-1206-1254-1250-1255-1202</t>
  </si>
  <si>
    <t>ΚΑΣΙΔΗ</t>
  </si>
  <si>
    <t>ΑΖ927836</t>
  </si>
  <si>
    <t>651,2</t>
  </si>
  <si>
    <t>1381,2</t>
  </si>
  <si>
    <t>1251-1217-1203-1204-1205-1206-1219-1221-1247-1248-1249-1250-1252-1253-1254-1255-1267-1218-1202-1220-1222-1223-1256</t>
  </si>
  <si>
    <t>ΤΣΑΤΣΑΚΗΣ</t>
  </si>
  <si>
    <t>Σ869947</t>
  </si>
  <si>
    <t>1380,9</t>
  </si>
  <si>
    <t>1202-1201-1205-1206-1247-1248-1249-1250-1253-1254-1255-1267</t>
  </si>
  <si>
    <t>ΜΕΛΙΣΣΑΡΟΠΟΥΛΟΥ</t>
  </si>
  <si>
    <t>ΑΖ226461</t>
  </si>
  <si>
    <t>1380,3</t>
  </si>
  <si>
    <t>1217-1250-1247-1248-1267-1254-1201-1202-1205-1206-1221-1249-1253-1255-1256</t>
  </si>
  <si>
    <t>ΚΑΡΕΓΛΗ</t>
  </si>
  <si>
    <t>Χ086667</t>
  </si>
  <si>
    <t>1252-1201-1203-1254-1253-1267-1223-1218-1206</t>
  </si>
  <si>
    <t>ΠΑΠΑΠΟΣΤΟΛΟΥ</t>
  </si>
  <si>
    <t>Ν487970</t>
  </si>
  <si>
    <t>1250-1247-1217-1254-1223-1248-1253-1249</t>
  </si>
  <si>
    <t>ΧΙΝΤΖΙΟΥ</t>
  </si>
  <si>
    <t>ΑΖ847169</t>
  </si>
  <si>
    <t>1222-1206-1248-1253-1249-1254-1247-1218-1250-1255</t>
  </si>
  <si>
    <t>ΠΑΛΙΟΤΖΗΚΑ</t>
  </si>
  <si>
    <t>ΔΗΜΗΤΡΟΥΛΑ</t>
  </si>
  <si>
    <t>Χ915603</t>
  </si>
  <si>
    <t>1267-1248-1254-1249-1253-1256-1247-1206-1250-1255</t>
  </si>
  <si>
    <t>ΓΙΑΒΡΟΥΤΑ</t>
  </si>
  <si>
    <t>Χ374629</t>
  </si>
  <si>
    <t>1379,2</t>
  </si>
  <si>
    <t>1201-1248-1247-1202</t>
  </si>
  <si>
    <t>ΚΟΡΑΤΖΟΠΟΥΛΟΥ ΓΑΛΑΝΑΚΟΠΟΥΛΟΥ</t>
  </si>
  <si>
    <t>ΑΜ329792</t>
  </si>
  <si>
    <t>ΜΑΜΣΑΚΟΥ</t>
  </si>
  <si>
    <t>ΧΡΙΣΤΟΔΟΥΛΟΣ</t>
  </si>
  <si>
    <t>ΑΗ891583</t>
  </si>
  <si>
    <t>1378,6</t>
  </si>
  <si>
    <t>1202-1204-1205-1206-1221-1247-1248-1249-1250-1253-1255</t>
  </si>
  <si>
    <t>ΓΙΑΝΝΟΥ</t>
  </si>
  <si>
    <t>ΔΗΜΗΤΡΗΣ</t>
  </si>
  <si>
    <t>Χ308227</t>
  </si>
  <si>
    <t>1377,8</t>
  </si>
  <si>
    <t>1247-1254-1256-1201-1202-1203-1204-1205-1206-1217-1218-1219-1220-1222-1223-1267-1248-1249-1250-1251-1221-1252-1253</t>
  </si>
  <si>
    <t>ΧΑΤΖΗΠΑΝΑΓΙΩΤΟΥ</t>
  </si>
  <si>
    <t>ΑΒ684898</t>
  </si>
  <si>
    <t>876,7</t>
  </si>
  <si>
    <t>1377,7</t>
  </si>
  <si>
    <t>1219-1248-1267-1253-1256-1203-1249-1206-1201-1254-1247-1217-1250-1218-1202-1205-1221-1255-1251-1223</t>
  </si>
  <si>
    <t>ΛΥΡΙΝΤΖΗ</t>
  </si>
  <si>
    <t>ΑΚ228727</t>
  </si>
  <si>
    <t>1377,3</t>
  </si>
  <si>
    <t>ΤΣΑΓΚΟΖΗ</t>
  </si>
  <si>
    <t>Σ928627</t>
  </si>
  <si>
    <t>1248-1267-1205-1255-1253-1247-1201-1202-1206-1249-1250-1254-1256-1221</t>
  </si>
  <si>
    <t>ΔΑΤΣΗ</t>
  </si>
  <si>
    <t>ΑΜ280250</t>
  </si>
  <si>
    <t>1267-1256-1253-1248</t>
  </si>
  <si>
    <t>ΓΑΡΕΦΑΛΑΚΗ</t>
  </si>
  <si>
    <t>ΑΚ475624</t>
  </si>
  <si>
    <t>1202-1205-1255-1250-1253-1247-1254-1249-1248-1206</t>
  </si>
  <si>
    <t>ΚΑΡΑΜΗΤΣΙΟΥ</t>
  </si>
  <si>
    <t>ΑΒ835534</t>
  </si>
  <si>
    <t>1203-1252-1201</t>
  </si>
  <si>
    <t>ΜΗΤΣΟΥ</t>
  </si>
  <si>
    <t>ΑΖ778600</t>
  </si>
  <si>
    <t>ΚΟΛΕΡΗΣ</t>
  </si>
  <si>
    <t>Σ253850</t>
  </si>
  <si>
    <t>1250-1247-1254-1218-1201-1249-1223-1253-1248-1206-1256-1222-1255-1221-1202-1204-1205</t>
  </si>
  <si>
    <t>ΣΟΥΦΛΕΡΟΥ</t>
  </si>
  <si>
    <t>ΑΗ475707</t>
  </si>
  <si>
    <t>1254-1201-1248-1247-1255-1206-1250</t>
  </si>
  <si>
    <t>ΛΑΜΠΑΔΑΡΗ</t>
  </si>
  <si>
    <t>ΑΗ779323</t>
  </si>
  <si>
    <t>1201-1203-1223-1252</t>
  </si>
  <si>
    <t>ΤΑΓΙΑΝΟΓΛΟΥ</t>
  </si>
  <si>
    <t>ΑΕ126156</t>
  </si>
  <si>
    <t>1249-1201-1202-1204-1205-1206-1217-1218-1219-1221-1247-1248-1250-1252-1253-1254-1255</t>
  </si>
  <si>
    <t>ΣΤΑΜΑΤΟΠΟΥΛΟΥ</t>
  </si>
  <si>
    <t>Χ307005</t>
  </si>
  <si>
    <t>1250-1247-1267-1248-1201-1255-1202-1206</t>
  </si>
  <si>
    <t>ΤΣΑΜΠΑ</t>
  </si>
  <si>
    <t>ΑΝ186383</t>
  </si>
  <si>
    <t>1376,5</t>
  </si>
  <si>
    <t>1248-1253-1206-1255-1256-1249-1254-1247-1250</t>
  </si>
  <si>
    <t>ΡΕΚΛΕΙΤΗ</t>
  </si>
  <si>
    <t>ΑΖ606840</t>
  </si>
  <si>
    <t>628,1</t>
  </si>
  <si>
    <t>1376,1</t>
  </si>
  <si>
    <t>ΚΑΡΑΤΖΑ</t>
  </si>
  <si>
    <t>ΕΛΙΣΣΑΒΕΤ</t>
  </si>
  <si>
    <t>Χ817802</t>
  </si>
  <si>
    <t>911,9</t>
  </si>
  <si>
    <t>1375,9</t>
  </si>
  <si>
    <t>1206-1248-1267</t>
  </si>
  <si>
    <t>ΛΑΖΑΡΙΔΗΣ</t>
  </si>
  <si>
    <t>ΚΥΡΙΛΛΟΣ</t>
  </si>
  <si>
    <t>ΑΙ334835</t>
  </si>
  <si>
    <t>757,9</t>
  </si>
  <si>
    <t>1206-1223-1248-1249-1253</t>
  </si>
  <si>
    <t>ΕΥΑΓΓΕΛΟΥ</t>
  </si>
  <si>
    <t>ΑΖ668074</t>
  </si>
  <si>
    <t>1267-1219-1248</t>
  </si>
  <si>
    <t>ΤΑΣΙΟΥΔΗ</t>
  </si>
  <si>
    <t>ΑΕ893272</t>
  </si>
  <si>
    <t>1206-1267-1219-1248-1247-1249-1250-1253-1254-1255-1202-1201-1205-1217-1221-1204-1203-1218</t>
  </si>
  <si>
    <t>ΔΡΑΚΑΚΙΔΟΥ</t>
  </si>
  <si>
    <t>ΑΙ350911</t>
  </si>
  <si>
    <t>1374,1</t>
  </si>
  <si>
    <t>1249-1253-1219-1248-1206</t>
  </si>
  <si>
    <t>ΚΑΚΟΥΡΗΣ</t>
  </si>
  <si>
    <t>ΑΕ518842</t>
  </si>
  <si>
    <t>Ν872161</t>
  </si>
  <si>
    <t>1373,9</t>
  </si>
  <si>
    <t>1205-1204-1255-1202-1221-1247-1218-1217-1250-1254-1252-1201-1203-1206-1253-1249-1248-1267-1219-1222-1256-1220-1251-1223-1257</t>
  </si>
  <si>
    <t>ΚΑΡΑΜΕΡΟΣ</t>
  </si>
  <si>
    <t>Φ244133</t>
  </si>
  <si>
    <t>1373,4</t>
  </si>
  <si>
    <t>1253-1249</t>
  </si>
  <si>
    <t>ΑΔΑΜΟΠΟΥΛΟΥ</t>
  </si>
  <si>
    <t>ΑΒ013581</t>
  </si>
  <si>
    <t>ΛΑΖΟΥ</t>
  </si>
  <si>
    <t>Χ689772</t>
  </si>
  <si>
    <t>1217-1255-1202-1205-1250-1254-1219-1248-1206-1201-1249-1253-1247</t>
  </si>
  <si>
    <t>ΚΥΡΓΙΑ</t>
  </si>
  <si>
    <t>Χ408217</t>
  </si>
  <si>
    <t>1372,6</t>
  </si>
  <si>
    <t>1248-1250-1255-1249-1253-1254-1256-1247</t>
  </si>
  <si>
    <t>ΚΟΥΚΛΟΣ</t>
  </si>
  <si>
    <t>ΑΚ454674</t>
  </si>
  <si>
    <t>667,7</t>
  </si>
  <si>
    <t>1371,7</t>
  </si>
  <si>
    <t>ΦΛΕΓΚΑ</t>
  </si>
  <si>
    <t>Φ336472</t>
  </si>
  <si>
    <t>1371,6</t>
  </si>
  <si>
    <t>1254-1247-1201-1217-1248-1250-1219</t>
  </si>
  <si>
    <t>ΜΟΥΝΤΖΟΥΓΙΑΝΝΗΣ</t>
  </si>
  <si>
    <t>ΔΙΑΜΑΝΤΗΣ</t>
  </si>
  <si>
    <t>ΑΚ283189</t>
  </si>
  <si>
    <t>1371,5</t>
  </si>
  <si>
    <t>1256-1253-1249-1248</t>
  </si>
  <si>
    <t>ΑΗ329190</t>
  </si>
  <si>
    <t>1253-1249-1256-1248</t>
  </si>
  <si>
    <t>ΑΙ434797</t>
  </si>
  <si>
    <t>1371,4</t>
  </si>
  <si>
    <t>1202-1255-1205-1247-1248-1249-1250-1253-1254-1206-1218-1221-1204</t>
  </si>
  <si>
    <t>ΧΑΡΙΤΑΚΗ</t>
  </si>
  <si>
    <t>ΑΕ973664</t>
  </si>
  <si>
    <t>1370,1</t>
  </si>
  <si>
    <t>1255-1250-1247-1267-1248-1206-1249-1253-1254</t>
  </si>
  <si>
    <t>ΖΙΑΚΑ</t>
  </si>
  <si>
    <t>ΑΕ859121</t>
  </si>
  <si>
    <t>1222-1221-1217-1218-1204-1202-1205-1255-1201-1206-1219-1248-1267-1247-1249-1250-1253-1254-1251-1256</t>
  </si>
  <si>
    <t>ΖΑΓΟΥΡΑΣ</t>
  </si>
  <si>
    <t>ΑΙ984586</t>
  </si>
  <si>
    <t>1369,7</t>
  </si>
  <si>
    <t>1247-1217-1250-1254-1223-1219-1248-1255-1204-1205-1202-1218-1221-1252-1251-1206-1253-1249-1256-1201</t>
  </si>
  <si>
    <t>ΚΟΡΝΕΖΟΥ</t>
  </si>
  <si>
    <t>Χ394618</t>
  </si>
  <si>
    <t>1249-1247-1248-1253-1254-1250-1218-1255</t>
  </si>
  <si>
    <t>ΠΟΥΛΟΣ</t>
  </si>
  <si>
    <t>ΑΒ496842</t>
  </si>
  <si>
    <t>653,4</t>
  </si>
  <si>
    <t>1368,4</t>
  </si>
  <si>
    <t>1250-1247-1248-1267-1254-1255-1205-1202-1206-1249-1253</t>
  </si>
  <si>
    <t>ΠΕΤΡΟΠΟΥΛΟΥ</t>
  </si>
  <si>
    <t>Χ447449</t>
  </si>
  <si>
    <t>1368,2</t>
  </si>
  <si>
    <t>1256-1267-1248-1253-1249</t>
  </si>
  <si>
    <t>ΚΥΡΟΥΛΗ</t>
  </si>
  <si>
    <t>ΑΜ791338</t>
  </si>
  <si>
    <t>709,5</t>
  </si>
  <si>
    <t>1367,5</t>
  </si>
  <si>
    <t>1201-1202-1203-1204-1205-1206-1217-1218-1219-1247-1248-1249</t>
  </si>
  <si>
    <t>ΜΑΗ</t>
  </si>
  <si>
    <t>Χ093573</t>
  </si>
  <si>
    <t>1247-1250-1217-1254</t>
  </si>
  <si>
    <t>Ρ299326</t>
  </si>
  <si>
    <t>1367,3</t>
  </si>
  <si>
    <t>1202-1205-1206-1247-1248-1221-1219-1218-1220-1222-1223-1201-1204-1249-1250-1251-1252-1253-1254</t>
  </si>
  <si>
    <t>ΤΖΙΝΤΖΙΔΗΣ</t>
  </si>
  <si>
    <t>ΑΕ863399</t>
  </si>
  <si>
    <t>1046,1</t>
  </si>
  <si>
    <t>1367,1</t>
  </si>
  <si>
    <t>1222-1248-1206-1267-1253-1249-1254-1218-1247-1250-1255-1202-1256</t>
  </si>
  <si>
    <t>ΠΡΑΠΑΣ</t>
  </si>
  <si>
    <t>ΑΙ180724</t>
  </si>
  <si>
    <t>1366,8</t>
  </si>
  <si>
    <t>1248-1267-1219-1222-1203-1253-1256-1220</t>
  </si>
  <si>
    <t>Καλαμιώτη</t>
  </si>
  <si>
    <t>Ελένη</t>
  </si>
  <si>
    <t>Φ450510</t>
  </si>
  <si>
    <t>1366,4</t>
  </si>
  <si>
    <t>ΑΖ931291</t>
  </si>
  <si>
    <t>ΚΟΚΚΙΝΟΥ</t>
  </si>
  <si>
    <t>ΑΝ920946</t>
  </si>
  <si>
    <t>1202-1221-1255-1205-1267-1206-1201-1222-1254-1249-1250-1253</t>
  </si>
  <si>
    <t>ΚΥΡΚΟΥ</t>
  </si>
  <si>
    <t>ΑΜ484880</t>
  </si>
  <si>
    <t>1254-1247-1205-1206</t>
  </si>
  <si>
    <t>ΤΟΠΑΛΙΔΟΥ</t>
  </si>
  <si>
    <t>ΜΑΡΘΑ</t>
  </si>
  <si>
    <t>ΑΙ736701</t>
  </si>
  <si>
    <t>ΤΣΑΝΤΟΥΛΑΣ</t>
  </si>
  <si>
    <t>ΑΒ549072</t>
  </si>
  <si>
    <t>1248-1247-1250-1267-1201-1206-1249-1253-1254-1202-1205-1255</t>
  </si>
  <si>
    <t>ΚΩΝ/ΝΟΣ</t>
  </si>
  <si>
    <t>ΑΚ103440</t>
  </si>
  <si>
    <t>1247-1248-1249-1250-1251-1253-1252</t>
  </si>
  <si>
    <t>ΣΥΚΙΩΤΗ</t>
  </si>
  <si>
    <t>ΑΖ821239</t>
  </si>
  <si>
    <t>1253-1254-1267-1248-1249</t>
  </si>
  <si>
    <t>ΜΑΚΚΑ</t>
  </si>
  <si>
    <t>ΑΗ999457</t>
  </si>
  <si>
    <t>1364,9</t>
  </si>
  <si>
    <t>1204-1218-1203-1221-1205-1202-1201-1255-1254-1250-1247-1248-1267-1253-1249-1206-1219-1223-1256-1222-1220-1251-1252-1217</t>
  </si>
  <si>
    <t>ΝΤΑΝΗ</t>
  </si>
  <si>
    <t>ΑΖ680393</t>
  </si>
  <si>
    <t>1364,6</t>
  </si>
  <si>
    <t>1248-1222-1253-1206-1249-1218-1256-1255-1247-1254-1250</t>
  </si>
  <si>
    <t>ΚΑΡΑΤΑΡΑΚΗ</t>
  </si>
  <si>
    <t>ΑΗ969470</t>
  </si>
  <si>
    <t>1202-1221-1204-1255-1201-1247-1248-1249-1250-1253-1254-1256</t>
  </si>
  <si>
    <t>ΠΟΛΥΧΡΟΝΑΤΟΣ</t>
  </si>
  <si>
    <t>Χ899738</t>
  </si>
  <si>
    <t>1250-1251</t>
  </si>
  <si>
    <t>ΑΠΟΣΤΟΛΑΚΗ</t>
  </si>
  <si>
    <t>ΕΛΕΝΗ ΕΥΔΟΞΙ</t>
  </si>
  <si>
    <t>Σ424561</t>
  </si>
  <si>
    <t>1206-1202-1205-1247-1248-1249-1250-1253-1254-1255-1201</t>
  </si>
  <si>
    <t>ΙΟΥΛΙΟΣ-ΠΑΝΑΓΙΩΤΗΣ-ΚΑΡΛΟ</t>
  </si>
  <si>
    <t>ΑΚ016231</t>
  </si>
  <si>
    <t>1362,7</t>
  </si>
  <si>
    <t>1247-1250-1201-1253-1254</t>
  </si>
  <si>
    <t>ΑΖ648900</t>
  </si>
  <si>
    <t>743,6</t>
  </si>
  <si>
    <t>1361,6</t>
  </si>
  <si>
    <t>1253-1248-1267-1222-1206-1256-1249-1254-1250-1205-1255-1221-1247</t>
  </si>
  <si>
    <t>ΞΑΝΘΙΠΗ</t>
  </si>
  <si>
    <t>Χ448295</t>
  </si>
  <si>
    <t>1361,4</t>
  </si>
  <si>
    <t>1201-1202-1204-1205-1206-1217-1218-1219-1220-1221-1222-1223-1247-1248-1249-1250-1251-1252-1253-1254</t>
  </si>
  <si>
    <t>ΚΑΠΕΝΗ</t>
  </si>
  <si>
    <t>ΑΙ984635</t>
  </si>
  <si>
    <t>1361,3</t>
  </si>
  <si>
    <t>ΘΕΟΔΩΡΟΥ</t>
  </si>
  <si>
    <t>Π476106</t>
  </si>
  <si>
    <t>ΜΠΑΡΟΥΦΛΗ</t>
  </si>
  <si>
    <t>ΑΙ345203</t>
  </si>
  <si>
    <t>1256-1248-1249-1247-1204-1205-1202-1250</t>
  </si>
  <si>
    <t>ΒΑΛΑΗ</t>
  </si>
  <si>
    <t>Σ840214</t>
  </si>
  <si>
    <t>1360,3</t>
  </si>
  <si>
    <t>ΚΥΡΙΑΖΙΔΗΣ</t>
  </si>
  <si>
    <t>Ρ868546</t>
  </si>
  <si>
    <t>1249-1253-1202-1206</t>
  </si>
  <si>
    <t>ΤΖΑΛΑΣ</t>
  </si>
  <si>
    <t>ΑΚ454763</t>
  </si>
  <si>
    <t>680,9</t>
  </si>
  <si>
    <t>1358,9</t>
  </si>
  <si>
    <t>ΖΑΦΕΙΡΑΚΗ</t>
  </si>
  <si>
    <t>ΑΡΓΥΡΗ</t>
  </si>
  <si>
    <t>ΑΗ353948</t>
  </si>
  <si>
    <t>1358,7</t>
  </si>
  <si>
    <t>1222-1267-1219-1206-1248-1256-1253-1254-1201-1217-1250-1249-1247-1205-1255-1202-1251</t>
  </si>
  <si>
    <t>ΜΠΟΖΑΡΕΓΚΑ</t>
  </si>
  <si>
    <t>ΟΥΡΑΝΙΑ</t>
  </si>
  <si>
    <t>ΑΗ805114</t>
  </si>
  <si>
    <t>1358,3</t>
  </si>
  <si>
    <t>1256-1253-1248-1249-1252-1206-1247-1254-1250-1201-1255-1202-1204-1205-1218-1221-1220-1223</t>
  </si>
  <si>
    <t>ΣΤΡΑΤΗΓΑΚΗΣ</t>
  </si>
  <si>
    <t>ΔΗΜΗΤΡΙΟ</t>
  </si>
  <si>
    <t>Μ459063</t>
  </si>
  <si>
    <t>1250-1247-1254-1248-1253-1249-1206</t>
  </si>
  <si>
    <t>ΠΟΛΙΤΙΔΟΥ</t>
  </si>
  <si>
    <t>ΒΙΚΤΩΡΙΑ</t>
  </si>
  <si>
    <t>Τ895864</t>
  </si>
  <si>
    <t>1253-1248-1249-1206-1218-1254-1267-1250-1247-1255</t>
  </si>
  <si>
    <t>ΔΙΑΜΑΝΤΗ</t>
  </si>
  <si>
    <t>ΑΝ184594</t>
  </si>
  <si>
    <t>1267-1248-1253-1206-1249-1254-1247-1255-1250</t>
  </si>
  <si>
    <t>ΣΑΡΑΦΟΠΟΥΛΟΥ</t>
  </si>
  <si>
    <t>ΧΡΙΣΤΙΝΑA</t>
  </si>
  <si>
    <t>ΑΚ297294</t>
  </si>
  <si>
    <t>1253-1248-1256</t>
  </si>
  <si>
    <t>Ρ981991</t>
  </si>
  <si>
    <t>1252-1248-1267-1253-1249-1254-1247-1218-1206-1250-1255</t>
  </si>
  <si>
    <t>ΧΑΙΔΟΥ</t>
  </si>
  <si>
    <t>Χ390367</t>
  </si>
  <si>
    <t>1249-1206-1255</t>
  </si>
  <si>
    <t>ΚΥΡΙΑΚΙΔΗΣ</t>
  </si>
  <si>
    <t>ΑΚ325425</t>
  </si>
  <si>
    <t>1267-1248-1253-1256-1249-1206-1247</t>
  </si>
  <si>
    <t>ΚΡΟΚΙΔΑΣ</t>
  </si>
  <si>
    <t>ΑΖ247210</t>
  </si>
  <si>
    <t>739,2</t>
  </si>
  <si>
    <t>1357,2</t>
  </si>
  <si>
    <t>1250-1252-1254-1249-1253-1218-1255-1248-1247-1201-1205-1206</t>
  </si>
  <si>
    <t>Χ451214</t>
  </si>
  <si>
    <t>1256-1253-1248</t>
  </si>
  <si>
    <t>ΚΟΤΡΩΝΑΚΗΣ</t>
  </si>
  <si>
    <t>Φ499288</t>
  </si>
  <si>
    <t>1356,9</t>
  </si>
  <si>
    <t>1255-1256-1253-1248</t>
  </si>
  <si>
    <t>ΣΤΑΜΚΟΣ</t>
  </si>
  <si>
    <t>Χ389594</t>
  </si>
  <si>
    <t>1356,4</t>
  </si>
  <si>
    <t>1219-1248-1253-1267-1201-1249-1206-1247-1254-1256-1217-1250</t>
  </si>
  <si>
    <t>ΜΗΤΡΟΥ</t>
  </si>
  <si>
    <t>ΑΝ412614</t>
  </si>
  <si>
    <t>1356,3</t>
  </si>
  <si>
    <t>1223-1251-1256-1204-1218-1203-1221-1217-1205-1222-1249-1250-1252-1253-1254-1255-1267</t>
  </si>
  <si>
    <t>ΤΣΕΜΠΕΡΛΙΔΟΥ</t>
  </si>
  <si>
    <t>ΑΒ859188</t>
  </si>
  <si>
    <t>1249-1253-1256-1248-1250-1254-1247-1206-1201</t>
  </si>
  <si>
    <t>ΤΖΙΑΤΖΙΟΣ</t>
  </si>
  <si>
    <t>Ν704641</t>
  </si>
  <si>
    <t>1355,5</t>
  </si>
  <si>
    <t>1249-1253-1248-1256-1206-1254-1247-1250-1255</t>
  </si>
  <si>
    <t>ΠΑΠΟΥΤΣΗ</t>
  </si>
  <si>
    <t>ΑΖ495136</t>
  </si>
  <si>
    <t>1355,4</t>
  </si>
  <si>
    <t>1247-1254-1252-1217-1250-1201-1203-1248-1219-1218-1206-1253-1256-1204-1205-1221-1202-1255-1223-1251</t>
  </si>
  <si>
    <t>ΡΑΜΜΟΓΙΑΝΝΟΠΟΥΛΟΥ</t>
  </si>
  <si>
    <t xml:space="preserve">ΑΙΚΑΤΕΡΙΝΗ </t>
  </si>
  <si>
    <t>Χ727174</t>
  </si>
  <si>
    <t>1219-1220-1222-1248-1267</t>
  </si>
  <si>
    <t>ΔΑΜΙΑΝΙΔΟΥ</t>
  </si>
  <si>
    <t>ΑΚ302620</t>
  </si>
  <si>
    <t>1253-1267-1248-1206-1249-1201-1254-1202-1255</t>
  </si>
  <si>
    <t>ΚΟΥΝΤΟΥΡΗ</t>
  </si>
  <si>
    <t>ΖΩΗΣ</t>
  </si>
  <si>
    <t>ΑΗ204632</t>
  </si>
  <si>
    <t>1218-1250-1247-1254-1203-1252-1248</t>
  </si>
  <si>
    <t>ΚΛΕΙΤΣΙΩΤΟΥ</t>
  </si>
  <si>
    <t>ΑΒ512350</t>
  </si>
  <si>
    <t>1202-1205-1221-1248-1250-1255-1247-1206-1253-1254</t>
  </si>
  <si>
    <t>ΣΠΥΡΙΔΟΠΟΥΛΟΥ</t>
  </si>
  <si>
    <t>ΑΖ294939</t>
  </si>
  <si>
    <t>1249-1248-1267-1253-1206-1247-1250-1254-1201-1202-1205-1221-1255</t>
  </si>
  <si>
    <t>ΑΝΑΣΤΑΣΙΟΥ</t>
  </si>
  <si>
    <t>ΑΕ330722</t>
  </si>
  <si>
    <t>1201-1203-1252</t>
  </si>
  <si>
    <t>ΝΤΕΡΚΟΣ</t>
  </si>
  <si>
    <t>Ρ393327</t>
  </si>
  <si>
    <t>1201-1248-1249-1253-1254-1256-1202-1205-1255-1206-1247-1250</t>
  </si>
  <si>
    <t>ΣΕΛΗΣΙΟΥ</t>
  </si>
  <si>
    <t>Ρ245756</t>
  </si>
  <si>
    <t>1202-1204-1205-1206-1217-1218-1219-1220-1221-1222-1223-1247-1248-1249-1250-1251-1252-1253-1254-1255-1256-1203-1267</t>
  </si>
  <si>
    <t>ΜΠΙΤΕΛΗΣ</t>
  </si>
  <si>
    <t>ΜΑΡΙΝΟΣ</t>
  </si>
  <si>
    <t>ΑΖ768800</t>
  </si>
  <si>
    <t>1201-1252-1254-1249-1247-1253-1267-1248-1206-1218-1250</t>
  </si>
  <si>
    <t>ΜΠΕΛΛΟΣ</t>
  </si>
  <si>
    <t>Σ443456</t>
  </si>
  <si>
    <t>1221-1204-1205-1255-1202-1249-1250-1253-1256-1252-1254-1201-1203-1206-1218-1247-1248-1267-1223-1222</t>
  </si>
  <si>
    <t>ΑΝΘΗ ΜΑΡΙΑ</t>
  </si>
  <si>
    <t>ΑΙ845743</t>
  </si>
  <si>
    <t>1202-1204-1205-1206-1217-1219-1247-1248-1249-1250-1252-1253-1254-1255</t>
  </si>
  <si>
    <t>ΓΚΑΤΖΟΦΛΙΑ</t>
  </si>
  <si>
    <t>ΑΚ996988</t>
  </si>
  <si>
    <t>1354,6</t>
  </si>
  <si>
    <t>1253-1267-1248</t>
  </si>
  <si>
    <t>ΛΙΤΣΑ</t>
  </si>
  <si>
    <t>ΑΝ895650</t>
  </si>
  <si>
    <t>1354,5</t>
  </si>
  <si>
    <t>1256-1253-1248-1255-1205-1249-1247-1202-1206-1204-1254-1250</t>
  </si>
  <si>
    <t>ΙΦΙΓΕΝΕΙΑ</t>
  </si>
  <si>
    <t>ΑΒ147144</t>
  </si>
  <si>
    <t>1267-1248-1253-1256-1222</t>
  </si>
  <si>
    <t>ΚΑΛΟΓΗΡΟΥ</t>
  </si>
  <si>
    <t>Χ846431</t>
  </si>
  <si>
    <t>1253-1249-1267-1248-1206-1201-1254-1247-1217-1250-1255</t>
  </si>
  <si>
    <t>ΑΑ415695</t>
  </si>
  <si>
    <t>1352,8</t>
  </si>
  <si>
    <t>1201-1202-1204-1205-1206-1217-1218-1219-1221-1247-1248-1249-1250-1252-1253-1254-1255</t>
  </si>
  <si>
    <t>ΤΡΙΜΑ</t>
  </si>
  <si>
    <t>Σ975899</t>
  </si>
  <si>
    <t>1201-1252-1203-1219-1248-1249-1206-1218-1250-1202-1204-1205-1267-1217-1220-1221-1222-1223-1247-1251-1253-1254-1255-1256</t>
  </si>
  <si>
    <t>ΑΜ757343</t>
  </si>
  <si>
    <t>ΚΟΚΟΛΟΓΙΑΝΝΗ</t>
  </si>
  <si>
    <t>ΑΙ949486</t>
  </si>
  <si>
    <t>1352,5</t>
  </si>
  <si>
    <t>1255-1267-1248-1247-1249-1250-1254-1222-1206</t>
  </si>
  <si>
    <t>ΚΟΥΤΡΟΥΛΗ</t>
  </si>
  <si>
    <t>Φ276476</t>
  </si>
  <si>
    <t>1249-1253-1248-1206-1218-1247-1250-1254-1255</t>
  </si>
  <si>
    <t>ΑΛΕΞΙΟΥ</t>
  </si>
  <si>
    <t>ΑΗ272865</t>
  </si>
  <si>
    <t>800,8</t>
  </si>
  <si>
    <t>1351,8</t>
  </si>
  <si>
    <t>1201-1254-1249-1248-1253-1206</t>
  </si>
  <si>
    <t>ΓΙΩΒΑΝΝΗ</t>
  </si>
  <si>
    <t>ΣΩΣΣΑΝΑ</t>
  </si>
  <si>
    <t>ΑΚ904036</t>
  </si>
  <si>
    <t>1351,7</t>
  </si>
  <si>
    <t>1201-1202-1205-1206-1221-1247-1248-1249-1250-1253-1254-1255-1256</t>
  </si>
  <si>
    <t>ΦΑΝΟΥΡΑΚΗΣ</t>
  </si>
  <si>
    <t>ΑΑ369893</t>
  </si>
  <si>
    <t>852,5</t>
  </si>
  <si>
    <t>1351,5</t>
  </si>
  <si>
    <t>1202-1221-1204-1205-1255-1250-1253-1254</t>
  </si>
  <si>
    <t>ΚΑΡΑΔΗΜΑ</t>
  </si>
  <si>
    <t>ΑΝ486679</t>
  </si>
  <si>
    <t>1254-1252-1201-1247-1250-1218-1220</t>
  </si>
  <si>
    <t>ΚΑΡΑΘΟΔΩΡΟΥ</t>
  </si>
  <si>
    <t>ΑΕ174573</t>
  </si>
  <si>
    <t>1219-1248-1253-1206-1204-1201-1254-1221-1255-1205-1202-1247-1250-1217</t>
  </si>
  <si>
    <t>ΚΟΝΤΟΓΙΑΝΝΗ</t>
  </si>
  <si>
    <t>Χ915373</t>
  </si>
  <si>
    <t>1249-1203-1201-1252</t>
  </si>
  <si>
    <t>ΑΗ175379</t>
  </si>
  <si>
    <t>1350,8</t>
  </si>
  <si>
    <t>ΔΟΥΔΟΥΜΗ</t>
  </si>
  <si>
    <t>ΑΜ652082</t>
  </si>
  <si>
    <t>1350,3</t>
  </si>
  <si>
    <t>1267-1248-1253-1206-1249-1254</t>
  </si>
  <si>
    <t>ΣΑΚΕΛΛΑΡΗΣ</t>
  </si>
  <si>
    <t>ΑΝ265879</t>
  </si>
  <si>
    <t>652,3</t>
  </si>
  <si>
    <t>1248-1247-1249-1250-1253-1254-1255-1256-1202-1205-1206-1201</t>
  </si>
  <si>
    <t>ΠΑΝΟΥΤΣΟΠΟΥΛΟΥ</t>
  </si>
  <si>
    <t>ΗΡΩ</t>
  </si>
  <si>
    <t>ΑΑ008308</t>
  </si>
  <si>
    <t>1349,5</t>
  </si>
  <si>
    <t>ΜΩΡΑΙΤΗ</t>
  </si>
  <si>
    <t>ΑΙ585244</t>
  </si>
  <si>
    <t>1349,2</t>
  </si>
  <si>
    <t>1255-1250-1217-1205-1202-1267-1206-1219-1248-1249-1201-1247-1254-1253</t>
  </si>
  <si>
    <t>Χ951139</t>
  </si>
  <si>
    <t>1348,5</t>
  </si>
  <si>
    <t>1256-1253-1219-1248-1206-1267-1202-1205-1255-1254-1249-1247-1251-1201-1218-1217-1250-1221-1223</t>
  </si>
  <si>
    <t>ΚΟΝΤΑΞΗ</t>
  </si>
  <si>
    <t>ΑΙ102981</t>
  </si>
  <si>
    <t>1348,4</t>
  </si>
  <si>
    <t>ΤΡΑΙΚΟΥ</t>
  </si>
  <si>
    <t>ΑΗ698034</t>
  </si>
  <si>
    <t>1248-1253-1267-1219-1206-1249</t>
  </si>
  <si>
    <t>ΚΥΡΟΥ</t>
  </si>
  <si>
    <t>ΑΝ822256</t>
  </si>
  <si>
    <t>1348,1</t>
  </si>
  <si>
    <t>1218-1252-1250-1255-1247-1254-1206-1253-1249-1248-1267-1256</t>
  </si>
  <si>
    <t>ΠΛΑΚΟΥ</t>
  </si>
  <si>
    <t>ΜΑΡΙΑ-ΤΕΡΕΖΑ</t>
  </si>
  <si>
    <t>ΧΡΙΣΤΑΚΗ</t>
  </si>
  <si>
    <t>ΑΙ983530</t>
  </si>
  <si>
    <t>ΚΟΛΟΡΙΔΑ</t>
  </si>
  <si>
    <t>ΑΒ843980</t>
  </si>
  <si>
    <t>1347,6</t>
  </si>
  <si>
    <t>1201-1202-1205-1206-1219-1247-1248-1249-1233-1250-1255-1253-1257-1254-1267-1251-1256</t>
  </si>
  <si>
    <t>ΜΙΧΑΛΟΠΟΥΛΟΣ</t>
  </si>
  <si>
    <t>ΑΖ725014</t>
  </si>
  <si>
    <t>1247-1250-1254</t>
  </si>
  <si>
    <t>ΞΟΥΛΕΗ</t>
  </si>
  <si>
    <t>ΑΓΓΕΛΙΚΗ ΒΑΛΕΡΙΑ</t>
  </si>
  <si>
    <t>Σ524805</t>
  </si>
  <si>
    <t>1347,3</t>
  </si>
  <si>
    <t>1223-1218-1203-1201-1254-1250-1247-1204-1205</t>
  </si>
  <si>
    <t>ΣΤΙΒΑΚΤΑΚΗ</t>
  </si>
  <si>
    <t>ΑΙ944272</t>
  </si>
  <si>
    <t>1202-1221-1205-1204-1255-1247-1219-1250-1248-1218-1217-1206-1203-1253-1256-1254-1252</t>
  </si>
  <si>
    <t>ΛΕΟΝΤΙΑΔΗΣ</t>
  </si>
  <si>
    <t>ΑΜ281708</t>
  </si>
  <si>
    <t>1206-1248-1249-1253-1256-1267</t>
  </si>
  <si>
    <t>ΛΑΜΠΑΚΗΣ</t>
  </si>
  <si>
    <t>ΑΒ123151</t>
  </si>
  <si>
    <t>1222-1206-1248-1267-1253-1249-1247-1254-1255-1250</t>
  </si>
  <si>
    <t>ΤΣΙΑΒΗ</t>
  </si>
  <si>
    <t>ΑΕ125287</t>
  </si>
  <si>
    <t>1346,2</t>
  </si>
  <si>
    <t>1249-1203-1267-1219-1248-1201-1252-1253-1250-1254-1217-1218-1206-1247-1202-1204-1205-1221-1255</t>
  </si>
  <si>
    <t>ΒΑΡΝΑ</t>
  </si>
  <si>
    <t>ΑΗ243231</t>
  </si>
  <si>
    <t>1267-1248-1204-1205-1202-1221-1255-1249-1253-1247-1218-1203-1250-1254-1206-1201-1223-1256</t>
  </si>
  <si>
    <t>ΜΟΥΧΤΑΡΗ</t>
  </si>
  <si>
    <t>ΑΣΠΑΣΙΑ</t>
  </si>
  <si>
    <t>ΑΖ887585</t>
  </si>
  <si>
    <t>1345,9</t>
  </si>
  <si>
    <t>1206-1248-1267-1253-1249-1254-1247-1250-1255</t>
  </si>
  <si>
    <t>ΔΕΛΤΣΙΔΟΥ</t>
  </si>
  <si>
    <t>ΑΕ764844</t>
  </si>
  <si>
    <t>727,1</t>
  </si>
  <si>
    <t>1345,1</t>
  </si>
  <si>
    <t>ΑΗ299930</t>
  </si>
  <si>
    <t>ΦΤΑΚΑ</t>
  </si>
  <si>
    <t>ΧΑΡΙΣΙΟΣ</t>
  </si>
  <si>
    <t>ΑΖ291923</t>
  </si>
  <si>
    <t>1249-1253-1248-1206-1205-1255-1247-1254-1250</t>
  </si>
  <si>
    <t>ΚΟΥΜΟΥΛΙΔΗΣ</t>
  </si>
  <si>
    <t>Φ101179</t>
  </si>
  <si>
    <t>622,6</t>
  </si>
  <si>
    <t>1344,6</t>
  </si>
  <si>
    <t>ΒΑΒΟΥΛΙΩΤΗ</t>
  </si>
  <si>
    <t>ΑΖ013110</t>
  </si>
  <si>
    <t>654,5</t>
  </si>
  <si>
    <t>1344,5</t>
  </si>
  <si>
    <t>1202-1204-1205-1219-1221-1223-1248-1255</t>
  </si>
  <si>
    <t>ΒΑΤΙΔΟΥ</t>
  </si>
  <si>
    <t>ΑΚ267760</t>
  </si>
  <si>
    <t>1248-1267-1253-1206-1204-1205-1255-1247-1202-1221-1223-1256-1203-1249-1254-1222-1201-1250-1218</t>
  </si>
  <si>
    <t>ΣΤΟΥΚΗΣ</t>
  </si>
  <si>
    <t>Μ872378</t>
  </si>
  <si>
    <t>1247-1254-1250-1248-1267-1253-1206-1249-1202-1255</t>
  </si>
  <si>
    <t>ΠΙΠΙΛΑΚΙΔΗΣ</t>
  </si>
  <si>
    <t>Ξ514596</t>
  </si>
  <si>
    <t>1204-1205-1202-1206-1217-1221-1223-1248-1247-1255-1256-1218-1249-1250-1251-1253-1254-1201</t>
  </si>
  <si>
    <t>ΠΑΤΖΙΟΓΛΟΥ</t>
  </si>
  <si>
    <t>Π824233</t>
  </si>
  <si>
    <t>ΚΑΡΚΑΛΗ</t>
  </si>
  <si>
    <t>Π746236</t>
  </si>
  <si>
    <t>1247-1254</t>
  </si>
  <si>
    <t>ΓΚΟΓΚΟΥ</t>
  </si>
  <si>
    <t>ΑΖ514777</t>
  </si>
  <si>
    <t>1250-1247-1254-1248-1267-1203-1252-1201-1253-1249-1206-1255-1204-1205-1221-1202-1218</t>
  </si>
  <si>
    <t>ΚΑΤΣΙΜΠΑΣ</t>
  </si>
  <si>
    <t>Ρ467288</t>
  </si>
  <si>
    <t>1201-1255-1248-1249-1206-1250-1253-1254-1205-1202-1247</t>
  </si>
  <si>
    <t>ΡΕΧΑΣ</t>
  </si>
  <si>
    <t>ΑΗ316817</t>
  </si>
  <si>
    <t>1201-1202-1205-1206-1218-1221-1223-1247-1248-1249-1250-1253-1254-1255-1203-1267</t>
  </si>
  <si>
    <t>ΒΟΛΙΤΑΚΗ</t>
  </si>
  <si>
    <t>Σ445998</t>
  </si>
  <si>
    <t>ΣΑΙΤΑ</t>
  </si>
  <si>
    <t>ΑΜ481404</t>
  </si>
  <si>
    <t>1255-1206-1205-1202-1254-1253-1250-1249-1247-1248-1267-1201</t>
  </si>
  <si>
    <t>ΚΩΣΤΑ</t>
  </si>
  <si>
    <t>ΑΑ381102</t>
  </si>
  <si>
    <t>865,7</t>
  </si>
  <si>
    <t>1343,7</t>
  </si>
  <si>
    <t>1248-1267-1253-1256-1254-1249-1250-1247-1255-1221-1202-1205-1206</t>
  </si>
  <si>
    <t>ΦΡΑΓΚΟΓΙΑΝΝΗ</t>
  </si>
  <si>
    <t>Χ276233</t>
  </si>
  <si>
    <t>1221-1217-1218-1204-1205-1206-1202-1201-1219-1203-1223-1249-1250-1251-1253-1254-1255-1256-1247-1267</t>
  </si>
  <si>
    <t>ΚΑΡΑΔΕΡΜΙΤΖΟΓΛΟΥ</t>
  </si>
  <si>
    <t>ΑΕ864876</t>
  </si>
  <si>
    <t>1343,4</t>
  </si>
  <si>
    <t>1222-1206-1267-1248-1253-1247-1205-1255-1202-1254-1249-1250</t>
  </si>
  <si>
    <t>ΘΕΟΦΙΛΗΣ</t>
  </si>
  <si>
    <t>ΑΑ351621</t>
  </si>
  <si>
    <t>1342,9</t>
  </si>
  <si>
    <t>ΓΙΩΤΑ</t>
  </si>
  <si>
    <t>ΒΟΥΖΙΑΝΑ</t>
  </si>
  <si>
    <t>ΑΖ294385</t>
  </si>
  <si>
    <t>1342,6</t>
  </si>
  <si>
    <t>1249-1253-1256-1252-1219-1248-1206-1247-1201-1254-1217-1250-1205-1255-1221-1202</t>
  </si>
  <si>
    <t>ΑΝΑΓΝΩΣΤΗ</t>
  </si>
  <si>
    <t>Χ845461</t>
  </si>
  <si>
    <t>1341,8</t>
  </si>
  <si>
    <t>1253-1256-1219-1220-1249-1203-1222-1206-1252-1223-1204-1205-1255-1202-1254-1250-1221</t>
  </si>
  <si>
    <t>ΛΑΦΑΖΑΝΗ</t>
  </si>
  <si>
    <t>ΑΙ295089</t>
  </si>
  <si>
    <t>1201-1252-1203</t>
  </si>
  <si>
    <t>ΓΙΑΝΝΟΠΟΥΛΟΥ</t>
  </si>
  <si>
    <t>ΑΕ707123</t>
  </si>
  <si>
    <t>1341,2</t>
  </si>
  <si>
    <t>1250-1247-1267-1248-1254-1253-1222-1206-1255-1249-1256</t>
  </si>
  <si>
    <t>ΓΚΟΛΦΗΣ</t>
  </si>
  <si>
    <t>ΑΙ999918</t>
  </si>
  <si>
    <t>1341,1</t>
  </si>
  <si>
    <t>ΚΩΔΟΥΝΑ</t>
  </si>
  <si>
    <t>ΑΗ295355</t>
  </si>
  <si>
    <t>1249-1253-1248-1254-1250-1255</t>
  </si>
  <si>
    <t>ΚΑΜΤΣΙΚΗ</t>
  </si>
  <si>
    <t>Χ239479</t>
  </si>
  <si>
    <t>1206-1248-1253-1203-1201-1218-1249-1254-1247-1250-1204-1205-1202-1255-1221-1267</t>
  </si>
  <si>
    <t>ΤΖΑΚΟΥ</t>
  </si>
  <si>
    <t>Ρ907896</t>
  </si>
  <si>
    <t>1201-1254-1249-1253-1248-1256-1247-1206-1250-1255-1205-1202-1267</t>
  </si>
  <si>
    <t>ΜΠΕΜΠΕΚΙΔΗΣ</t>
  </si>
  <si>
    <t>ΚΑΡΥΟΦΥΛΛΗΣ</t>
  </si>
  <si>
    <t>ΑΑ452125</t>
  </si>
  <si>
    <t>1340,9</t>
  </si>
  <si>
    <t>1206-1219-1248-1201-1253-1254-1247-1249-1250-1217-1255-1202-1205</t>
  </si>
  <si>
    <t>ΠΑΠΑ</t>
  </si>
  <si>
    <t>ΑΗ812519</t>
  </si>
  <si>
    <t>1340,7</t>
  </si>
  <si>
    <t>1253-1206-1248-1247-1249-1201-1250-1254-1256-1202-1205-1255</t>
  </si>
  <si>
    <t>ΣΟΥΛΕΛΕ</t>
  </si>
  <si>
    <t>ΑΙ205947</t>
  </si>
  <si>
    <t>1339,6</t>
  </si>
  <si>
    <t>1221-1205-1202-1201-1247-1248-1250-1255-1206-1253</t>
  </si>
  <si>
    <t>ΑΗ228526</t>
  </si>
  <si>
    <t>ΖΟΥΒΕΛΟΥ</t>
  </si>
  <si>
    <t>Τ383598</t>
  </si>
  <si>
    <t>ΚΙΟΥΦΤΗ</t>
  </si>
  <si>
    <t>ΡΕΒΕΚΑ</t>
  </si>
  <si>
    <t>ΑΜ744723</t>
  </si>
  <si>
    <t>1217-1218-1219-1250-1254-1205-1255-1221</t>
  </si>
  <si>
    <t>ΓΡΙΒΑ</t>
  </si>
  <si>
    <t>ΑΖ740179</t>
  </si>
  <si>
    <t>1338,5</t>
  </si>
  <si>
    <t>1248-1267-1249-1201-1206-1253-1250-1254-1247</t>
  </si>
  <si>
    <t>ΒΕΡΩΝΗΣ</t>
  </si>
  <si>
    <t>Τ911805</t>
  </si>
  <si>
    <t>1204-1205-1202-1221-1248-1249-1206-1218-1247-1250-1253-1254-1255</t>
  </si>
  <si>
    <t>ΤΣΟΛΚΑ</t>
  </si>
  <si>
    <t>ΑΚ333323</t>
  </si>
  <si>
    <t>848,1</t>
  </si>
  <si>
    <t>1338,1</t>
  </si>
  <si>
    <t>1206-1247-1248-1249-1250-1253-1254-1255-1256</t>
  </si>
  <si>
    <t>ΣΦΗΚΑ</t>
  </si>
  <si>
    <t>ΑΒ092235</t>
  </si>
  <si>
    <t>1202-1203-1204-1205-1206-1217-1218-1223-1247-1248-1249-1250-1251-1252-1253-1254-1255-1256-1267</t>
  </si>
  <si>
    <t>ΔΡΑΚΑΚΗΣ</t>
  </si>
  <si>
    <t>ΜΙΧΑΛΗΣ</t>
  </si>
  <si>
    <t>ΑΜ382405</t>
  </si>
  <si>
    <t>1336,4</t>
  </si>
  <si>
    <t>1251-1249-1253-1206-1205-1255-1254-1256-1217-1250-1247-1202-1219-1248-1267-1201</t>
  </si>
  <si>
    <t>Μ532399</t>
  </si>
  <si>
    <t>1336,3</t>
  </si>
  <si>
    <t>1247-1250-1254-1218-1253-1252-1249-1255-1221</t>
  </si>
  <si>
    <t>ΠΑΡΑΛΟΠΟΥΛΟΣ</t>
  </si>
  <si>
    <t>ΑΙ212955</t>
  </si>
  <si>
    <t>1201-1203-1204-1205-1206-1217-1218-1219-1221-1247-1248-1249-1250-1252-1253-1255-1267</t>
  </si>
  <si>
    <t>ΣΑΒΒΙΔΗΣ</t>
  </si>
  <si>
    <t>ΑΖ325728</t>
  </si>
  <si>
    <t>1253-1249-1256-1267-1248-1220-1206-1203-1201-1252-1223-1254-1255-1204-1202-1221-1250-1247-1218-1205</t>
  </si>
  <si>
    <t>ΚΑΠΟΥΛΙΤΣΑ</t>
  </si>
  <si>
    <t>ΞΑΝΘΙΠΠΗ</t>
  </si>
  <si>
    <t>ΑΖ801424</t>
  </si>
  <si>
    <t>1201-1202-1204-1205-1206-1217-1218-1219-1220-1221-1222-1223-1247-1248-1249-1250-1251-1252-1253-1267</t>
  </si>
  <si>
    <t>ΠΛΑΤΣΙΚΑ</t>
  </si>
  <si>
    <t>ΑΚ316952</t>
  </si>
  <si>
    <t>1219-1222-1248</t>
  </si>
  <si>
    <t>ΤΡΙΑΝΤΑΦΥΛΛΙΔΟΥ</t>
  </si>
  <si>
    <t>ΔΙΟΓΕΝΗΣ</t>
  </si>
  <si>
    <t>Φ227225</t>
  </si>
  <si>
    <t>1206-1248-1252</t>
  </si>
  <si>
    <t>ΚΟΡΜΑ</t>
  </si>
  <si>
    <t>Φ465053</t>
  </si>
  <si>
    <t>1335,8</t>
  </si>
  <si>
    <t>1201-1247-1254-1206-1249-1253-1248-1250</t>
  </si>
  <si>
    <t>ΑΒ433274</t>
  </si>
  <si>
    <t>1335,3</t>
  </si>
  <si>
    <t>1249-1248-1267-1253-1206-1201-1256-1202-1205-1255-1254-1250-1247</t>
  </si>
  <si>
    <t>ΑΜ593777</t>
  </si>
  <si>
    <t>1218-1250-1219</t>
  </si>
  <si>
    <t>ΚΟΛΛΙΑ</t>
  </si>
  <si>
    <t>ΕΜΜΑΝΟΥΕΛΑ</t>
  </si>
  <si>
    <t>ΑΚ358366</t>
  </si>
  <si>
    <t>1334,8</t>
  </si>
  <si>
    <t>1201-1202-1203-1204-1205-1206-1218-1220-1221-1223-1247-1248-1249-1250-1252-1253-1254-1255-1256</t>
  </si>
  <si>
    <t>ΜΑΙΡΗ</t>
  </si>
  <si>
    <t>ΝΙΚΟΛΑ</t>
  </si>
  <si>
    <t>ΑΚ270793</t>
  </si>
  <si>
    <t>1334,5</t>
  </si>
  <si>
    <t>1267-1248-1253-1206-1249-1255-1247</t>
  </si>
  <si>
    <t>ΜΑΡΤΙΜΙΑΝΑΚΗ</t>
  </si>
  <si>
    <t>ΑΜ954006</t>
  </si>
  <si>
    <t>1334,1</t>
  </si>
  <si>
    <t>1202-1221-1205-1255-1248-1267</t>
  </si>
  <si>
    <t>ΝΤΙΣΛΗ</t>
  </si>
  <si>
    <t>ΑΜ368544</t>
  </si>
  <si>
    <t>1202-1221-1205-1255-1248-1206-1247-1267-1249-1253-1256-1250-1254</t>
  </si>
  <si>
    <t>ΔΑΙΝΑ</t>
  </si>
  <si>
    <t>ΑΖ791030</t>
  </si>
  <si>
    <t>ΑΠΟΣΤΟΛΟΥ</t>
  </si>
  <si>
    <t>ΑΒ989828</t>
  </si>
  <si>
    <t>1333,9</t>
  </si>
  <si>
    <t>1217-1206-1218-1219-1221-1223-1247-1248</t>
  </si>
  <si>
    <t>ΚΟΤΣΙΦΗΣ</t>
  </si>
  <si>
    <t>ΑΖ489415</t>
  </si>
  <si>
    <t>1333,8</t>
  </si>
  <si>
    <t>ΓΙΑΝΝΑΚΟΥ</t>
  </si>
  <si>
    <t>ΠΡΕΣΒΕΙΑ</t>
  </si>
  <si>
    <t>ΑΒ108495</t>
  </si>
  <si>
    <t>820,6</t>
  </si>
  <si>
    <t>1333,6</t>
  </si>
  <si>
    <t>1201-1267-1248-1254-1249-1247-1206-1256-1250-1253-1255-1202-1205</t>
  </si>
  <si>
    <t>ΜΑΤΘΑΙΟΥ</t>
  </si>
  <si>
    <t>ΑΖ988671</t>
  </si>
  <si>
    <t>ΤΣΙΝΤΖΟΥ</t>
  </si>
  <si>
    <t>ΑΖ747839</t>
  </si>
  <si>
    <t>1249-1253-1248-1201</t>
  </si>
  <si>
    <t>ΑΝΑΣΤΑΣΟΠΟΥΛΟΣ</t>
  </si>
  <si>
    <t>ΑΕ735998</t>
  </si>
  <si>
    <t>ΔΗΝΑΚΗ</t>
  </si>
  <si>
    <t>ΦΙΛΙΠΠΙΑ</t>
  </si>
  <si>
    <t>ΑΒ702405</t>
  </si>
  <si>
    <t>1248-1253-1267-1206-1249-1201-1247-1250-1254-1255-1202-1205</t>
  </si>
  <si>
    <t>ΚΟΥΤΛΗ</t>
  </si>
  <si>
    <t>Ρ349815</t>
  </si>
  <si>
    <t>1219-1248-1267-1250-1206-1254-1253-1247-1203-1218</t>
  </si>
  <si>
    <t>ΑΝΤΥΠΑ</t>
  </si>
  <si>
    <t>Χ838712</t>
  </si>
  <si>
    <t>684,2</t>
  </si>
  <si>
    <t>1332,2</t>
  </si>
  <si>
    <t>1250-1247-1254-1249-1253</t>
  </si>
  <si>
    <t>ΚΥΡΙΑΚΟΥ</t>
  </si>
  <si>
    <t>ΜΕΛΠΟΜΕΝΗ</t>
  </si>
  <si>
    <t>ΑΚ927353</t>
  </si>
  <si>
    <t>1331,9</t>
  </si>
  <si>
    <t>ΧΑΣΙΩΤΗ</t>
  </si>
  <si>
    <t>Χ910852</t>
  </si>
  <si>
    <t>851,4</t>
  </si>
  <si>
    <t>1331,4</t>
  </si>
  <si>
    <t>1202-1201-1204-1205-1206-1217-1218-1219-1220-1221-1222-1223-1247-1248-1249-1250-1251-1252-1253-1255-1254-1256</t>
  </si>
  <si>
    <t>ΒΕΡΝΑΔΑΚΗ</t>
  </si>
  <si>
    <t>ΘΕΑΝΩ</t>
  </si>
  <si>
    <t>ΑΖ974929</t>
  </si>
  <si>
    <t>1331,3</t>
  </si>
  <si>
    <t>1255-1248-1249-1250-1252-1253-1254</t>
  </si>
  <si>
    <t>ΠΑΠΑΠΕΤΡΙΔΗΣ</t>
  </si>
  <si>
    <t>ΑΜ663307</t>
  </si>
  <si>
    <t>1331,1</t>
  </si>
  <si>
    <t>1267-1249-1253-1254-1256-1247-1248-1203-1206</t>
  </si>
  <si>
    <t>ΚΟΥΤΣΟΤΟΛΗ</t>
  </si>
  <si>
    <t>Χ313196</t>
  </si>
  <si>
    <t>1248-1249-1253</t>
  </si>
  <si>
    <t>ΜΟΣΧΟΠΟΥΛΟΥ</t>
  </si>
  <si>
    <t>ΑΗ830307</t>
  </si>
  <si>
    <t>1253-1221-1204-1203-1218-1206-1217-1247-1205-1255-1202-1250-1254-1219-1248-1249</t>
  </si>
  <si>
    <t>ΠΡΟΚΟΠΟΥ</t>
  </si>
  <si>
    <t>ΑΝ273135</t>
  </si>
  <si>
    <t>ΜΑΚΡΗ</t>
  </si>
  <si>
    <t>ΜΑΡΙΝΑ ΑΝΤΩΝΙΑ</t>
  </si>
  <si>
    <t>ΑΒ989390</t>
  </si>
  <si>
    <t>1330,8</t>
  </si>
  <si>
    <t>ΑΑ317734</t>
  </si>
  <si>
    <t>1330,1</t>
  </si>
  <si>
    <t>1201-1202-1205-1206-1217-1219-1221-1222-1247-1248-1249-1250-1251-1253-1254-1255-1256</t>
  </si>
  <si>
    <t>ΚΟΚΟΦΤΟΠΟΥΛΟΥ</t>
  </si>
  <si>
    <t>ΑΙ357016</t>
  </si>
  <si>
    <t>1253-1248-1256-1206-1255-1254-1249-1247-1250</t>
  </si>
  <si>
    <t>ΤΣΟΥΠΟΥ</t>
  </si>
  <si>
    <t>Π500416</t>
  </si>
  <si>
    <t>1219-1267-1248-1220-1253-1206-1256-1222-1252-1201-1203-1249-1223-1254-1250-1217-1247-1218-1251-1204-1205-1255-1202-1221</t>
  </si>
  <si>
    <t>ΝΙΚΟΛΟΠΟΥΛΟΣ</t>
  </si>
  <si>
    <t>Χ409378</t>
  </si>
  <si>
    <t>1328,4</t>
  </si>
  <si>
    <t>1203-1252-1249-1223-1206</t>
  </si>
  <si>
    <t>ΨΑΡΡΑ</t>
  </si>
  <si>
    <t>ΑΕ712323</t>
  </si>
  <si>
    <t>1327,9</t>
  </si>
  <si>
    <t>1255-1253-1250-1247-1219</t>
  </si>
  <si>
    <t>ΓΑΥΡΟΥ</t>
  </si>
  <si>
    <t>ΟΔΥΣΣΕΑΣ</t>
  </si>
  <si>
    <t>Χ892866</t>
  </si>
  <si>
    <t>1327,5</t>
  </si>
  <si>
    <t>1249-1253-1248-1206</t>
  </si>
  <si>
    <t>ΑΖ339638</t>
  </si>
  <si>
    <t>1248-1267-1206-1203-1253-1249-1201-1204-1221-1218-1223-1254-1247-1250-1205-1255-1202-1256</t>
  </si>
  <si>
    <t>ΖΟΡΖΟΒΙΛΗ</t>
  </si>
  <si>
    <t>ΖΗΝΩΝ</t>
  </si>
  <si>
    <t>Χ392614</t>
  </si>
  <si>
    <t>1326,4</t>
  </si>
  <si>
    <t>1249-1206-1255-1253-1256-1247-1248-1250-1267-1254-1202-1218-1251-1252</t>
  </si>
  <si>
    <t>ΣΟΥΚΟΥΛΗ</t>
  </si>
  <si>
    <t>ΑΒ081303</t>
  </si>
  <si>
    <t>ΝΑΣΗ</t>
  </si>
  <si>
    <t>ΑΝ479307</t>
  </si>
  <si>
    <t>1326,2</t>
  </si>
  <si>
    <t>1255-1205-1202-1217-1250-1219-1248-1249-1247-1201-1206-1253-1254</t>
  </si>
  <si>
    <t>Ρ299547</t>
  </si>
  <si>
    <t>1254-1247-1248-1267-1250-1253-1201-1249-1206-1256-1255-1202-1205</t>
  </si>
  <si>
    <t>ΚΑΛΛΙΜΑΝΗ</t>
  </si>
  <si>
    <t>ΑΜ851896</t>
  </si>
  <si>
    <t>1325,4</t>
  </si>
  <si>
    <t>1249-1256-1267-1248-1206-1217-1247-1250-1253-1254-1255-1202</t>
  </si>
  <si>
    <t>ΜΠΙΚΟΥΛΗΣ</t>
  </si>
  <si>
    <t>ΑΑ919240</t>
  </si>
  <si>
    <t>1325,3</t>
  </si>
  <si>
    <t>ΚΥΡΙΑΚΗΣ</t>
  </si>
  <si>
    <t>ΑΝ271192</t>
  </si>
  <si>
    <t>ΑΙ840170</t>
  </si>
  <si>
    <t>666,6</t>
  </si>
  <si>
    <t>1324,6</t>
  </si>
  <si>
    <t>1201-1249-1254-1222-1253-1256-1219-1267-1248-1247-1206-1217-1250-1202-1205-1255</t>
  </si>
  <si>
    <t>ΧΑΛΕΠΟΠΟΥΛΟΥ</t>
  </si>
  <si>
    <t>ΑΝ204332</t>
  </si>
  <si>
    <t>1324,4</t>
  </si>
  <si>
    <t>1218-1249-1206-1253-1255-1254-1250-1248-1256</t>
  </si>
  <si>
    <t>ΚΑΡΑΓΕΩΡΓΟΥ</t>
  </si>
  <si>
    <t>Χ218826</t>
  </si>
  <si>
    <t>1324,2</t>
  </si>
  <si>
    <t>Σ956010</t>
  </si>
  <si>
    <t>1323,9</t>
  </si>
  <si>
    <t>1267-1248-1254-1250-1249-1253-1206-1247</t>
  </si>
  <si>
    <t>ΚΑΤΣΑΪΤΗ</t>
  </si>
  <si>
    <t>ΣΩΤΗΡΙΑ</t>
  </si>
  <si>
    <t>Φ219605</t>
  </si>
  <si>
    <t>1323,5</t>
  </si>
  <si>
    <t>1217-1218-1250</t>
  </si>
  <si>
    <t>ΜΑΥΡΑΕΙΔΗΣ</t>
  </si>
  <si>
    <t>ΑΑ482298</t>
  </si>
  <si>
    <t>674,3</t>
  </si>
  <si>
    <t>1322,3</t>
  </si>
  <si>
    <t>1247-1254-1250-1248-1255-1221-1219-1218-1217</t>
  </si>
  <si>
    <t>ΑΛΤΑΝΤΣΙΔΟΥ</t>
  </si>
  <si>
    <t>ΑΝ215562</t>
  </si>
  <si>
    <t>1256-1220-1219-1267-1253-1248-1206-1222-1249-1203-1252-1254-1247-1218-1255-1204-1205-1221-1202-1217-1223</t>
  </si>
  <si>
    <t>ΝΟΥΒΑΚΟΥΔΗ</t>
  </si>
  <si>
    <t>Ρ895492</t>
  </si>
  <si>
    <t>1253-1254-1249-1247-1250-1206-1248-1255-1205-1202</t>
  </si>
  <si>
    <t>ΠΑΡΘΕΝΑ-ΝΟΠΗ</t>
  </si>
  <si>
    <t>ΑΗ694167</t>
  </si>
  <si>
    <t>1248-1219-1267-1253-1256</t>
  </si>
  <si>
    <t>ΑΛΕΞΟΠΟΥΛΟΥ</t>
  </si>
  <si>
    <t>Ξ982113</t>
  </si>
  <si>
    <t>1250-1249-1248-1253-1247-1254-1206-1205-1255-1202-1201</t>
  </si>
  <si>
    <t>ΑΠΟΣΤΟΛΟΠΟΥΛΟΥ</t>
  </si>
  <si>
    <t>ΑΒ783807</t>
  </si>
  <si>
    <t>1201-1202-1203-1204-1205-1206-1218-1221-1247-1248-1249-1250-1253-1254-1255</t>
  </si>
  <si>
    <t>ΓΚΙΡΤΣΟΥ</t>
  </si>
  <si>
    <t>ΑΕ689118</t>
  </si>
  <si>
    <t>1267-1248-1203-1222-1206-1201-1202-1205-1218-1221-1247-1249-1250-1253-1254-1255</t>
  </si>
  <si>
    <t>ΑΙ294789</t>
  </si>
  <si>
    <t>1201-1253-1254-1206-1247-1249-1250-1267-1248-1255-1205-1221-1202-1256</t>
  </si>
  <si>
    <t>ΜΠΑΚΑΛΟΥΜΗ</t>
  </si>
  <si>
    <t>ΑΗ296484</t>
  </si>
  <si>
    <t>1219-1253-1256-1248</t>
  </si>
  <si>
    <t>ΣΑΜΩΝΑ</t>
  </si>
  <si>
    <t>ΔΗΜΗΤΡΑ-ΚΛΙΤΕΙΑ</t>
  </si>
  <si>
    <t>ΑΚ047804</t>
  </si>
  <si>
    <t>1202-1203-1204-1205-1206-1218-1219-1220-1221-1222-1223-1253-1254-1256-1249-1250-1251-1252-1217-1247</t>
  </si>
  <si>
    <t>ΤΣΙΟΤΣΙΑΣ</t>
  </si>
  <si>
    <t>ΑΖ293397</t>
  </si>
  <si>
    <t>1321,7</t>
  </si>
  <si>
    <t>1249-1222-1247-1248-1206-1253-1256-1250-1254-1255-1267</t>
  </si>
  <si>
    <t>ΝΤΟΥΦΑ</t>
  </si>
  <si>
    <t>ΔΙΟΝΥΣΙΟΥ</t>
  </si>
  <si>
    <t>ΑΜ421163</t>
  </si>
  <si>
    <t>1321,1</t>
  </si>
  <si>
    <t>1253-1249-1256-1267-1248</t>
  </si>
  <si>
    <t>ΚΑΛΑΝΤΖΑΚΗ</t>
  </si>
  <si>
    <t>ΑΜ157202</t>
  </si>
  <si>
    <t>1320,6</t>
  </si>
  <si>
    <t>ΜΑΥΡΑΚΗ</t>
  </si>
  <si>
    <t>ΑΥΓΕΡΙΝΟΣ</t>
  </si>
  <si>
    <t>ΑΕ277380</t>
  </si>
  <si>
    <t>1206-1247-1255-1267-1254-1253-1250-1248-1249</t>
  </si>
  <si>
    <t>ΔΑΝΟΥΣΗ</t>
  </si>
  <si>
    <t>Σ353775</t>
  </si>
  <si>
    <t>ΦΤΑΚΑΣ</t>
  </si>
  <si>
    <t>ΑΜ851010</t>
  </si>
  <si>
    <t>1249-1253-1206-1205-1255-1254-1247-1248-1267-1250</t>
  </si>
  <si>
    <t xml:space="preserve">DE MARINIS </t>
  </si>
  <si>
    <t>ROLANDO</t>
  </si>
  <si>
    <t>RICARDO</t>
  </si>
  <si>
    <t>1319,8</t>
  </si>
  <si>
    <t>1201-1202-1203-1204-1205-1206-1218-1221-1222-1223-1247-1248-1249-1250-1253-1254-1255-1256-1267</t>
  </si>
  <si>
    <t>ΒΑΘΗΣ</t>
  </si>
  <si>
    <t>ΑΜ492091</t>
  </si>
  <si>
    <t>1247-1201-1205-1204-1206-1221-1248-1249-1250-1253-1254-1255</t>
  </si>
  <si>
    <t>ΣΙΟΥΚΑ</t>
  </si>
  <si>
    <t>ΑΝΔΡΙΑΝΑ</t>
  </si>
  <si>
    <t>ΑΖ301077</t>
  </si>
  <si>
    <t>ΛΕΡΑΝΤΖΗ</t>
  </si>
  <si>
    <t>Π258493</t>
  </si>
  <si>
    <t>1319,2</t>
  </si>
  <si>
    <t>1250-1247-1248-1249</t>
  </si>
  <si>
    <t>ΤΣΑΚΙΡΗ</t>
  </si>
  <si>
    <t>ΜΙΧΑΕΛΑ</t>
  </si>
  <si>
    <t>ΑΗ697176</t>
  </si>
  <si>
    <t>1318,7</t>
  </si>
  <si>
    <t>ΑΓΓΕΛΟΠΟΥΛΟΥ</t>
  </si>
  <si>
    <t>ΑΒ040014</t>
  </si>
  <si>
    <t>1318,4</t>
  </si>
  <si>
    <t>1206-1247-1248-1249-1250-1253-1254-1258</t>
  </si>
  <si>
    <t>ΦΟΥΛΙΡΑ</t>
  </si>
  <si>
    <t>ΔΑΜΙΑΝΟΥΛΑ</t>
  </si>
  <si>
    <t>ΑΙ333459</t>
  </si>
  <si>
    <t>1318,2</t>
  </si>
  <si>
    <t>1205-1255-1221-1206-1249-1256-1253-1248-1201-1247-1202-1254-1250</t>
  </si>
  <si>
    <t>ΜΗΓΓΟΥ</t>
  </si>
  <si>
    <t>ΧΡΙΣΤΟΦΟΡΟΣ</t>
  </si>
  <si>
    <t>Ξ647923</t>
  </si>
  <si>
    <t>1317,8</t>
  </si>
  <si>
    <t>1219-1249-1206-1253-1254-1256-1248-1217-1201-1202-1205-1250-1251-1255-1247</t>
  </si>
  <si>
    <t>ΚΟΥΛΗ</t>
  </si>
  <si>
    <t>ΑΜ341922</t>
  </si>
  <si>
    <t>1317,6</t>
  </si>
  <si>
    <t>1250-1217-1247-1203-1206-1248-1249-1251-1252-1253-1254-1218-1219-1220-1221-1222-1223-1204-1205</t>
  </si>
  <si>
    <t>ΓΕΩΡΓΙΟΥ</t>
  </si>
  <si>
    <t>ΑΙ880337</t>
  </si>
  <si>
    <t>1249-1256-1253-1248-1206-1222-1201-1254-1255-1204-1205-1223-1221-1247-1250-1202</t>
  </si>
  <si>
    <t>ΦΡΑΤΖΕΖΟΥ</t>
  </si>
  <si>
    <t>ΑΜ838259</t>
  </si>
  <si>
    <t>1317,1</t>
  </si>
  <si>
    <t>1201-1254-1247-1217-1250-1267-1255-1202-1206-1253-1248</t>
  </si>
  <si>
    <t>ΑΜ877669</t>
  </si>
  <si>
    <t>1253-1256-1249-1219-1267-1248-1220-1222-1201-1252-1203-1206-1223-1247-1254-1218-1250-1217-1255-1205-1204-1221-1202-1251</t>
  </si>
  <si>
    <t>ΑΗ475484</t>
  </si>
  <si>
    <t>1202-1203-1204-1205-1206-1217-1218-1219-1221-1247-1248-1249-1250-1253-1254-1255-1201-1267</t>
  </si>
  <si>
    <t>Χ487526</t>
  </si>
  <si>
    <t>1316,7</t>
  </si>
  <si>
    <t>1248-1219-1249-1256-1222-1253-1220-1206-1203-1217-1247-1254-1252-1250-1223-1204-1205-1255-1221-1202-1251-1218</t>
  </si>
  <si>
    <t>ΚΟΝΤΟΥ</t>
  </si>
  <si>
    <t>ΕΡΜΙΟΝΗ</t>
  </si>
  <si>
    <t>Π594918</t>
  </si>
  <si>
    <t>1247-1250</t>
  </si>
  <si>
    <t>ΜΕΓΑΠΑΝΟΣ</t>
  </si>
  <si>
    <t>ΑΕ282600</t>
  </si>
  <si>
    <t>1315,6</t>
  </si>
  <si>
    <t>1201-1202-1203-1204-1205-1206-1217-1218-1219-1247-1248-1249-1250-1252-1253-1254-1255-1267</t>
  </si>
  <si>
    <t>ΚΑΦΑΣΗ</t>
  </si>
  <si>
    <t>Τ372666</t>
  </si>
  <si>
    <t>1315,4</t>
  </si>
  <si>
    <t>1249-1253-1248-1206-1254-1247-1250-1255-1202</t>
  </si>
  <si>
    <t>ΧΑΣΑΝΗΣ</t>
  </si>
  <si>
    <t>ΑΕ226380</t>
  </si>
  <si>
    <t>1314,8</t>
  </si>
  <si>
    <t>1202-1204-1203-1206-1247-1248-1250</t>
  </si>
  <si>
    <t>ΑΗ203514</t>
  </si>
  <si>
    <t>1314,1</t>
  </si>
  <si>
    <t>1219-1248-1202-1205-1206-1247-1255-1204-1217-1221-1250-1218-1254-1267-1203-1220-1222-1223-1249-1251</t>
  </si>
  <si>
    <t>ΓΙΑΝΝΑΚΟΠΟΥΛΟΥ</t>
  </si>
  <si>
    <t>ΒΑΣΙΛΕΙΟ</t>
  </si>
  <si>
    <t>Ν479004</t>
  </si>
  <si>
    <t>1250-1247-1255-1254-1253-1248-1249</t>
  </si>
  <si>
    <t>ΤΡΙΑΝΤΑΦΥΛΛΟΥ</t>
  </si>
  <si>
    <t>Ρ475982</t>
  </si>
  <si>
    <t>1218-1247-1248-1206-1249-1250-1253-1254-1255-1267</t>
  </si>
  <si>
    <t>ΝΤΑΓΚΟΝΙΚΟΥ</t>
  </si>
  <si>
    <t>ΑΖ294739</t>
  </si>
  <si>
    <t>1249-1218-1248-1253-1206-1222-1247-1254-1250</t>
  </si>
  <si>
    <t>ΜΠΑΛΛΑΣΗΣ</t>
  </si>
  <si>
    <t>ΑΚ122233</t>
  </si>
  <si>
    <t>1313,2</t>
  </si>
  <si>
    <t>1252-1204-1221-1218-1202-1205-1220-1255-1250-1249-1253-1254-1247-1248-1201-1203-1206-1267-1222-1223</t>
  </si>
  <si>
    <t>ΣΤΡΟΥΜΠΟΥΛΗ</t>
  </si>
  <si>
    <t>ΑΝ499644</t>
  </si>
  <si>
    <t>ΤΣΟΛΑΚΙΔΟΥ</t>
  </si>
  <si>
    <t>ΔΑΝΙΗΛ</t>
  </si>
  <si>
    <t>ΑΕ217329</t>
  </si>
  <si>
    <t>1312,9</t>
  </si>
  <si>
    <t>1222-1206-1248-1267-1253-1249-1254-1250</t>
  </si>
  <si>
    <t>ΠΕΤΕΙΝΟΣ</t>
  </si>
  <si>
    <t>Τ480082</t>
  </si>
  <si>
    <t>1312,3</t>
  </si>
  <si>
    <t>ΑΓΑΠΙΟΣ</t>
  </si>
  <si>
    <t>ΑΖ300353</t>
  </si>
  <si>
    <t>1206-1247-1248-1249-1250-1251-1252-1253-1255-1254-1256</t>
  </si>
  <si>
    <t>ΚΑΒΟΥΡΑΣ</t>
  </si>
  <si>
    <t>ΑΜ931964</t>
  </si>
  <si>
    <t>1311,3</t>
  </si>
  <si>
    <t>1251-1219-1217-1202-1205-1248-1206-1247-1250-1254-1255-1253-1249-1256</t>
  </si>
  <si>
    <t>ΜΠΑΡΜΠΟΥΝΗ</t>
  </si>
  <si>
    <t>Σ981806</t>
  </si>
  <si>
    <t>1311,2</t>
  </si>
  <si>
    <t>1217-1254-1201-1247-1256-1253-1206-1255-1205-1202-1251-1248-1249</t>
  </si>
  <si>
    <t>ΠΑΠΑΔΗΜΑ</t>
  </si>
  <si>
    <t>ΑΙ884145</t>
  </si>
  <si>
    <t>1203-1206-1253-1248-1267-1247-1201-1255-1221-1202-1205-1250-1218-1249-1254</t>
  </si>
  <si>
    <t>ΛΑΜΠΡΑΚΗ</t>
  </si>
  <si>
    <t>ΑΙ299021</t>
  </si>
  <si>
    <t>1201-1252-1254-1248-1267-1247-1249-1206-1253-1250-1255</t>
  </si>
  <si>
    <t>ΑΣΛΑΝΙΔΗΣ</t>
  </si>
  <si>
    <t>Χ916406</t>
  </si>
  <si>
    <t>1221-1205-1204-1255-1202-1250-1247-1254-1203-1218-1248-1267-1206-1253-1201-1249</t>
  </si>
  <si>
    <t>Π247926</t>
  </si>
  <si>
    <t>1201-1254-1203-1247-1252-1253-1223</t>
  </si>
  <si>
    <t>ΣΚΥΛΛΑ</t>
  </si>
  <si>
    <t>ΑΗ287020</t>
  </si>
  <si>
    <t>1254-1248-1247-1206-1253-1250-1249-1205-1204-1202-1255-1221-1201-1218-1223-1222-1256</t>
  </si>
  <si>
    <t>ΑΚΡΙΤΙΔΟΥ</t>
  </si>
  <si>
    <t>ΑΗ682692</t>
  </si>
  <si>
    <t>ΤΣΕΡΚΕΖΗ</t>
  </si>
  <si>
    <t>Ρ724058</t>
  </si>
  <si>
    <t>1248-1253-1206-1249-1203-1201-1252-1202-1204-1205-1218-1221-1247-1250-1254-1255-1222-1220-1223-1251</t>
  </si>
  <si>
    <t>ΤΟΜΠΟΥΛΗ</t>
  </si>
  <si>
    <t>ΑΖ183776</t>
  </si>
  <si>
    <t>ΠΑΡΔΑΛΗ</t>
  </si>
  <si>
    <t>Χ368734</t>
  </si>
  <si>
    <t>1254-1247-1248-1267-1206-1201-1253-1249-1250-1255-1202</t>
  </si>
  <si>
    <t>ΚΟΤΡΩΝΗ</t>
  </si>
  <si>
    <t>ΑΖ496375</t>
  </si>
  <si>
    <t>1310,8</t>
  </si>
  <si>
    <t>1217-1254-1201-1202-1205-1206-1219-1247-1248-1249-1250-1253-1255-1267-1251-1256</t>
  </si>
  <si>
    <t>ΑΛΕΙΦΕΡΗ</t>
  </si>
  <si>
    <t>ΣΤΑΜΑΤΙΚΗ</t>
  </si>
  <si>
    <t>ΑΗ235799</t>
  </si>
  <si>
    <t>1310,3</t>
  </si>
  <si>
    <t>1250-1247-1254-1255-1248-1267-1253-1256-1249-1206</t>
  </si>
  <si>
    <t>ΑΜΑΝΑΤΙΔΟΥ</t>
  </si>
  <si>
    <t>ΖΩΗ ΜΙΛΤΙΑΝΑ</t>
  </si>
  <si>
    <t>ΑΜ424450</t>
  </si>
  <si>
    <t>1309,9</t>
  </si>
  <si>
    <t>ΝΙΚΟΥ</t>
  </si>
  <si>
    <t>Ρ807846</t>
  </si>
  <si>
    <t>691,9</t>
  </si>
  <si>
    <t>ΑΚ532437</t>
  </si>
  <si>
    <t>1309,3</t>
  </si>
  <si>
    <t>1205-1255-1217-1247-1250</t>
  </si>
  <si>
    <t>ΣΤΡΑΚΑΛΗ</t>
  </si>
  <si>
    <t>Χ391573</t>
  </si>
  <si>
    <t>1249-1253-1248-1267-1254-1201-1202-1206-1255-1247-1250-1252-1221-1219-1217-1205-1251-1256-1223-1222-1218-1203-1204-1220</t>
  </si>
  <si>
    <t>ΚΑΡΑΜΠΟΥΤΗ</t>
  </si>
  <si>
    <t>Χ928737</t>
  </si>
  <si>
    <t>1202-1206-1217-1219-1247-1248-1249-1250-1251-1253-1254-1255-1256</t>
  </si>
  <si>
    <t>Πικραμένος</t>
  </si>
  <si>
    <t>Σταμάτιος</t>
  </si>
  <si>
    <t>Ιωάννης</t>
  </si>
  <si>
    <t>ΑΖ984960</t>
  </si>
  <si>
    <t>690,8</t>
  </si>
  <si>
    <t>1308,8</t>
  </si>
  <si>
    <t>ΠΑΝΑΓΙΩΤΙΔΗΣ</t>
  </si>
  <si>
    <t>ΑΚ327158</t>
  </si>
  <si>
    <t>1308,4</t>
  </si>
  <si>
    <t>ΤΕΡΕΖΙΟΥ</t>
  </si>
  <si>
    <t>ΕΛΙΑΝΑ</t>
  </si>
  <si>
    <t>ΝΤΙΛΑΒΕΡ</t>
  </si>
  <si>
    <t>ΑΜ859462</t>
  </si>
  <si>
    <t>1307,9</t>
  </si>
  <si>
    <t>1248-1249-1219-1206-1203-1253-1256-1201-1202-1221-1223-1247-1204-1205-1250-1251-1254-1255-1217-1218</t>
  </si>
  <si>
    <t>ΚΟΛΟΒΟΣ</t>
  </si>
  <si>
    <t>ΑΒ994600</t>
  </si>
  <si>
    <t>1307,7</t>
  </si>
  <si>
    <t>1203-1205-1206-1218-1219-1221-1223-1247-1248-1250-1253-1254-1255-1267</t>
  </si>
  <si>
    <t>ΜΠΙΣΤΙΤΖΙΑΝΟΥ</t>
  </si>
  <si>
    <t>ΑΓΛΑΙΑ</t>
  </si>
  <si>
    <t>ΑΕ243963</t>
  </si>
  <si>
    <t>1254-1253-1249-1250-1255-1247-1248-1206-1205-1202-1201</t>
  </si>
  <si>
    <t>ΒΙΟΛΝΤΖΗ</t>
  </si>
  <si>
    <t>ΚΡΥΣΤΑΛΛΙΑ</t>
  </si>
  <si>
    <t>Χ932116</t>
  </si>
  <si>
    <t>1307,1</t>
  </si>
  <si>
    <t>1217-1201-1203-1206-1218-1219-1220-1222-1223-1247-1248-1249-1250-1252-1253-1254-1256-1267</t>
  </si>
  <si>
    <t>ΜΑΚΕΔΩΝ</t>
  </si>
  <si>
    <t>Π353450</t>
  </si>
  <si>
    <t>1306,8</t>
  </si>
  <si>
    <t>1247-1267-1248-1250-1254-1253-1256-1222-1249-1206-1201-1205-1255-1202-1219-1217-1203-1220-1252-1218-1204-1221-1223-1251</t>
  </si>
  <si>
    <t>ΒΕΛΑΕΤΗΣ</t>
  </si>
  <si>
    <t>Τ135482</t>
  </si>
  <si>
    <t>1306,6</t>
  </si>
  <si>
    <t>1250-1247-1254</t>
  </si>
  <si>
    <t>ΤΡΥΦΩΝΟΠΟΥΛΟΥ</t>
  </si>
  <si>
    <t>Χ894916</t>
  </si>
  <si>
    <t>1203-1204-1205-1206-1202-1217-1218-1219-1220-1221-1222-1223-1247-1248-1249-1250-1251-1252-1253-1254-1255</t>
  </si>
  <si>
    <t>ΡΙΓΑΛΙΔΗ</t>
  </si>
  <si>
    <t>ΑΜ366517</t>
  </si>
  <si>
    <t>1306,1</t>
  </si>
  <si>
    <t>1203-1201-1267-1254-1249-1248-1253-1256-1222-1247-1223-1250-1218-1206-1204-1205-1255-1202-1221</t>
  </si>
  <si>
    <t>ΣΑΡΑΝΤΟΠΟΥΛΟΥ</t>
  </si>
  <si>
    <t>Π757185</t>
  </si>
  <si>
    <t>717,2</t>
  </si>
  <si>
    <t>1305,2</t>
  </si>
  <si>
    <t>ΑΡΧΟΝΤΗ</t>
  </si>
  <si>
    <t>ΑΙ318975</t>
  </si>
  <si>
    <t>1304,6</t>
  </si>
  <si>
    <t>1201-1248-1267-1254-1249-1253-1247-1250-1256-1206-1202-1205</t>
  </si>
  <si>
    <t>ΚΟΥΚΟΥΡΑΚΗ</t>
  </si>
  <si>
    <t>ΧΡΥΣΟΒΑΛΑΝΤΗ-ΑΓΓΕΛΙΚΗ</t>
  </si>
  <si>
    <t>Τ490819</t>
  </si>
  <si>
    <t>1304,3</t>
  </si>
  <si>
    <t>1221-1218-1204-1205-1203-1255-1254-1202-1201-1206-1248-1247-1253-1249-1250-1267</t>
  </si>
  <si>
    <t>ΤΟΤΣΙΚΑ</t>
  </si>
  <si>
    <t>ΝΙΚΟΛΕΤΤΑ ΣΠΥΡΙΔΟΥΛΑ</t>
  </si>
  <si>
    <t>Χ398604</t>
  </si>
  <si>
    <t>882,2</t>
  </si>
  <si>
    <t>1304,2</t>
  </si>
  <si>
    <t>ΔΟΔΟΠΟΥΛΟΣ</t>
  </si>
  <si>
    <t>ΑΕ867325</t>
  </si>
  <si>
    <t>1222-1267-1219-1206-1248-1253-1252-1203-1204-1202-1205-1217-1218-1220-1221-1223-1247-1249-1250-1251-1254</t>
  </si>
  <si>
    <t>ΚΟΤΣΩΝΗ</t>
  </si>
  <si>
    <t>Ρ301094</t>
  </si>
  <si>
    <t>1303,3</t>
  </si>
  <si>
    <t>1247-1201-1218-1206-1250-1254-1249-1256-1202-1204-1205</t>
  </si>
  <si>
    <t>ΑΒ983301</t>
  </si>
  <si>
    <t>ΠΑΠΑΤΣΙΦΛΙΚΙΩΤΗ</t>
  </si>
  <si>
    <t>ΑΑ486799</t>
  </si>
  <si>
    <t>1303,1</t>
  </si>
  <si>
    <t>1202-1204-1205-1206-1217-1223-1218-1219-1220-1221-1222-1247-1248-1253-1203-1267-1249-1250-1251-1252</t>
  </si>
  <si>
    <t>ΜΠΑΛΑΚΩΣΤΑΣ</t>
  </si>
  <si>
    <t>ΑΖ287489</t>
  </si>
  <si>
    <t>1252-1254</t>
  </si>
  <si>
    <t>ΒΛΑΧΑΚΗΣ</t>
  </si>
  <si>
    <t>ΑΗ670993</t>
  </si>
  <si>
    <t>ΜΠΕΚΑΣ</t>
  </si>
  <si>
    <t>ΑΒ842196</t>
  </si>
  <si>
    <t>1252-1249-1201-1254-1253-1248-1247-1219-1206-1218-1250</t>
  </si>
  <si>
    <t>ΓΚΑΒΑΛΙΑΓΚΑ</t>
  </si>
  <si>
    <t>ΑΜ431153</t>
  </si>
  <si>
    <t>1222-1267-1206-1248-1249-1253-1218-1247-1254-1255-1256</t>
  </si>
  <si>
    <t>ΤΖΕΓΚΑΣ</t>
  </si>
  <si>
    <t>ΑΛΚΙΒΙΑΔΗΣ</t>
  </si>
  <si>
    <t>ΑΚ975610</t>
  </si>
  <si>
    <t>1206-1218-1247-1248-1249-1250-1253-1254-1255-1256-1267</t>
  </si>
  <si>
    <t>ΜΠΕΛΛΟΥ</t>
  </si>
  <si>
    <t>ΑΖ293582</t>
  </si>
  <si>
    <t>1219-1248-1249-1253-1217-1247-1202</t>
  </si>
  <si>
    <t>ΧΑΡΙΣΗ</t>
  </si>
  <si>
    <t>Ρ332266</t>
  </si>
  <si>
    <t>1302,2</t>
  </si>
  <si>
    <t>1247-1250-1255-1204-1202</t>
  </si>
  <si>
    <t>ΚΟΡΔΩΝΗ</t>
  </si>
  <si>
    <t>ΜΑΓΔΑ</t>
  </si>
  <si>
    <t>Φ449008</t>
  </si>
  <si>
    <t>ΓΚΑΝΤΖΩΡΑΣ</t>
  </si>
  <si>
    <t>Χ656236</t>
  </si>
  <si>
    <t>1247-1250-1254-1201-1253-1206-1249-1255-1205-1202-1267-1248</t>
  </si>
  <si>
    <t>ΜΑΚΡΑΚΗ</t>
  </si>
  <si>
    <t>ΑΡΜΟΔΙΟΣ</t>
  </si>
  <si>
    <t>ΑΑ443441</t>
  </si>
  <si>
    <t>1301,1</t>
  </si>
  <si>
    <t>1202-1201-1205-1247-1255-1254-1253-1206-1249-1250-1248-1267-1256</t>
  </si>
  <si>
    <t>ΓΑΣΤΕΡΑΤΟΥ</t>
  </si>
  <si>
    <t>ΑΗ719218</t>
  </si>
  <si>
    <t>1300,4</t>
  </si>
  <si>
    <t>1218-1219-1248-1267-1204-1205-1255-1221-1202-1201-1252-1254-1217-1250-1247-1203-1223-1251-1249-1206-1253-1256-1222-1220</t>
  </si>
  <si>
    <t>ΤΣΙΑΛΑΜΠΑΝΑ</t>
  </si>
  <si>
    <t>Ξ839651</t>
  </si>
  <si>
    <t>1253-1248-1256-1267</t>
  </si>
  <si>
    <t>ΠΟΥΤΑΧΙΔΗΣ</t>
  </si>
  <si>
    <t>Φ275288</t>
  </si>
  <si>
    <t>ΠΟΥΝΤΖΟΥΚΙΔΟΥ</t>
  </si>
  <si>
    <t>ΑΜ899545</t>
  </si>
  <si>
    <t>1220-1248-1206-1221-1252-1201-1202-1253-1249-1247-1254-1255</t>
  </si>
  <si>
    <t>ΓΑΛΑΝΗ</t>
  </si>
  <si>
    <t>ΑΕ987864</t>
  </si>
  <si>
    <t>1247-1202-1205-1248-1250-1255-1254-1253-1249</t>
  </si>
  <si>
    <t>ΓΚΟΡΙΔΗΣ</t>
  </si>
  <si>
    <t>ΑΙ153307</t>
  </si>
  <si>
    <t>1248-1253-1267-1256</t>
  </si>
  <si>
    <t>ΑΕ337176</t>
  </si>
  <si>
    <t>1206-1249-1267-1253-1219-1256-1248-1222-1220-1252-1247-1203-1217-1218-1202-1221-1204-1205-1223</t>
  </si>
  <si>
    <t>ΧΡΟΝΗ</t>
  </si>
  <si>
    <t>ΜΑΛΑΜΑ</t>
  </si>
  <si>
    <t>ΑΗ652592</t>
  </si>
  <si>
    <t>1248-1220-1222-1253-1249-1256-1206-1203</t>
  </si>
  <si>
    <t>ΣΩΤΗΡΙΑΔΟΥ</t>
  </si>
  <si>
    <t>ΑΗ689946</t>
  </si>
  <si>
    <t>ΒΑΣΙΛΑΚΑΚΗ</t>
  </si>
  <si>
    <t>ΑΗ843237</t>
  </si>
  <si>
    <t>1206-1248-1253</t>
  </si>
  <si>
    <t>ΑΗ094347</t>
  </si>
  <si>
    <t>1251-1201-1247-1206-1250-1249-1253-1255-1205</t>
  </si>
  <si>
    <t>ΜΠΑΛΛΑ</t>
  </si>
  <si>
    <t>ΧΑΡΑ</t>
  </si>
  <si>
    <t>ΑΚ021818</t>
  </si>
  <si>
    <t>1299,7</t>
  </si>
  <si>
    <t>1217-1250-1220-1204-1205-1255-1203-1206-1267-1218-1221-1247-1248-1249-1252-1253-1254</t>
  </si>
  <si>
    <t>ΖΟΥΡΛΑΔΑΝΗ</t>
  </si>
  <si>
    <t>Χ909368</t>
  </si>
  <si>
    <t>1201-1252-1249-1220-1219-1248-1222-1206-1247-1218-1254-1253-1217-1250-1256-1205-1255-1202-1204-1223</t>
  </si>
  <si>
    <t>ΤΣΑΛΙΔΟΥ</t>
  </si>
  <si>
    <t>ΑΖ788756</t>
  </si>
  <si>
    <t>1299,4</t>
  </si>
  <si>
    <t>1254-1249-1252-1201-1248-1219-1267-1253-1206-1217-1250-1218-1205-1255-1202-1247-1203-1204-1221</t>
  </si>
  <si>
    <t>ΑΓΓΕΛΗ</t>
  </si>
  <si>
    <t>ΑΖ254444</t>
  </si>
  <si>
    <t>1298,9</t>
  </si>
  <si>
    <t>1202-1203-1206-1247-1250-1253-1254-1267-1255-1248-1223</t>
  </si>
  <si>
    <t>ΑΝΔΡΕΔΑΚΗ</t>
  </si>
  <si>
    <t>ΑΜ474705</t>
  </si>
  <si>
    <t>1221-1255-1205-1204-1202-1248-1267-1206-1250-1247-1253-1203-1218-1249-1254-1252</t>
  </si>
  <si>
    <t>ΡΑΠΑΝΟΥ</t>
  </si>
  <si>
    <t>ΑΕ232089</t>
  </si>
  <si>
    <t>1218-1250-1247-1201-1203-1254-1253-1267-1248-1249-1256-1206-1222-1223-1205-1204-1202-1221-1255</t>
  </si>
  <si>
    <t>ΓΚΙΚΑ</t>
  </si>
  <si>
    <t>ΜΙΡΕΛΑ</t>
  </si>
  <si>
    <t>ΘΑΝΑΣΗΣ</t>
  </si>
  <si>
    <t>ΑΜ028944</t>
  </si>
  <si>
    <t>1298,6</t>
  </si>
  <si>
    <t>1247-1250-1218</t>
  </si>
  <si>
    <t>ΤΟΠΑΝΤΖΑ</t>
  </si>
  <si>
    <t>ΓΙΟΝΙΑΝΤΑ</t>
  </si>
  <si>
    <t>ΗΛΙΑ</t>
  </si>
  <si>
    <t>ΑΝ339340</t>
  </si>
  <si>
    <t>1298,1</t>
  </si>
  <si>
    <t>1248-1223-1201-1254-1267-1253-1250-1249-1206-1222-1247-1218-1256-1255-1205-1202-1221</t>
  </si>
  <si>
    <t>ΠΛΙΑΤΣΙΚΑ</t>
  </si>
  <si>
    <t>ΑΕ373665</t>
  </si>
  <si>
    <t>1297,8</t>
  </si>
  <si>
    <t>1222-1206-1248-1255-1202-1249-1253-1254-1250-1201-1247-1204-1203-1218-1221</t>
  </si>
  <si>
    <t>ΜΟΣΧΟΒΑΚΟΥ</t>
  </si>
  <si>
    <t>Χ834138</t>
  </si>
  <si>
    <t>1297,6</t>
  </si>
  <si>
    <t>ΚΑΛΑΙΤΖΑΚΗ</t>
  </si>
  <si>
    <t>ΑΝΝΑ ΜΑΡΙΑ</t>
  </si>
  <si>
    <t>Σ992299</t>
  </si>
  <si>
    <t>1221-1205-1255-1202-1217-1250-1222-1206-1219-1253-1254-1252-1247-1248-1251-1249-1256-1220-1267</t>
  </si>
  <si>
    <t>ΒΕΡΕΝΤΖΙΩΤΗ</t>
  </si>
  <si>
    <t>ΑΧΙΛΛΕΥΣ</t>
  </si>
  <si>
    <t>ΑΗ290549</t>
  </si>
  <si>
    <t>1249-1253-1256-1267-1248-1203-1201-1206-1222-1254-1218-1223-1247-1204-1205-1255-1202-1221-1250</t>
  </si>
  <si>
    <t>Π851224</t>
  </si>
  <si>
    <t>1221-1205-1255-1206-1202-1201-1248-1249-1250-1253-1254-1247</t>
  </si>
  <si>
    <t>ΠΥΛΑΡΙΝΟΥ</t>
  </si>
  <si>
    <t>Ι279190</t>
  </si>
  <si>
    <t>1296,7</t>
  </si>
  <si>
    <t>1206-1203-1248-1267</t>
  </si>
  <si>
    <t>ΤΑΣΙΟΠΟΥΛΟΥ</t>
  </si>
  <si>
    <t>Τ354361</t>
  </si>
  <si>
    <t>1296,4</t>
  </si>
  <si>
    <t>1252-1254-1250-1247-1248-1255</t>
  </si>
  <si>
    <t>ΜΠΛΟΣΚΑ</t>
  </si>
  <si>
    <t>Ρ858840</t>
  </si>
  <si>
    <t>1249-1248-1206-1253-1254-1250-1247-1255</t>
  </si>
  <si>
    <t>ΑΡΒΑΝΙΤΗ</t>
  </si>
  <si>
    <t>ΑΗ973758</t>
  </si>
  <si>
    <t>1255-1248-1206-1267-1250-1253-1254-1247</t>
  </si>
  <si>
    <t>ΚΑΤΣΑΡΟΣ</t>
  </si>
  <si>
    <t>ΑΙ282878</t>
  </si>
  <si>
    <t>1203-1252-1201-1249-1223-1253-1219-1248-1267-1206-1254-1247-1218-1217-1250-1202-1204-1205-1221-1220-1222-1251</t>
  </si>
  <si>
    <t>ΦΛΙΑΚΟΣ</t>
  </si>
  <si>
    <t>ΑΑ018634</t>
  </si>
  <si>
    <t>889,9</t>
  </si>
  <si>
    <t>1295,9</t>
  </si>
  <si>
    <t>1250-1217-1247-1206-1219-1248-1267-1251-1254-1253-1204-1205-1202-1218-1220-1222-1249-1252-1255-1256-1201</t>
  </si>
  <si>
    <t>ΠΟΛΥΖΩΓΟΠΟΥΛΟΥ</t>
  </si>
  <si>
    <t>ΚΩΣΤΑΝΤΙΝΟΣ</t>
  </si>
  <si>
    <t>ΑΗ409472</t>
  </si>
  <si>
    <t>1295,7</t>
  </si>
  <si>
    <t>1219-1217-1205-1201-1202-1206-1250-1255-1253-1254-1248-1247-1249-1256-1251</t>
  </si>
  <si>
    <t>ΓΕΩΡΓΑΛΑ</t>
  </si>
  <si>
    <t>ΣΤΕΦΑΝΙΑ</t>
  </si>
  <si>
    <t>ΑΙ362426</t>
  </si>
  <si>
    <t>1294,5</t>
  </si>
  <si>
    <t>1204-1205-1206-1217-1218-1219-1220-1221-1222-1223-1247-1248-1249-1250-1251-1252-1253-1254-1255-1256</t>
  </si>
  <si>
    <t>ΠΑΝΚΟΥ</t>
  </si>
  <si>
    <t>ΑΑ962011</t>
  </si>
  <si>
    <t>1294,2</t>
  </si>
  <si>
    <t>1222-1206-1248-1249-1247-1250-1254-1253-1201-1255-1202-1205</t>
  </si>
  <si>
    <t>ΜΑΥΡΟΓΟΝΑΤΟΥ</t>
  </si>
  <si>
    <t>ΑΒ319650</t>
  </si>
  <si>
    <t>1293,4</t>
  </si>
  <si>
    <t>ΒΑΣΙΛΙΚΗ ΙΩΑΝΝΑ</t>
  </si>
  <si>
    <t>ΑΜ477743</t>
  </si>
  <si>
    <t>1293,2</t>
  </si>
  <si>
    <t>1204-1255-1205-1221-1247-1250-1202-1203-1217-1267-1249-1251-1253-1254-1256-1222-1223-1218-1219-1220-1201-1248-1206</t>
  </si>
  <si>
    <t>ΣΟΥΛΑΚΗ</t>
  </si>
  <si>
    <t>ΜΑΓΔΑΛΗΝΗ</t>
  </si>
  <si>
    <t>ΑΗ695262</t>
  </si>
  <si>
    <t>1293,1</t>
  </si>
  <si>
    <t>ΓΡΑΙΚΟΥ</t>
  </si>
  <si>
    <t>Τ794980</t>
  </si>
  <si>
    <t>ΚΑΛΥΒΙΩΤΟΥ</t>
  </si>
  <si>
    <t>ΑΖ789912</t>
  </si>
  <si>
    <t>1249-1206-1253-1248</t>
  </si>
  <si>
    <t>ΚΑΡΔΑΣΗΣ</t>
  </si>
  <si>
    <t>ΑΙ489881</t>
  </si>
  <si>
    <t>1247-1201-1217-1267-1219-1248</t>
  </si>
  <si>
    <t>Φ296210</t>
  </si>
  <si>
    <t>1292,1</t>
  </si>
  <si>
    <t>1201-1203-1202-1204-1205-1206-1217-1218-1219-1267-1247-1248-1249-1250-1251-1252-1253</t>
  </si>
  <si>
    <t>ΚΙΟΥΤΟΥΚΙΔΟΥ</t>
  </si>
  <si>
    <t>ΑΝΔΡΙΑΝΝΑ</t>
  </si>
  <si>
    <t>ΑΒ156686</t>
  </si>
  <si>
    <t>1219-1267-1248-1206-1202-1253-1255-1205-1247-1252-1201-1249-1254-1217-1250-1218</t>
  </si>
  <si>
    <t>ΤΑΡΠΑΝΗ</t>
  </si>
  <si>
    <t>ΑΗ805533</t>
  </si>
  <si>
    <t>1256-1253-1254-1249-1248-1267-1206-1247</t>
  </si>
  <si>
    <t>ΧΑΜΟΥΡΤΖΙΑΔΟΥ</t>
  </si>
  <si>
    <t>ΑΝΤΙΓΟΝΗ</t>
  </si>
  <si>
    <t>ΑΗ689016</t>
  </si>
  <si>
    <t>1248-1267-1256-1253-1206-1249-1254-1247-1250-1255</t>
  </si>
  <si>
    <t>ΚΕΧΑΓΙΑΣ</t>
  </si>
  <si>
    <t>Χ888421</t>
  </si>
  <si>
    <t>1291,5</t>
  </si>
  <si>
    <t>1220-1219-1248-1253-1206-1249-1222-1252-1203-1247-1254-1255-1221-1223-1267</t>
  </si>
  <si>
    <t>ΤΣΙΦΤΣΙΑΝ</t>
  </si>
  <si>
    <t>ΑΜ235068</t>
  </si>
  <si>
    <t>1291,3</t>
  </si>
  <si>
    <t>1267-1248-1249-1253-1206-1250-1247-1254-1201-1255-1205-1202</t>
  </si>
  <si>
    <t>ΣΤΡΑΒΟΔΗΜΟΥ</t>
  </si>
  <si>
    <t>ΑΑ306147</t>
  </si>
  <si>
    <t>1291,2</t>
  </si>
  <si>
    <t>1250-1247-1201-1206-1254</t>
  </si>
  <si>
    <t>ΚΑΤΣΑΜΠΑΛΟΥ</t>
  </si>
  <si>
    <t>ΑΒ772952</t>
  </si>
  <si>
    <t>1217-1201-1250-1254-1253-1255-1249-1247-1248-1206-1219-1256-1251</t>
  </si>
  <si>
    <t>ΚΕΝΑΝΟΓΛΟΥ</t>
  </si>
  <si>
    <t>ΑΜ650734</t>
  </si>
  <si>
    <t>1290,9</t>
  </si>
  <si>
    <t>ΓΑΡΟΥΦΑΛΗ</t>
  </si>
  <si>
    <t>ΑΕ638250</t>
  </si>
  <si>
    <t>644,6</t>
  </si>
  <si>
    <t>1290,6</t>
  </si>
  <si>
    <t>1247-1250-1255</t>
  </si>
  <si>
    <t>ΚΑΖΑΚΟΥ</t>
  </si>
  <si>
    <t>Χ835035</t>
  </si>
  <si>
    <t>1289,8</t>
  </si>
  <si>
    <t>1218-1249-1248-1267-1247-1254-1255-1253-1206-1250-1256-1220-1222-1201-1202-1203-1204-1205-1221-1223-1219-1217-1251-1252</t>
  </si>
  <si>
    <t>ΛΥΚΟΥΔΗ</t>
  </si>
  <si>
    <t>ΑΖ047984</t>
  </si>
  <si>
    <t>1289,3</t>
  </si>
  <si>
    <t>1247-1250-1249-1254-1255-1267-1248-1206-1253</t>
  </si>
  <si>
    <t>ΧΑΙΝΑ</t>
  </si>
  <si>
    <t>ΑΒ583278</t>
  </si>
  <si>
    <t>1289,2</t>
  </si>
  <si>
    <t>ΤΣΙΓΑΡΙΔΑ</t>
  </si>
  <si>
    <t>ΑΗ333401</t>
  </si>
  <si>
    <t>1206-1249-1253-1248-1250-1254-1267-1247</t>
  </si>
  <si>
    <t>ΑΝΑΣΤΑΣΙΑΔΟΥ</t>
  </si>
  <si>
    <t>ΝΙΚΟΛΕΤΑ</t>
  </si>
  <si>
    <t>ΑΒ690944</t>
  </si>
  <si>
    <t>1248-1249-1253-1201-1206-1205-1221-1218-1247-1250-1254-1255-1267</t>
  </si>
  <si>
    <t>ΓΙΑΝΝΟΥΛΗΣ</t>
  </si>
  <si>
    <t>ΑΕ987242</t>
  </si>
  <si>
    <t>1247-1250-1254-1201-1248-1267-1253-1249-1206-1255-1205-1202</t>
  </si>
  <si>
    <t>Ξ687625</t>
  </si>
  <si>
    <t>ΝΕΟΧΩΡΛΗΣ</t>
  </si>
  <si>
    <t>ΧΡΥΣΟΒΑΛΑΝΤΗΣ</t>
  </si>
  <si>
    <t>ΑΖ145776</t>
  </si>
  <si>
    <t>1288,4</t>
  </si>
  <si>
    <t>1267-1253-1248-1206-1255-1222-1256-1220-1252-1249-1250-1247-1218</t>
  </si>
  <si>
    <t>ΚΗΠΟΥ</t>
  </si>
  <si>
    <t>ΑΝΔΡΙΑΝΗ</t>
  </si>
  <si>
    <t>ΑΙ960089</t>
  </si>
  <si>
    <t>1288,1</t>
  </si>
  <si>
    <t>1253-1205-1250-1247-1248-1202-1219-1201-1206-1252-1249</t>
  </si>
  <si>
    <t>ΔΙΑΚΟΥΜΑΚΗ</t>
  </si>
  <si>
    <t>ΑΒ787737</t>
  </si>
  <si>
    <t>ΑΜ417361</t>
  </si>
  <si>
    <t>1253-1249-1254-1219-1221-1217-1206-1205-1202-1247-1248-1250-1255-1256-1251</t>
  </si>
  <si>
    <t>ΠΡΩΤΟΓΕΡΑΚΗ</t>
  </si>
  <si>
    <t>ΑΖ964119</t>
  </si>
  <si>
    <t>1255-1248-1250-1247-1249</t>
  </si>
  <si>
    <t>ΠΑΝΑΓΑΚΗ</t>
  </si>
  <si>
    <t>ΑΙ121111</t>
  </si>
  <si>
    <t>1286,8</t>
  </si>
  <si>
    <t>1201-1202-1206-1217-1247-1248-1249-1250-1253-1254-1255-1256-1203-1267</t>
  </si>
  <si>
    <t>ΤΣΕΛΙΟΥ</t>
  </si>
  <si>
    <t>ΜΕΡΟΠΗ</t>
  </si>
  <si>
    <t>ΑΒ723774</t>
  </si>
  <si>
    <t>1286,5</t>
  </si>
  <si>
    <t>1253-1249-1248-1206-1247-1250-1255</t>
  </si>
  <si>
    <t>Σ447821</t>
  </si>
  <si>
    <t>1285,7</t>
  </si>
  <si>
    <t>1250-1218-1254-1247-1248-1253-1255-1204-1221-1202-1201-1222-1206-1223-1249-1256</t>
  </si>
  <si>
    <t>ΣΚΕΝΤΕΡΙΔΗΣ</t>
  </si>
  <si>
    <t>ΑΗ893649</t>
  </si>
  <si>
    <t>1284,6</t>
  </si>
  <si>
    <t>1253-1256-1249-1248-1247</t>
  </si>
  <si>
    <t>ΚΛΕΟΜΕΝΗΣ</t>
  </si>
  <si>
    <t>Τ381519</t>
  </si>
  <si>
    <t>696,3</t>
  </si>
  <si>
    <t>1284,3</t>
  </si>
  <si>
    <t>ΣΑΜΑΤΑ</t>
  </si>
  <si>
    <t>ΑΙΚΑΤΕΡΙΝΑ</t>
  </si>
  <si>
    <t>ΑΒ651691</t>
  </si>
  <si>
    <t>1283,9</t>
  </si>
  <si>
    <t>1205-1247-1248-1255-1206-1202-1250-1254-1249-1253</t>
  </si>
  <si>
    <t>ΜΑΓΝΗΣΑΛΗ</t>
  </si>
  <si>
    <t>ΘΕΟΦΑΝΙΑ</t>
  </si>
  <si>
    <t>ΑΙ159852</t>
  </si>
  <si>
    <t>1282,7</t>
  </si>
  <si>
    <t>1267-1248-1253-1249-1206-1201-1255-1250-1247-1202-1254-1256-1203</t>
  </si>
  <si>
    <t>ΗΛΙΟΠΟΥΛΟΥ</t>
  </si>
  <si>
    <t>ΑΙ206580</t>
  </si>
  <si>
    <t>1282,4</t>
  </si>
  <si>
    <t>1250-1254-1247-1248-1201-1253</t>
  </si>
  <si>
    <t>ΚΟΥΤΡΟΥΛΟΥ</t>
  </si>
  <si>
    <t>ΑΒ135769</t>
  </si>
  <si>
    <t>1206-1203-1219-1205-1255-1248-1221-1222-1223-1252-1250</t>
  </si>
  <si>
    <t>ΧΑΤΖΗΣΩΤΗΡΙΟΥ</t>
  </si>
  <si>
    <t>Χ829181</t>
  </si>
  <si>
    <t>1281,7</t>
  </si>
  <si>
    <t>ΚΑΛΥΒΑ</t>
  </si>
  <si>
    <t>ΤΡΙΑΝΤΑΦΥΛΛΟΣ</t>
  </si>
  <si>
    <t>ΑΙ750363</t>
  </si>
  <si>
    <t>1281,3</t>
  </si>
  <si>
    <t>1202-1204-1206-1218-1221-1247-1248-1249-1250-1253-1254-1255-1203-1267</t>
  </si>
  <si>
    <t>ΤΖΑΒΙΔΑ</t>
  </si>
  <si>
    <t>Σ461004</t>
  </si>
  <si>
    <t>1248-1249-1253-1254-1206-1247-1250-1255</t>
  </si>
  <si>
    <t>ΓΚΑΝΤΙΤΖΙΚΙΔΗΣ</t>
  </si>
  <si>
    <t>ΑΑ260909</t>
  </si>
  <si>
    <t>1203-1202-1204-1205-1206-1217-1218-1219-1247-1220-1221-1222-1223-1248-1249-1251-1250-1252-1253-1254-1255-1256-1267</t>
  </si>
  <si>
    <t>ΚΑΛΛΙΑΚΜΑΝΗΣ</t>
  </si>
  <si>
    <t>Σ784564</t>
  </si>
  <si>
    <t>1250-1247-1248-1206-1254-1253-1249-1255</t>
  </si>
  <si>
    <t>ΓΩΓΟΣ</t>
  </si>
  <si>
    <t>ΑΖ330581</t>
  </si>
  <si>
    <t>1279,6</t>
  </si>
  <si>
    <t>1253-1267-1206-1248-1254</t>
  </si>
  <si>
    <t>ΜΑΧΤΣΙΡΑ</t>
  </si>
  <si>
    <t>Ρ873800</t>
  </si>
  <si>
    <t>1279,4</t>
  </si>
  <si>
    <t>ΡΙΣΒΑΣ</t>
  </si>
  <si>
    <t>Χ781977</t>
  </si>
  <si>
    <t>1279,1</t>
  </si>
  <si>
    <t>1218-1253-1222-1249-1248-1217-1254-1251-1250-1202-1220-1256-1221-1223-1203-1252-1247-1255-1267-1206-1204-1205</t>
  </si>
  <si>
    <t>ΠΑΛΟΥΚΙΔΟΥ</t>
  </si>
  <si>
    <t>ΚΟΡΝΗΛΙΑ</t>
  </si>
  <si>
    <t>Ξ824343</t>
  </si>
  <si>
    <t>1247-1250-1254-1248-1206-1249</t>
  </si>
  <si>
    <t>ΤΖΑΝΕΤΑΚΗ</t>
  </si>
  <si>
    <t>Χ916207</t>
  </si>
  <si>
    <t>1278,8</t>
  </si>
  <si>
    <t>ΘΕΟΔΟΣΙΟΥ</t>
  </si>
  <si>
    <t>ΑΖ822934</t>
  </si>
  <si>
    <t>1202-1205-1254-1250-1201-1206-1267-1249-1253-1256</t>
  </si>
  <si>
    <t>ΑΗ681884</t>
  </si>
  <si>
    <t>1222-1267-1248-1206-1253-1254-1249-1247-1250-1255-1221-1205</t>
  </si>
  <si>
    <t>ΣΤΟΓΙΟΥ</t>
  </si>
  <si>
    <t>ΑΙ341576</t>
  </si>
  <si>
    <t>1256-1249-1253</t>
  </si>
  <si>
    <t>ΒΑΛΣΑΜΑΚΗΣ</t>
  </si>
  <si>
    <t>ΑΜ651919</t>
  </si>
  <si>
    <t>1267-1248-1206-1255-1252</t>
  </si>
  <si>
    <t>ΑΠΟΥΣΙΔΗΣ</t>
  </si>
  <si>
    <t>ΜΕΝΑΝΔΡΟΣ</t>
  </si>
  <si>
    <t>ΑΕ385047</t>
  </si>
  <si>
    <t>1275,5</t>
  </si>
  <si>
    <t>1220-1267-1248-1256-1253-1206-1254-1247</t>
  </si>
  <si>
    <t>ΜΑΓΓΙΝΑΣ</t>
  </si>
  <si>
    <t>ΦΑΝΟΥΡΙΟΣ ΒΑΣΙΛΕΙΟΣ</t>
  </si>
  <si>
    <t>Φ351590</t>
  </si>
  <si>
    <t>1275,3</t>
  </si>
  <si>
    <t>1250-1247-1254-1248-1249-1253-1255-1206-1256</t>
  </si>
  <si>
    <t>ΤΣΙΜΠΟΓΙΑΝΝΗΣ</t>
  </si>
  <si>
    <t>ΑΑ035272</t>
  </si>
  <si>
    <t>1204-1205-1217-1219-1221-1223-1247-1250-1251-1255</t>
  </si>
  <si>
    <t>ΖΑΡΧΑΝΗΣ</t>
  </si>
  <si>
    <t>ΑΗ564921</t>
  </si>
  <si>
    <t>1274,8</t>
  </si>
  <si>
    <t>1250-1247-1254-1253-1248-1249-1256-1206-1255</t>
  </si>
  <si>
    <t>ΑΒΟΥΡΗ</t>
  </si>
  <si>
    <t>ΑΗ623082</t>
  </si>
  <si>
    <t>1274,7</t>
  </si>
  <si>
    <t>1217-1247-1248-1249-1250-1254-1253-1255-1256-1201-1202-1205-1206-1251</t>
  </si>
  <si>
    <t>ΤΖΑΝΙΝΗ</t>
  </si>
  <si>
    <t>ΑΗ210104</t>
  </si>
  <si>
    <t>686,4</t>
  </si>
  <si>
    <t>1274,4</t>
  </si>
  <si>
    <t>1250-1247-1248-1255</t>
  </si>
  <si>
    <t>ΜΕΛΕΤΙΔΟΥ</t>
  </si>
  <si>
    <t>Χ450337</t>
  </si>
  <si>
    <t>1274,3</t>
  </si>
  <si>
    <t>1256-1253-1206-1250-1247-1255-1248-1249-1254-1219-1203-1223-1204-1205-1222-1202-1220-1218-1221</t>
  </si>
  <si>
    <t>ΣΟΛΩΜΑΚΟΥ</t>
  </si>
  <si>
    <t>ΑΙ793578</t>
  </si>
  <si>
    <t>1274,1</t>
  </si>
  <si>
    <t>ΒΙΛΕΛΜΙΝΗ</t>
  </si>
  <si>
    <t>ΑΙ914716</t>
  </si>
  <si>
    <t>1273,5</t>
  </si>
  <si>
    <t>ΚΙΡΚΙΝΕΖΟΣ</t>
  </si>
  <si>
    <t>Φ338394</t>
  </si>
  <si>
    <t>1273,1</t>
  </si>
  <si>
    <t>1254-1247-1223-1203-1201-1218-1217-1250-1219-1248-1267</t>
  </si>
  <si>
    <t>ΑΡΒΑΝΙΤΗΣ</t>
  </si>
  <si>
    <t>Σ041588</t>
  </si>
  <si>
    <t>1218-1250-1247-1254-1267-1248-1255-1206-1249-1253</t>
  </si>
  <si>
    <t>ΚΙΚΛΗ</t>
  </si>
  <si>
    <t>ΑΗ174372</t>
  </si>
  <si>
    <t>ΠΑΠΑΣΗΜΑΚΟΠΟΥΛΟΣ</t>
  </si>
  <si>
    <t>ΑΝ250356</t>
  </si>
  <si>
    <t>1217-1250-1247-1254-1249-1219-1248-1256-1255</t>
  </si>
  <si>
    <t>ΞΑΝΘΟΥ</t>
  </si>
  <si>
    <t>Φ314535</t>
  </si>
  <si>
    <t>1272,9</t>
  </si>
  <si>
    <t>1248-1267-1256-1253-1203-1206-1249-1204-1205-1255-1221-1202-1201-1254-1247-1250-1218-1223-1222</t>
  </si>
  <si>
    <t>ΒΑΛΚΑΜΕΛΗΣ</t>
  </si>
  <si>
    <t>ΑΕ142180</t>
  </si>
  <si>
    <t>614,9</t>
  </si>
  <si>
    <t>1201-1247-1253-1206-1248-1202-1255-1254-1250-1249</t>
  </si>
  <si>
    <t>ΓΑΪΤΑΝΙΔΟΥ</t>
  </si>
  <si>
    <t>ΞΕΝΟΦΩΝ</t>
  </si>
  <si>
    <t>Ν400391</t>
  </si>
  <si>
    <t>1272,2</t>
  </si>
  <si>
    <t>1248-1267-1253-1256-1206-1249-1254-1250-1247-1255-1219-1202-1217</t>
  </si>
  <si>
    <t>ΚΑΤΣΑΡΗ</t>
  </si>
  <si>
    <t>ΑΝΤΩΝΙΑ-ΠΑΝΑΓΙΩΤΑ</t>
  </si>
  <si>
    <t>ΑΜ990818</t>
  </si>
  <si>
    <t>1271,8</t>
  </si>
  <si>
    <t>ΛΑΜΠΕΡΝΑΚΗ</t>
  </si>
  <si>
    <t>ΑΕ422304</t>
  </si>
  <si>
    <t>632,5</t>
  </si>
  <si>
    <t>1271,5</t>
  </si>
  <si>
    <t>1201-1202-1205-1206-1217-1219-1247-1248-1249-1250-1251-1253-1254-1255-1256</t>
  </si>
  <si>
    <t>ΑΗ935987</t>
  </si>
  <si>
    <t>907,5</t>
  </si>
  <si>
    <t>1270,5</t>
  </si>
  <si>
    <t>1201-1202-1205-1206-1247-1248-1249-1250-1253-1254-1255-1256-1267</t>
  </si>
  <si>
    <t>ΧΟΥΤΟΣ</t>
  </si>
  <si>
    <t>Π982190</t>
  </si>
  <si>
    <t>1201-1202-1204-1205-1206-1217-1218-1219-1221-1222-1247-1248-1249-1250-1251-1252-1253-1254-1255</t>
  </si>
  <si>
    <t>ΑΙ395036</t>
  </si>
  <si>
    <t>1206-1254-1255-1247-1250-1248-1249-1253</t>
  </si>
  <si>
    <t>ΚΟΥΤΣΙΟΥΜΠΑ</t>
  </si>
  <si>
    <t>Π499574</t>
  </si>
  <si>
    <t>1248-1254-1253-1249-1247-1250-1218</t>
  </si>
  <si>
    <t>ΔΟΝΤΑΚΗ</t>
  </si>
  <si>
    <t>ΑΑ050641</t>
  </si>
  <si>
    <t>1269,7</t>
  </si>
  <si>
    <t>1247-1250-1218-1219-1267-1203-1206-1248-1204-1205-1255-1202-1221-1201-1220-1223-1252-1249-1253-1254-1256</t>
  </si>
  <si>
    <t>ΜΑΥΡΟΔΗΜΟΥ</t>
  </si>
  <si>
    <t>ΑΝ386910</t>
  </si>
  <si>
    <t>1268,9</t>
  </si>
  <si>
    <t>1222-1206-1248-1249-1253-1256-1247-1254-1250-1255</t>
  </si>
  <si>
    <t>ΧΡΙΣΤΟΤΖΟΓΛΟΥ</t>
  </si>
  <si>
    <t>Χ325023</t>
  </si>
  <si>
    <t>1268,3</t>
  </si>
  <si>
    <t>Χ335006</t>
  </si>
  <si>
    <t>1268,2</t>
  </si>
  <si>
    <t>1201-1205-1206-1247</t>
  </si>
  <si>
    <t>ΚΩΝΣΤΝΤΙΝΟΥ</t>
  </si>
  <si>
    <t>ΑΗ244020</t>
  </si>
  <si>
    <t>1201-1253-1248-1249-1206-1247-1250-1202-1205</t>
  </si>
  <si>
    <t>ΚΑΡΓΑΣ</t>
  </si>
  <si>
    <t>ΑΖ986321</t>
  </si>
  <si>
    <t>ΦΙΛΚΑΣ</t>
  </si>
  <si>
    <t>ΠΡΟΔΡΟΜΟΣ</t>
  </si>
  <si>
    <t>ΑΕ813698</t>
  </si>
  <si>
    <t>1249-1253-1256-1267-1201-1248-1206-1255-1202-1247-1254</t>
  </si>
  <si>
    <t>ΠΑΓΩΝΗ</t>
  </si>
  <si>
    <t>ΑΚ850765</t>
  </si>
  <si>
    <t>1219-1248-1223-1204-1205-1255-1221-1251-1253-1256-1206-1203-1201-1254-1220-1222-1247</t>
  </si>
  <si>
    <t>ΤΖΑΝΟΣ</t>
  </si>
  <si>
    <t>ΓΕΏΡΓΙΟΣ</t>
  </si>
  <si>
    <t>ΑΙ132800</t>
  </si>
  <si>
    <t>1266,7</t>
  </si>
  <si>
    <t>1247-1250-1254-1255-1249-1248-1206-1253-1267</t>
  </si>
  <si>
    <t>ΚΑΡΑΔΗΜΗΤΡΙΟΥ</t>
  </si>
  <si>
    <t>ΑΜ034440</t>
  </si>
  <si>
    <t>1266,4</t>
  </si>
  <si>
    <t>1250-1247-1254-1248-1255-1249-1253-1206-1256</t>
  </si>
  <si>
    <t>ΚΕΤΙΚΙΔΟΥ</t>
  </si>
  <si>
    <t>ΑΚ858778</t>
  </si>
  <si>
    <t>1266,3</t>
  </si>
  <si>
    <t>1217-1219-1248-1250-1267</t>
  </si>
  <si>
    <t>ΣΑΚΚΑΛΗ</t>
  </si>
  <si>
    <t>ΑΕ814161</t>
  </si>
  <si>
    <t>1249-1253-1255-1205-1202-1206-1250-1254</t>
  </si>
  <si>
    <t>ΠΑΠΑΕΥΣΤΑΘΙΟΥ</t>
  </si>
  <si>
    <t>ΑΖ772814</t>
  </si>
  <si>
    <t>1214-1208-1203-1201-1211-1268-1269-1252-1249-1248-1222-1210-1213-1220</t>
  </si>
  <si>
    <t>ΓΑΖΕΤΗ</t>
  </si>
  <si>
    <t>Π943107</t>
  </si>
  <si>
    <t>1248-1267-1219-1253-1206-1249-1252-1201-1247-1250-1217-1202</t>
  </si>
  <si>
    <t>ΖΑΧΑΡΙΑΔΗΣ</t>
  </si>
  <si>
    <t>ΑΜ698072</t>
  </si>
  <si>
    <t>1263,9</t>
  </si>
  <si>
    <t>ΚΑΡΑΓΚΟΥΝΗ</t>
  </si>
  <si>
    <t>ΑΙ860079</t>
  </si>
  <si>
    <t>1201-1254-1267-1256-1247-1248-1249-1253-1250-1255-1206-1205-1202</t>
  </si>
  <si>
    <t>ΣΙΩΠΗ</t>
  </si>
  <si>
    <t>ΑΖ380739</t>
  </si>
  <si>
    <t>1262,6</t>
  </si>
  <si>
    <t>1248-1267-1253-1206</t>
  </si>
  <si>
    <t>ΠΕΤΡΕΝΤΣΗΣ</t>
  </si>
  <si>
    <t>Ρ351529</t>
  </si>
  <si>
    <t>1249-1248-1206-1253-1254-1250-1247-1255-1202</t>
  </si>
  <si>
    <t>ΜΙΧΑΛΑΤΟΥ</t>
  </si>
  <si>
    <t>Φ881023</t>
  </si>
  <si>
    <t>1261,6</t>
  </si>
  <si>
    <t>1218-1217-1250-1247-1203-1254-1201-1256-1253-1249-1222-1219-1248-1267-1206-1223-1251-1202-1204-1205-1255-1221</t>
  </si>
  <si>
    <t>ΚΑΒΟΥΡΙΝΟΣ</t>
  </si>
  <si>
    <t>ΑΒ668101</t>
  </si>
  <si>
    <t>1261,2</t>
  </si>
  <si>
    <t>1250-1254-1247-1255-1249-1253-1248-1206</t>
  </si>
  <si>
    <t>Χ451738</t>
  </si>
  <si>
    <t>1260,6</t>
  </si>
  <si>
    <t>1256-1267-1253-1206-1248-1249-1247-1254-1255-1250-1251-1220-1222</t>
  </si>
  <si>
    <t>ΑΜ441289</t>
  </si>
  <si>
    <t>642,4</t>
  </si>
  <si>
    <t>1260,4</t>
  </si>
  <si>
    <t>1206-1267-1248-1253-1254-1247-1249-1250-1205-1202-1252-1221-1222-1256</t>
  </si>
  <si>
    <t>ΖΟΡΜΠΑΣ</t>
  </si>
  <si>
    <t>Φ221541</t>
  </si>
  <si>
    <t>672,1</t>
  </si>
  <si>
    <t>1260,1</t>
  </si>
  <si>
    <t>1250-1218-1222-1247-1248-1206-1249-1253-1254-1255-1256</t>
  </si>
  <si>
    <t>ΑΒΡΑΑΜ</t>
  </si>
  <si>
    <t>Χ233352</t>
  </si>
  <si>
    <t>1259,8</t>
  </si>
  <si>
    <t>1267-1248-1256-1253-1206-1249-1254-1247-1250-1255</t>
  </si>
  <si>
    <t>Φ238772</t>
  </si>
  <si>
    <t>ΜΙΧΟΥ</t>
  </si>
  <si>
    <t>ΑΑ335324</t>
  </si>
  <si>
    <t>1222-1247-1248-1249-1254-1255-1267</t>
  </si>
  <si>
    <t>ΚΑΡΑΦΩΤΙΑ</t>
  </si>
  <si>
    <t>Τ862448</t>
  </si>
  <si>
    <t>1258,9</t>
  </si>
  <si>
    <t>1223-1251-1203-1204-1205-1206-1217-1202-1247-1267-1256-1218-1220</t>
  </si>
  <si>
    <t>ΠΟΛΥΓΕΝΗ</t>
  </si>
  <si>
    <t>ΑΖ273260</t>
  </si>
  <si>
    <t>1201-1256-1267-1254-1248-1219-1222-1202-1247-1249-1250-1253</t>
  </si>
  <si>
    <t>ΆΝΝΑ</t>
  </si>
  <si>
    <t>Τ463453</t>
  </si>
  <si>
    <t>1222-1248-1206-1253-1201-1249-1250-1223-1202-1205</t>
  </si>
  <si>
    <t>ΠΑΤΣΟ</t>
  </si>
  <si>
    <t>ΤΟΝΑ</t>
  </si>
  <si>
    <t>ΣΩΤΗΡΑΚ</t>
  </si>
  <si>
    <t>ΑΗ855440</t>
  </si>
  <si>
    <t>1256,6</t>
  </si>
  <si>
    <t>1201-1202-1206-1217-1219-1247-1248-1249-1253-1254-1255-1267</t>
  </si>
  <si>
    <t>ΕΛΕΥΘΕΡΙΑΔΟΥ</t>
  </si>
  <si>
    <t>ΑΖ791226</t>
  </si>
  <si>
    <t>1253-1247-1250-1249-1256-1254-1248-1206</t>
  </si>
  <si>
    <t>ΑΒ433028</t>
  </si>
  <si>
    <t>1249-1253-1256-1248-1201-1206-1254-1247-1250-1255-1205-1202</t>
  </si>
  <si>
    <t>ΜΑΓΓΟΣ</t>
  </si>
  <si>
    <t>ΑΜ695600</t>
  </si>
  <si>
    <t>844,8</t>
  </si>
  <si>
    <t>1255,8</t>
  </si>
  <si>
    <t>1248-1267-1256-1253-1206-1249-1250-1247-1255-1205-1254</t>
  </si>
  <si>
    <t>ΜΕΡΜΗΓΚΑΣ</t>
  </si>
  <si>
    <t>ΓΕΩΡΓΙΟΣ ΑΛΕΞΙΟΣ</t>
  </si>
  <si>
    <t>ΑΝ028896</t>
  </si>
  <si>
    <t>1255,7</t>
  </si>
  <si>
    <t>1202-1205-1255-1250-1248-1247-1267</t>
  </si>
  <si>
    <t>ΙΟΡΔΑΝΟΓΛΟΥ</t>
  </si>
  <si>
    <t>ΚΛΕΙΣΘΕΝΗΣ</t>
  </si>
  <si>
    <t>ΑΜ593794</t>
  </si>
  <si>
    <t>1255,3</t>
  </si>
  <si>
    <t>1253-1247-1250-1255-1217-1205-1204-1219-1202-1254-1206-1221-1220-1223-1218-1251-1249-1256-1201</t>
  </si>
  <si>
    <t>ΦΑΡΜΑΚΗ</t>
  </si>
  <si>
    <t>ΕΛΕΑΝΑ</t>
  </si>
  <si>
    <t>ΑΒ807637</t>
  </si>
  <si>
    <t>1255,1</t>
  </si>
  <si>
    <t>1249-1218-1252-1253-1248-1254-1250-1247-1206-1255-1203</t>
  </si>
  <si>
    <t>ΚΑΤΣΟΥΛΙΔΟΥ</t>
  </si>
  <si>
    <t>ΑΗ921977</t>
  </si>
  <si>
    <t>1206-1253-1248-1249-1254-1250-1255</t>
  </si>
  <si>
    <t>ΚΟΝΙΔΑΡΗΣ</t>
  </si>
  <si>
    <t>ΑΜ040462</t>
  </si>
  <si>
    <t>1201-1202-1205-1206-1217-1219-1247-1248-1249-1250-1251-1252-1253-1254-1255-1256-1267</t>
  </si>
  <si>
    <t>ΜΑΓΓΙΡΙΔΟΥ</t>
  </si>
  <si>
    <t>ΑΑ870593</t>
  </si>
  <si>
    <t>1254,8</t>
  </si>
  <si>
    <t>ΠΑΡΙΣΗΣ</t>
  </si>
  <si>
    <t>ΑΗ277530</t>
  </si>
  <si>
    <t>1219-1267-1203-1201-1252-1247-1206-1248-1253-1257-1254-1249-1256-1222-1217-1250-1220-1218-1255-1204-1205-1202-1251-1221-1223</t>
  </si>
  <si>
    <t>ΤΣΙΤΣΩΝΗ</t>
  </si>
  <si>
    <t>ΦΕΒΡΩΝΙΑ</t>
  </si>
  <si>
    <t>Σ890418</t>
  </si>
  <si>
    <t>1201-1202-1204-1203-1205-1206-1217-1218-1219-1220-1221-1222-1223-1247-1248-1249-1250-1251-1252-1253-1254-1255-1256-1267</t>
  </si>
  <si>
    <t>ΜΠΑΖΑΝΗΣ</t>
  </si>
  <si>
    <t>ΑΚ642763</t>
  </si>
  <si>
    <t>1252-1250-1217-1247-1253-1249-1254-1255-1248-1221-1201-1202-1205-1218-1219-1206</t>
  </si>
  <si>
    <t>ΑΗ209714</t>
  </si>
  <si>
    <t>1253,5</t>
  </si>
  <si>
    <t>1206-1249-1250-1253-1254-1255-1256-1247-1248-1251-1252</t>
  </si>
  <si>
    <t>ΣΤΑΓΑΚΗ</t>
  </si>
  <si>
    <t>Χ993568</t>
  </si>
  <si>
    <t>1253,4</t>
  </si>
  <si>
    <t>1202-1205-1248-1250-1255</t>
  </si>
  <si>
    <t>ΜΟΥΚΑ</t>
  </si>
  <si>
    <t>Χ910742</t>
  </si>
  <si>
    <t>1253,3</t>
  </si>
  <si>
    <t>1267-1248-1254-1201-1249-1253-1247-1256-1206-1250-1202-1205</t>
  </si>
  <si>
    <t>ΚΑΤΣΟΥΡΟΥ</t>
  </si>
  <si>
    <t>ΑΜΑΛΙΑ ΠΑΝΑΓΙΩΤΑ</t>
  </si>
  <si>
    <t>ΑΕ932427</t>
  </si>
  <si>
    <t>ΜΗΧΑΝΕΤΖΗ</t>
  </si>
  <si>
    <t>Χ742191</t>
  </si>
  <si>
    <t>1252,9</t>
  </si>
  <si>
    <t>1219-1267-1248-1256-1220-1249</t>
  </si>
  <si>
    <t>ΦΡΑΓΚΟΣ</t>
  </si>
  <si>
    <t>KRISTO</t>
  </si>
  <si>
    <t>Α347918</t>
  </si>
  <si>
    <t>634,7</t>
  </si>
  <si>
    <t>1252,7</t>
  </si>
  <si>
    <t>1217-1247-1248-1221-1250-1267-1205-1202-1203-1219-1218-1223-1204</t>
  </si>
  <si>
    <t>ΣΤΑΣΙΝΟΠΟΥΛΟΥ</t>
  </si>
  <si>
    <t>ΑΕ266256</t>
  </si>
  <si>
    <t>1252,4</t>
  </si>
  <si>
    <t>ΣΑΛΑΜΑΡΑ</t>
  </si>
  <si>
    <t>Φ224439</t>
  </si>
  <si>
    <t>ΦΟΥΚΑ</t>
  </si>
  <si>
    <t>Φ337403</t>
  </si>
  <si>
    <t>1252,1</t>
  </si>
  <si>
    <t>1254-1256-1248-1206-1253-1249-1250-1247</t>
  </si>
  <si>
    <t>ΑΧΡΑΖΟΓΛΟΥ</t>
  </si>
  <si>
    <t>ΑΕ891097</t>
  </si>
  <si>
    <t>1251,7</t>
  </si>
  <si>
    <t>1203-1204-1205-1206-1218-1222-1223-1247-1248-1249-1250-1253-1254-1255-1256-1267</t>
  </si>
  <si>
    <t>ΜΑΡΜΑΡΙΔΗΣ</t>
  </si>
  <si>
    <t>Χ063923</t>
  </si>
  <si>
    <t>1251,5</t>
  </si>
  <si>
    <t>1217-1250-1247-1254-1206-1219-1248-1253-1249</t>
  </si>
  <si>
    <t>ΓΕΡΟΥΔΑ</t>
  </si>
  <si>
    <t>ΑΙ705788</t>
  </si>
  <si>
    <t>1251,1</t>
  </si>
  <si>
    <t>1248-1253-1267-1206</t>
  </si>
  <si>
    <t>ΚΑΨΑΛΗ</t>
  </si>
  <si>
    <t>ΝΙΚΗΤΑΣ</t>
  </si>
  <si>
    <t>ΑΑ012038</t>
  </si>
  <si>
    <t>1205-1255-1206-1202-1247-1267-1248-1254-1249-1253-1250</t>
  </si>
  <si>
    <t>ΔΙΝΟΒΙΤΣ</t>
  </si>
  <si>
    <t>ΑΚ668837</t>
  </si>
  <si>
    <t>1250,7</t>
  </si>
  <si>
    <t>1249-1248-1267-1253-1250-1202-1205-1255-1201-1247-1254-1206-1222</t>
  </si>
  <si>
    <t>ΕΛΕΥΘΕΡΙΟΥ</t>
  </si>
  <si>
    <t>ΑΚ492389</t>
  </si>
  <si>
    <t>1250,6</t>
  </si>
  <si>
    <t>ΒΡΑΚΑΤΟΥ</t>
  </si>
  <si>
    <t>ΑΝ427809</t>
  </si>
  <si>
    <t>1249,5</t>
  </si>
  <si>
    <t>1253-1254-1248-1206-1249-1247-1255-1201</t>
  </si>
  <si>
    <t>ΑΡΓΥΡΟΠΟΥΛΟΥ</t>
  </si>
  <si>
    <t>ΑΖ131926</t>
  </si>
  <si>
    <t>1249,1</t>
  </si>
  <si>
    <t>1247-1250-1254-1248-1206-1253-1255-1256-1267-1249</t>
  </si>
  <si>
    <t>ΣΟΥΛΟΥΤΑΣ</t>
  </si>
  <si>
    <t>ΑΖ536150</t>
  </si>
  <si>
    <t>1248,3</t>
  </si>
  <si>
    <t>1205-1219-1248-1255-1267-1202-1206-1217-1247-1250-1253-1249-1254-1201-1222-1256-1251-1252-1204-1203</t>
  </si>
  <si>
    <t>ΣΕΡΓΑΝΗΣ</t>
  </si>
  <si>
    <t>ΑΕ888408</t>
  </si>
  <si>
    <t>1206-1267-1248-1253-1255-1249-1250-1247-1254</t>
  </si>
  <si>
    <t>ΧΑΛΚΙΑΔΟΥΔΗ</t>
  </si>
  <si>
    <t>ΣΟΥΣΑΝΑ</t>
  </si>
  <si>
    <t>ΑΖ698539</t>
  </si>
  <si>
    <t>1219-1248-1267-1220-1222-1256</t>
  </si>
  <si>
    <t>ΤΣΕΛΙΟΣ</t>
  </si>
  <si>
    <t>ΑΚ981340</t>
  </si>
  <si>
    <t>ΒΡΑΓΚΑΛΗΣ</t>
  </si>
  <si>
    <t>Π943052</t>
  </si>
  <si>
    <t>1203-1252-1201-1249-1219-1253-1256-1217-1218</t>
  </si>
  <si>
    <t>ΚΟΥΡΚΟΥΤΑ</t>
  </si>
  <si>
    <t>Τ242579</t>
  </si>
  <si>
    <t>1247,8</t>
  </si>
  <si>
    <t>1218-1250-1201-1254-1203-1247-1249-1253-1206-1248-1267-1204-1205-1255-1221-1202-1217-1252-1219-1256-1220-1222-1223-1251</t>
  </si>
  <si>
    <t>ΖΕΡΒΟΥ</t>
  </si>
  <si>
    <t>Σ859493</t>
  </si>
  <si>
    <t>1247,1</t>
  </si>
  <si>
    <t>1202-1205-1255-1221-1204-1218-1254-1250-1217-1253-1256-1247-1248-1267-1219-1206-1203-1222-1201-1252-1249-1223-1251-1220</t>
  </si>
  <si>
    <t>Π826153</t>
  </si>
  <si>
    <t>1201-1202-1204-1205-1206-1217-1218-1219-1220-1221-1222-1223-1247-1248-1249-1250-1251-1252-1253-1254-1255-1256-1203-1267</t>
  </si>
  <si>
    <t>ΣΑΡΑΦΗ</t>
  </si>
  <si>
    <t>Χ888745</t>
  </si>
  <si>
    <t>1267-1248-1253-1206-1249-1201-1254-1247-1250-1202-1205-1255-1220-1256-1203-1204-1217-1218-1219-1221-1222-1223-1251-1252</t>
  </si>
  <si>
    <t>ΚΛΙΑΡΗ</t>
  </si>
  <si>
    <t>ΑΙ300560</t>
  </si>
  <si>
    <t>1201-1203-1206-1247-1248-1249-1250-1253-1254-1256</t>
  </si>
  <si>
    <t>ΑΜΟΙΡΙΔΗΣ</t>
  </si>
  <si>
    <t>Χ887113</t>
  </si>
  <si>
    <t>749,1</t>
  </si>
  <si>
    <t>1246,1</t>
  </si>
  <si>
    <t>ΔΙΑΛΛΑ</t>
  </si>
  <si>
    <t>ΑΕ851656</t>
  </si>
  <si>
    <t>1245,2</t>
  </si>
  <si>
    <t>ΧΟΥΤΟΥ</t>
  </si>
  <si>
    <t>ΠΑΡΑΣΚΕΗ</t>
  </si>
  <si>
    <t>ΠΡΟΚΟΠΙΟΣ</t>
  </si>
  <si>
    <t>Φ333738</t>
  </si>
  <si>
    <t>1245,1</t>
  </si>
  <si>
    <t>1201-1255-1267-1205-1202-1249-1247-1253-1256-1254-1248-1250</t>
  </si>
  <si>
    <t>ΜΑΓΚΟΥΡΙΤΣΑ</t>
  </si>
  <si>
    <t>ΑΒ104853</t>
  </si>
  <si>
    <t>1201-1252-1254-1219-1248-1253</t>
  </si>
  <si>
    <t>ΒΕΡΓΟΥ</t>
  </si>
  <si>
    <t>ΑΒ752462</t>
  </si>
  <si>
    <t>1244,9</t>
  </si>
  <si>
    <t>1202-1204-1205-1206-1247-1248-1249-1250-1252-1253-1254-1255-1251-1256-1217-1218-1219-1220-1221-1222-1223</t>
  </si>
  <si>
    <t>ΑΝΔΡΟΥΛΑΚΗ</t>
  </si>
  <si>
    <t>Ξ918541</t>
  </si>
  <si>
    <t>1244,7</t>
  </si>
  <si>
    <t>1205-1255-1206-1247-1248-1249-1250-1253-1254-1256</t>
  </si>
  <si>
    <t>ΠΟΛΥΜΕΡΟΥ</t>
  </si>
  <si>
    <t>ΣΥΝΟΔΗ</t>
  </si>
  <si>
    <t>ΑΙ863299</t>
  </si>
  <si>
    <t>ΜΥΤΙΛΗΝΑΙΟΣ</t>
  </si>
  <si>
    <t>ΑΒ410045</t>
  </si>
  <si>
    <t>1243,6</t>
  </si>
  <si>
    <t>ΣΟΡΟΓΚΑ</t>
  </si>
  <si>
    <t>ΑΙ773240</t>
  </si>
  <si>
    <t>1242,6</t>
  </si>
  <si>
    <t>1249-1248-1219-1201-1206-1247-1217-1250-1253-1254</t>
  </si>
  <si>
    <t>ΚΩΣΤΗ</t>
  </si>
  <si>
    <t>ΑΜ825095</t>
  </si>
  <si>
    <t>1267-1201-1248-1254-1249-1253-1206-1247-1250-1255-1202</t>
  </si>
  <si>
    <t>ΠΡΑΣΣΑ</t>
  </si>
  <si>
    <t>ΓΡΗΓΟΡΗΣ</t>
  </si>
  <si>
    <t>Ρ983254</t>
  </si>
  <si>
    <t>1240,8</t>
  </si>
  <si>
    <t>1254-1252-1247-1248-1249-1250-1251-1255-1256</t>
  </si>
  <si>
    <t>ΚΑΛΑΝΤΖΗ</t>
  </si>
  <si>
    <t>Χ814273</t>
  </si>
  <si>
    <t>1240,4</t>
  </si>
  <si>
    <t>ΓΕΩΡΓΑΤΖΗ</t>
  </si>
  <si>
    <t>ΑΚ765896</t>
  </si>
  <si>
    <t>970,2</t>
  </si>
  <si>
    <t>1240,2</t>
  </si>
  <si>
    <t>1203-1252-1254-1217-1250-1223-1247-1249-1206-1267-1219-1248-1218-1222-1220-1253-1256-1202-1204-1205-1255-1221-1201</t>
  </si>
  <si>
    <t>ΠΑΠΑΚΩΣΤΑ</t>
  </si>
  <si>
    <t>ΠΑΝΑΓΙΩ</t>
  </si>
  <si>
    <t>ΑΜ851639</t>
  </si>
  <si>
    <t>1239,2</t>
  </si>
  <si>
    <t>1249-1253-1255</t>
  </si>
  <si>
    <t>ΤΟΥΡΟΥΝΤΖΑ</t>
  </si>
  <si>
    <t>ΑΕ817264</t>
  </si>
  <si>
    <t>ΑΗ262180</t>
  </si>
  <si>
    <t>1201-1254-1256-1247-1206-1253-1205-1255</t>
  </si>
  <si>
    <t>ΖΛΑΤΑ</t>
  </si>
  <si>
    <t>Χ766857</t>
  </si>
  <si>
    <t>1238,7</t>
  </si>
  <si>
    <t>ΠΑΥΛΟΠΟΥΛΟΥ</t>
  </si>
  <si>
    <t>ΑΖ701973</t>
  </si>
  <si>
    <t>ΚΑΦΦΕ</t>
  </si>
  <si>
    <t>ΞΑΝΘΗ</t>
  </si>
  <si>
    <t>AM 812099</t>
  </si>
  <si>
    <t>1238,3</t>
  </si>
  <si>
    <t>1201-1248</t>
  </si>
  <si>
    <t>Χ377044</t>
  </si>
  <si>
    <t>1203-1201-1267-1248-1219-1253-1254-1247-1249-1256-1220-1206-1217-1250-1222-1202-1218-1204-1205-1255-1221-1251-1223</t>
  </si>
  <si>
    <t>ΑΑ258272</t>
  </si>
  <si>
    <t>1237,9</t>
  </si>
  <si>
    <t>ΦΟΥΖΑ</t>
  </si>
  <si>
    <t>ΑΒ810849</t>
  </si>
  <si>
    <t>ΧΑΤΖΗΤΙΜΟΘΕΟΥ</t>
  </si>
  <si>
    <t>ΑΙ942402</t>
  </si>
  <si>
    <t>1255-1248-1267-1249-1250-1254-1247-1253</t>
  </si>
  <si>
    <t>ΜΑΝΟΥ</t>
  </si>
  <si>
    <t>ΑΗ668715</t>
  </si>
  <si>
    <t>1267-1253-1206-1249-1250-1254-1255</t>
  </si>
  <si>
    <t>ΤΕΛΛΙΔΟΥ</t>
  </si>
  <si>
    <t>ΘΕΟΓΝΩΣΙΑ</t>
  </si>
  <si>
    <t>ΑΒ908070</t>
  </si>
  <si>
    <t>1236,9</t>
  </si>
  <si>
    <t>1206-1267-1248</t>
  </si>
  <si>
    <t>ΠΡΟΜΠΟΝΑ</t>
  </si>
  <si>
    <t>Χ902464</t>
  </si>
  <si>
    <t>1235,7</t>
  </si>
  <si>
    <t>1202-1203-1204-1205-1206-1220-1221-1223-1247-1248-1249-1250-1253-1254-1255-1256</t>
  </si>
  <si>
    <t>ΧΑΤΖΗΠΑΡΑΣΙΔΟΥ</t>
  </si>
  <si>
    <t>ΜΥΡΟΦΟΡΑ</t>
  </si>
  <si>
    <t>ΑΕ481623</t>
  </si>
  <si>
    <t>ΚΟΤΟΥΜΠΑ</t>
  </si>
  <si>
    <t>Τ476428</t>
  </si>
  <si>
    <t>1235,2</t>
  </si>
  <si>
    <t>1206-1247-1248-1249-1250-1253-1254-1255-1267</t>
  </si>
  <si>
    <t>ΠΑΤΕΔΑΚΗΣ</t>
  </si>
  <si>
    <t>ΑΙ957950</t>
  </si>
  <si>
    <t>881,1</t>
  </si>
  <si>
    <t>1235,1</t>
  </si>
  <si>
    <t>1201-1202-1205-1206-1217-1247-1248-1249-1250-1251-1253-1254-1255-1256-1267</t>
  </si>
  <si>
    <t>ΚΙΣΤΟΓΛΙΔΗΣ</t>
  </si>
  <si>
    <t>ΑΙ152450</t>
  </si>
  <si>
    <t>1248-1267-1253-1206-1249-1254-1255-1247</t>
  </si>
  <si>
    <t>ΚΑΖΑΝΤΖΗ</t>
  </si>
  <si>
    <t>ΕΛΕΝΑ</t>
  </si>
  <si>
    <t>ΑΒ883516</t>
  </si>
  <si>
    <t>1218-1250-1247-1267-1204-1205-1255-1202-1221-1253-1203-1201-1206-1249-1254-1248</t>
  </si>
  <si>
    <t>ΧΑΤΖΟΠΟΥΛΟΥ</t>
  </si>
  <si>
    <t>ΑΕ825513</t>
  </si>
  <si>
    <t>1267-1248-1256-1253-1206-1247-1249-1250-1254-1255-1202</t>
  </si>
  <si>
    <t>ΝΕΖΗ</t>
  </si>
  <si>
    <t>ΑΗ307093</t>
  </si>
  <si>
    <t>1256-1253-1249-1248-1220</t>
  </si>
  <si>
    <t>ΚΟΚΙΟΥ</t>
  </si>
  <si>
    <t>ΑΗ793300</t>
  </si>
  <si>
    <t>1233,7</t>
  </si>
  <si>
    <t>1249-1253-1248-1254</t>
  </si>
  <si>
    <t>ΝΙΚΑ</t>
  </si>
  <si>
    <t xml:space="preserve">ΧΑΡΙΚΛΕΙΑ </t>
  </si>
  <si>
    <t>Ν467816</t>
  </si>
  <si>
    <t>ΝΤΙΜΠ</t>
  </si>
  <si>
    <t>Χ122780</t>
  </si>
  <si>
    <t>1232,1</t>
  </si>
  <si>
    <t>1202-1204-1205-1206-1218-1220-1221-1222-1223-1249-1250-1252-1253-1254-1255-1256</t>
  </si>
  <si>
    <t>ΚΟΚΟΝΟΖΗ</t>
  </si>
  <si>
    <t>ΑΝ359728</t>
  </si>
  <si>
    <t>1231,9</t>
  </si>
  <si>
    <t>ΔΕΡΒΙΣΗ</t>
  </si>
  <si>
    <t>ΑΙ811020</t>
  </si>
  <si>
    <t>1231,4</t>
  </si>
  <si>
    <t>1248-1253-1252-1254-1256-1206-1222-1249-1218-1250-1247-1221-1255-1251-1223</t>
  </si>
  <si>
    <t>ΠΟΥΛΙΟΥ</t>
  </si>
  <si>
    <t>ΑΝ314353</t>
  </si>
  <si>
    <t>894,3</t>
  </si>
  <si>
    <t>1230,3</t>
  </si>
  <si>
    <t>1203-1201-1252-1219-1267-1248-1254-1249-1253-1247-1206-1250-1217-1218-1223-1256-1222-1220-1202-1204-1205-1221-1255</t>
  </si>
  <si>
    <t>ΠΕΣΙΟΥ</t>
  </si>
  <si>
    <t>ΑΕ218030</t>
  </si>
  <si>
    <t>1222-1248</t>
  </si>
  <si>
    <t>ΑΣΟΥΜΑΝΑΚΗΣ</t>
  </si>
  <si>
    <t>ΑΗ036362</t>
  </si>
  <si>
    <t>788,7</t>
  </si>
  <si>
    <t>1229,7</t>
  </si>
  <si>
    <t>ΜΑΚΡΥΓΙΑΝΝΗ</t>
  </si>
  <si>
    <t>ΑΚ968771</t>
  </si>
  <si>
    <t>951,5</t>
  </si>
  <si>
    <t>1229,5</t>
  </si>
  <si>
    <t>1203-1201-1267-1219-1254-1253-1256-1248-1222-1249-1206-1223-1218-1250-1217-1247-1255-1205-1202-1204-1221-1251-1252-1220</t>
  </si>
  <si>
    <t>ΣΑΡΑΚΑΤΣΙΑΝΟΣ</t>
  </si>
  <si>
    <t>Χ481397</t>
  </si>
  <si>
    <t>1201-1202-1206-1247-1248-1249-1250-1253-1254-1255-1256-1267</t>
  </si>
  <si>
    <t>Φ497065</t>
  </si>
  <si>
    <t>1228,8</t>
  </si>
  <si>
    <t>1249-1253-1248-1206-1250-1254-1247-1201-1204-1255-1202-1221</t>
  </si>
  <si>
    <t>ΒΑΧΑΝΕΛΙΔΟΥ</t>
  </si>
  <si>
    <t>ΑΜ298636</t>
  </si>
  <si>
    <t>1228,1</t>
  </si>
  <si>
    <t>1203-1218-1252-1221-1217-1223-1206-1219-1248-1253-1254-1201-1251-1247-1267-1249-1202-1205-1255-1250-1256</t>
  </si>
  <si>
    <t>ΜΗΛΙΤΣΗ</t>
  </si>
  <si>
    <t>Τ919286</t>
  </si>
  <si>
    <t>1249-1253-1256-1206-1248-1247-1254-1250-1255</t>
  </si>
  <si>
    <t>ΑΕ203445</t>
  </si>
  <si>
    <t>1227,9</t>
  </si>
  <si>
    <t>1206-1248-1247-1205-1202</t>
  </si>
  <si>
    <t>Χ775274</t>
  </si>
  <si>
    <t>767,8</t>
  </si>
  <si>
    <t>1227,8</t>
  </si>
  <si>
    <t>1219-1248-1217-1250-1201-1249-1206-1253-1254-1256-1247-1202-1205-1255-1221</t>
  </si>
  <si>
    <t>ΝΤΑΛΑΠΕΡΑ</t>
  </si>
  <si>
    <t>ΑΑ753339</t>
  </si>
  <si>
    <t>601,7</t>
  </si>
  <si>
    <t>1226,7</t>
  </si>
  <si>
    <t>1218-1250-1247-1254-1267-1248-1253-1249-1206-1255-1252</t>
  </si>
  <si>
    <t>ΣΤΟΚΑΣ</t>
  </si>
  <si>
    <t>ΑΑ977472</t>
  </si>
  <si>
    <t>1254-1247-1250-1248-1253</t>
  </si>
  <si>
    <t>ΚΥΡΙΑΖΗ</t>
  </si>
  <si>
    <t>Χ865572</t>
  </si>
  <si>
    <t>1225,6</t>
  </si>
  <si>
    <t>1267-1248-1249-1206-1218-1247-1250-1256-1253-1254-1255-1204-1205</t>
  </si>
  <si>
    <t>ΦΕΤΣΗ</t>
  </si>
  <si>
    <t>Ν461338</t>
  </si>
  <si>
    <t>1250-1217-1247-1254-1253-1255-1256-1248-1249-1251-1206-1218-1219-1220-1205-1204-1202-1203-1201</t>
  </si>
  <si>
    <t>ΜΠΟΓΔΑΝΟΣ</t>
  </si>
  <si>
    <t>ΑΚ909914</t>
  </si>
  <si>
    <t>1224,8</t>
  </si>
  <si>
    <t>ΒΑΡΕΛΑ</t>
  </si>
  <si>
    <t>Τ380348</t>
  </si>
  <si>
    <t>1223,6</t>
  </si>
  <si>
    <t>ΤΖΑΝΕΤΟΥ</t>
  </si>
  <si>
    <t>ΑΒ193487</t>
  </si>
  <si>
    <t>1223,3</t>
  </si>
  <si>
    <t>Φ334090</t>
  </si>
  <si>
    <t>1222,5</t>
  </si>
  <si>
    <t>1249-1253-1254-1248-1250-1206-1247-1255-1202-1205</t>
  </si>
  <si>
    <t>ΚΑΡΠΑΘΙΩΤΑΚΗ</t>
  </si>
  <si>
    <t>Φ249766</t>
  </si>
  <si>
    <t>1222,4</t>
  </si>
  <si>
    <t>1202-1255-1248-1247-1250-1201-1206-1249-1253-1254</t>
  </si>
  <si>
    <t>ΑΡΧΙΤΕΚΤΟΝΙΔΟΥ</t>
  </si>
  <si>
    <t>ΑΑ761738</t>
  </si>
  <si>
    <t>1222,1</t>
  </si>
  <si>
    <t>1202-1249-1255-1206-1205-1252-1253-1247-1248-1256-1201</t>
  </si>
  <si>
    <t>ΒΙΟΛΑΚΗ</t>
  </si>
  <si>
    <t>ΑΜ847426</t>
  </si>
  <si>
    <t>1206-1250-1254-1247-1248-1267-1253-1249-1255</t>
  </si>
  <si>
    <t>ΤΖΩΡΤΖΟΥ</t>
  </si>
  <si>
    <t>ΑΑ408928</t>
  </si>
  <si>
    <t>1221,5</t>
  </si>
  <si>
    <t>1249-1253-1248-1256-1267-1206-1254-1201-1202-1203-1204-1205-1218-1221-1222-1223-1247-1250-1255</t>
  </si>
  <si>
    <t>ΚΑΡΥΣΤΙΝΑΙΟΣ-ΕΥΘΥΜΙΑΤΟΣ</t>
  </si>
  <si>
    <t>ΑΒ636844</t>
  </si>
  <si>
    <t>1221,2</t>
  </si>
  <si>
    <t>1250-1247-1255-1205-1202-1221-1254-1201-1267-1206-1248</t>
  </si>
  <si>
    <t>ΦΟΥΚΑΣ</t>
  </si>
  <si>
    <t>Σ507375</t>
  </si>
  <si>
    <t>1219,7</t>
  </si>
  <si>
    <t>1219-1248-1217-1247-1250-1202-1205-1255-1254-1201-1206-1256-1253-1251-1249</t>
  </si>
  <si>
    <t>ΦΛΩΡΟΥ</t>
  </si>
  <si>
    <t>ΑΑ428837</t>
  </si>
  <si>
    <t>1216,9</t>
  </si>
  <si>
    <t>1206-1248-1249-1250-1247-1253</t>
  </si>
  <si>
    <t>ΜΠΟΥΡΗΣ</t>
  </si>
  <si>
    <t>ΑΙ117929</t>
  </si>
  <si>
    <t>1216,1</t>
  </si>
  <si>
    <t>ΔΟΙΚΟΥ</t>
  </si>
  <si>
    <t>Χ378838</t>
  </si>
  <si>
    <t>1214,9</t>
  </si>
  <si>
    <t>ΧΡΥΣΙΝΑΣ</t>
  </si>
  <si>
    <t>ΑΜ510315</t>
  </si>
  <si>
    <t>1214,7</t>
  </si>
  <si>
    <t>1202-1206-1247-1248-1249-1250-1253-1254-1255-1201</t>
  </si>
  <si>
    <t>ΑΛΛΕΓΚΡΕΤΤΙ</t>
  </si>
  <si>
    <t>ΠΑΟΛΑ</t>
  </si>
  <si>
    <t>ΑΝΤΖΕΛΟ</t>
  </si>
  <si>
    <t>ΑΖ706560</t>
  </si>
  <si>
    <t>1214,4</t>
  </si>
  <si>
    <t>1250-1247-1254-1248-1255-1253-1249-1206</t>
  </si>
  <si>
    <t>ΑΛΕΞΑΝΔΡΙΔΟΥ</t>
  </si>
  <si>
    <t>ΑΚ445310</t>
  </si>
  <si>
    <t>1206-1205-1201-1219-1202-1248-1253-1249-1254-1247-1255-1250-1267</t>
  </si>
  <si>
    <t>ΒΑΓΙΑ</t>
  </si>
  <si>
    <t>Φ181390</t>
  </si>
  <si>
    <t>1213,1</t>
  </si>
  <si>
    <t>1201-1205-1206-1217-1219-1247-1248-1249-1250-1251-1253-1254-1255-1256-1267</t>
  </si>
  <si>
    <t>ΛΑΒΑΝΤΣΙΩΤΗΣ</t>
  </si>
  <si>
    <t>ΑΙ285096</t>
  </si>
  <si>
    <t>1212,3</t>
  </si>
  <si>
    <t>ΣΙΟΥΤΚΑ</t>
  </si>
  <si>
    <t>Χ380669</t>
  </si>
  <si>
    <t>1202-1204-1205-1203-1255-1221-1201-1252-1247-1206-1223-1253-1219-1248-1249-1250-1222-1218-1217-1254-1256-1220-1251</t>
  </si>
  <si>
    <t>ΑΗ790472</t>
  </si>
  <si>
    <t>1211,8</t>
  </si>
  <si>
    <t>1249-1253-1222-1206-1219-1248-1252</t>
  </si>
  <si>
    <t>ΓΑΛΑΝΟΠΟΥΛΟΥ</t>
  </si>
  <si>
    <t>ΑΖ272871</t>
  </si>
  <si>
    <t>1209,5</t>
  </si>
  <si>
    <t>1201-1252-1203-1254-1253-1217-1250-1206-1219-1248-1267-1256-1247-1218-1202-1221-1255-1222-1205-1204</t>
  </si>
  <si>
    <t>ΚΑΡΑΜΟΥΤΑΣ</t>
  </si>
  <si>
    <t>ΑΜ441981</t>
  </si>
  <si>
    <t>ΘΩΜΟΠΟΥΛΟΥ</t>
  </si>
  <si>
    <t>Φ041377</t>
  </si>
  <si>
    <t>1208,5</t>
  </si>
  <si>
    <t>ΛΙΑΚΟΥ</t>
  </si>
  <si>
    <t>Χ725691</t>
  </si>
  <si>
    <t>1208,3</t>
  </si>
  <si>
    <t>ΦΕΚΟΣ</t>
  </si>
  <si>
    <t>ΑΕ829993</t>
  </si>
  <si>
    <t>1208,2</t>
  </si>
  <si>
    <t>1256-1255-1253-1254-1247-1248-1249-1250-1251-1252-1223-1222-1221-1220-1219-1218-1217-1206-1205-1204-1203-1202</t>
  </si>
  <si>
    <t>ΠΑΤΣΙΚΑΘΕΟΔΩΡΟΥ</t>
  </si>
  <si>
    <t>ΑΜ370789</t>
  </si>
  <si>
    <t>1207,3</t>
  </si>
  <si>
    <t>1203-1201-1256-1249-1248-1247-1253-1254-1223-1222-1206-1218-1221-1267-1250-1204-1205-1255-1202</t>
  </si>
  <si>
    <t>ΣΤΑΥΡΑΚΑΚΗ</t>
  </si>
  <si>
    <t>ΑΙ513711</t>
  </si>
  <si>
    <t>619,3</t>
  </si>
  <si>
    <t>ΛΟΓΑΡΟΥΔΗ</t>
  </si>
  <si>
    <t>Χ834100</t>
  </si>
  <si>
    <t>1206,8</t>
  </si>
  <si>
    <t>ΣΤΡΑΤΗΛΑΤΗ</t>
  </si>
  <si>
    <t>ΑΝ407947</t>
  </si>
  <si>
    <t>1206,1</t>
  </si>
  <si>
    <t>1206-1222-1219-1248</t>
  </si>
  <si>
    <t>ΠΕΠΕ</t>
  </si>
  <si>
    <t>ΑΙ988044</t>
  </si>
  <si>
    <t>ΛΙΟΛΙΟΥ</t>
  </si>
  <si>
    <t>ΑΕ430170</t>
  </si>
  <si>
    <t>1205,2</t>
  </si>
  <si>
    <t>1251-1206-1205-1202-1255-1249-1217-1267-1248-1256-1250-1254-1253</t>
  </si>
  <si>
    <t>ΝΑΣΤΟΥΛΗΣ</t>
  </si>
  <si>
    <t>Χ362136</t>
  </si>
  <si>
    <t>1204,9</t>
  </si>
  <si>
    <t>ΑΒ868867</t>
  </si>
  <si>
    <t>1201-1206-1249-1253-1256-1248-1267-1254-1250-1247-1255-1202</t>
  </si>
  <si>
    <t>ΚΟΥΝΑΛΑΚΗ</t>
  </si>
  <si>
    <t>Σ414608</t>
  </si>
  <si>
    <t>ΜΠΕΝΕΚΗ</t>
  </si>
  <si>
    <t>ΑΗ783282</t>
  </si>
  <si>
    <t>1201-1248-1206-1247-1249-1250-1253-1254</t>
  </si>
  <si>
    <t>ΠΛΟΥΣΑΚΗ</t>
  </si>
  <si>
    <t>ΑΕ430418</t>
  </si>
  <si>
    <t>1202,8</t>
  </si>
  <si>
    <t>ΣΙΑΜΙΔΟΥ</t>
  </si>
  <si>
    <t>Χ892612</t>
  </si>
  <si>
    <t>1201,9</t>
  </si>
  <si>
    <t>ΤΣΟΛΑΚΗΣ</t>
  </si>
  <si>
    <t>Χ745420</t>
  </si>
  <si>
    <t>774,4</t>
  </si>
  <si>
    <t>1201,4</t>
  </si>
  <si>
    <t>1248-1201-1206-1247-1249-1250-1253-1219-1267</t>
  </si>
  <si>
    <t>ΑΗ938591</t>
  </si>
  <si>
    <t>1199,5</t>
  </si>
  <si>
    <t>1247-1250-1254-1255-1248-1206-1249-1253-1267</t>
  </si>
  <si>
    <t>ΑΝΤΩΝΟΠΟΥΛΟΥ</t>
  </si>
  <si>
    <t>ΑΙ009447</t>
  </si>
  <si>
    <t>1199,1</t>
  </si>
  <si>
    <t>ΠΑΝΑΓΟΠΟΥΛΟΥ</t>
  </si>
  <si>
    <t>Χ288192</t>
  </si>
  <si>
    <t>1198,9</t>
  </si>
  <si>
    <t>1250-1205-1202-1247-1248-1249-1254-1253-1206</t>
  </si>
  <si>
    <t>ΓΚΑΡΓΚΑΣΟΥΛΑ</t>
  </si>
  <si>
    <t xml:space="preserve"> ΑΓΛΑΙΑ</t>
  </si>
  <si>
    <t>Χ898894</t>
  </si>
  <si>
    <t>1197,5</t>
  </si>
  <si>
    <t>ΤΣΟΥΒΕΛΑΚΙΔΟΥ</t>
  </si>
  <si>
    <t>Χ409239</t>
  </si>
  <si>
    <t>1197,3</t>
  </si>
  <si>
    <t>1219-1248-1206</t>
  </si>
  <si>
    <t>ΣΟΥΛΙΟΥ</t>
  </si>
  <si>
    <t>Τ309916</t>
  </si>
  <si>
    <t>1196,8</t>
  </si>
  <si>
    <t>1247-1254-1249</t>
  </si>
  <si>
    <t>ΑΝΑΒΕΝΙΔΟΥ</t>
  </si>
  <si>
    <t>ΘΕΜΙΣΤΟΚΛΗΣ</t>
  </si>
  <si>
    <t>Φ263025</t>
  </si>
  <si>
    <t>1196,6</t>
  </si>
  <si>
    <t>1206-1248-1253-1249-1201-1254-1247-1250-1255-1202</t>
  </si>
  <si>
    <t>ΒΑΡΔΙΚΟΥ</t>
  </si>
  <si>
    <t>Π785762</t>
  </si>
  <si>
    <t>1248-1253-1206</t>
  </si>
  <si>
    <t>ΔΡΑΓΩΓΙΑ</t>
  </si>
  <si>
    <t>Χ892088</t>
  </si>
  <si>
    <t>1194,6</t>
  </si>
  <si>
    <t>Χ290728</t>
  </si>
  <si>
    <t>1206-1218-1247-1248-1249-1250-1252-1267-1256-1205</t>
  </si>
  <si>
    <t>ΑΖ329692</t>
  </si>
  <si>
    <t>1194,4</t>
  </si>
  <si>
    <t>1253-1219-1248-1249</t>
  </si>
  <si>
    <t>ΚΑΡΑΜΠΙΝΗ</t>
  </si>
  <si>
    <t>ΑΚ132355</t>
  </si>
  <si>
    <t>1193,7</t>
  </si>
  <si>
    <t>1247-1250-1254-1201-1206-1248-1253-1255-1202-1205-1249</t>
  </si>
  <si>
    <t>ΡΑΧΜΑΝΗ</t>
  </si>
  <si>
    <t>Φ266613</t>
  </si>
  <si>
    <t>1192,4</t>
  </si>
  <si>
    <t>1201-1254-1219-1248-1267</t>
  </si>
  <si>
    <t>ΛΙΣΓΑΡΑ</t>
  </si>
  <si>
    <t>Ν779776</t>
  </si>
  <si>
    <t>1190,4</t>
  </si>
  <si>
    <t>1201-1206-1250-1253-1254-1256-1255-1252-1202-1205-1247-1248-1249-1222</t>
  </si>
  <si>
    <t>ΑΒ492808</t>
  </si>
  <si>
    <t>1190,3</t>
  </si>
  <si>
    <t>1206-1247-1254-1250-1205-1253-1248-1202-1255-1249</t>
  </si>
  <si>
    <t>ΑΖ859411</t>
  </si>
  <si>
    <t>1190,1</t>
  </si>
  <si>
    <t>1220-1248-1253-1256-1206-1249-1252-1247-1254-1218-1255</t>
  </si>
  <si>
    <t>ΑΔΑΜΑΝΤΙΔΗΣ</t>
  </si>
  <si>
    <t>ΑΑ795765</t>
  </si>
  <si>
    <t>1189,4</t>
  </si>
  <si>
    <t>1206-1248-1249-1253</t>
  </si>
  <si>
    <t>ΑΝΔΡΙΑΝΟΠΟΥΛΟΣ</t>
  </si>
  <si>
    <t>ΧΑΡΑΛΑΜΠΟΣ - ΧΡΗΣΤΟΣ</t>
  </si>
  <si>
    <t>Χ437308</t>
  </si>
  <si>
    <t>1189,3</t>
  </si>
  <si>
    <t>1247-1250-1253-1202-1205-1206-1201-1248-1249-1254-1255-1256-1267</t>
  </si>
  <si>
    <t>ΧΑΛΚΙΑΣ</t>
  </si>
  <si>
    <t>ΑΖ856701</t>
  </si>
  <si>
    <t>1189,2</t>
  </si>
  <si>
    <t>1256-1253-1248-1249-1267</t>
  </si>
  <si>
    <t>ΑΓΓΕΛΟΠΟΥΛΟΣ</t>
  </si>
  <si>
    <t>Χ682297</t>
  </si>
  <si>
    <t>1218-1203-1202-1204-1205-1217-1219-1220-1221-1222-1223-1247-1248-1249-1250-1251-1252-1253-1254</t>
  </si>
  <si>
    <t>ΣΑΧΤΟΥΡΗΣ</t>
  </si>
  <si>
    <t>Χ664065</t>
  </si>
  <si>
    <t>1188,2</t>
  </si>
  <si>
    <t>1205-1202-1221-1217-1247-1250-1255-1206-1201-1219-1248-1254-1253-1267-1249</t>
  </si>
  <si>
    <t>ΞΥΛΟΓΙΑΝΝΗ</t>
  </si>
  <si>
    <t>ΑΖ643275</t>
  </si>
  <si>
    <t>1253-1248-1206-1202-1255-1205-1250-1249-1254-1247-1267</t>
  </si>
  <si>
    <t>ΜΑΣΤΡΟΓΑΛΙΑ</t>
  </si>
  <si>
    <t xml:space="preserve">ΕΥΑΓΓΕΛΟΣ </t>
  </si>
  <si>
    <t>ΑΙ480657</t>
  </si>
  <si>
    <t>1247-1250-1254-1249-1253-1248-1256-1255</t>
  </si>
  <si>
    <t>ΣΤΑΘΟΠΟΥΛΟΥ</t>
  </si>
  <si>
    <t>ΑΙ546200</t>
  </si>
  <si>
    <t>1184,9</t>
  </si>
  <si>
    <t>1255-1251-1202-1204-1205-1221-1223-1250-1217-1218</t>
  </si>
  <si>
    <t>ΑΖ643276</t>
  </si>
  <si>
    <t>1253-1255-1202-1250-1205-1206-1247-1248-1254-1249-1267</t>
  </si>
  <si>
    <t>ΔΕΡΜΕΝΤΖΟΓΛΟΥ</t>
  </si>
  <si>
    <t>ΑΗ164763</t>
  </si>
  <si>
    <t>1183,6</t>
  </si>
  <si>
    <t>1219-1248-1267-1253-1206-1249-1205-1255-1247-1250-1217-1202-1254</t>
  </si>
  <si>
    <t>ΡΕΒΕΝΗΣΙΟΥ</t>
  </si>
  <si>
    <t>Χ874530</t>
  </si>
  <si>
    <t>1182,4</t>
  </si>
  <si>
    <t>1201-1202-1204-1205-1206-1217-1223-1247-1256</t>
  </si>
  <si>
    <t>ΑΔΑΜΑΚΗ</t>
  </si>
  <si>
    <t>ΑΒ868913</t>
  </si>
  <si>
    <t>1248-1267-1249-1222-1206-1256-1255-1253-1254-1250-1247</t>
  </si>
  <si>
    <t>ΓΕΩΡΓΟΥΛΑΚΗ</t>
  </si>
  <si>
    <t>ΑΙ500460</t>
  </si>
  <si>
    <t>1255-1202-1247-1250-1254-1201-1248-1252-1253-1206-1249</t>
  </si>
  <si>
    <t>ΤΟΓΙΑ</t>
  </si>
  <si>
    <t>ΑΑ414710</t>
  </si>
  <si>
    <t>1179,1</t>
  </si>
  <si>
    <t>ΑΙ865918</t>
  </si>
  <si>
    <t>1178,7</t>
  </si>
  <si>
    <t>1201-1248-1267-1249-1254-1253-1247-1250-1206-1256-1202-1205-1255</t>
  </si>
  <si>
    <t>ΠΕΤΡΟΥ</t>
  </si>
  <si>
    <t>ΜΑΡΙΑ ΜΑΡΘΑ</t>
  </si>
  <si>
    <t>ΑΖ286135</t>
  </si>
  <si>
    <t>1178,6</t>
  </si>
  <si>
    <t>1247-1248-1201-1267-1249-1250-1253-1254-1255-1206-1205-1202-1221</t>
  </si>
  <si>
    <t>ΔΟΥΚΑ</t>
  </si>
  <si>
    <t>Χ390571</t>
  </si>
  <si>
    <t>589,6</t>
  </si>
  <si>
    <t>1177,6</t>
  </si>
  <si>
    <t>1247-1248-1256-1253-1254-1249-1250-1206</t>
  </si>
  <si>
    <t>ΓΑΒΡΑΝΙΔΗΣ</t>
  </si>
  <si>
    <t>ΑΕ955912</t>
  </si>
  <si>
    <t>1177,5</t>
  </si>
  <si>
    <t>1201-1252-1220-1219-1203-1256-1250-1253</t>
  </si>
  <si>
    <t>ΚΑΜΕΝΟΥ</t>
  </si>
  <si>
    <t>ΕΛΕΝΗ ΕΥΑΓΓΕΛΙΑ</t>
  </si>
  <si>
    <t>ΑΗ525900</t>
  </si>
  <si>
    <t>1177,3</t>
  </si>
  <si>
    <t>1217-1247</t>
  </si>
  <si>
    <t>Νικολαιδης</t>
  </si>
  <si>
    <t>Ειρηναιος</t>
  </si>
  <si>
    <t>Χρηστος</t>
  </si>
  <si>
    <t>ΑΜ664034</t>
  </si>
  <si>
    <t>1176,6</t>
  </si>
  <si>
    <t>ΖΔΡΑΒΟΥ</t>
  </si>
  <si>
    <t>Χ393166</t>
  </si>
  <si>
    <t>1249-1253-1219-1252</t>
  </si>
  <si>
    <t>ΑΙ700491</t>
  </si>
  <si>
    <t>1175,4</t>
  </si>
  <si>
    <t>1267-1248-1256-1253-1249</t>
  </si>
  <si>
    <t>ΣΕΡΙΑΝΑΙ</t>
  </si>
  <si>
    <t>ΜΙΓΚΕΝΑ</t>
  </si>
  <si>
    <t>ΑΡΤΟΥΡ</t>
  </si>
  <si>
    <t>ΑΙ953770</t>
  </si>
  <si>
    <t>1175,3</t>
  </si>
  <si>
    <t>1205-1206-1247-1248-1249-1250-1251-1252</t>
  </si>
  <si>
    <t>ΧΑΒΕΛΑΣ</t>
  </si>
  <si>
    <t>ΑΕ726606</t>
  </si>
  <si>
    <t>1247-1248-1201-1250-1249-1256-1253-1254-1257-1202-1221-1255</t>
  </si>
  <si>
    <t>ΑΒ413713</t>
  </si>
  <si>
    <t>1174,8</t>
  </si>
  <si>
    <t>1218-1203-1221-1201-1202-1248-1247-1250-1254-1253-1249-1206-1255-1223-1256-1267</t>
  </si>
  <si>
    <t>ΣΤΑΥΡΙΔΟΥ</t>
  </si>
  <si>
    <t>ΑΒ716631</t>
  </si>
  <si>
    <t>1219-1248-1267-1253-1222-1256-1249-1206-1201-1247-1250-1217-1254-1202-1205-1221-1255-1251</t>
  </si>
  <si>
    <t>ΜΠΑΡΑΤΣΑΣ</t>
  </si>
  <si>
    <t>ΑΒ090001</t>
  </si>
  <si>
    <t>1173,1</t>
  </si>
  <si>
    <t>1267-1248-1219-1253-1247-1256-1254-1250-1249-1217-1206-1205-1202-1201-1255-1251</t>
  </si>
  <si>
    <t>ΕΥΔΟΞΟΣ</t>
  </si>
  <si>
    <t>ΑΕ283757</t>
  </si>
  <si>
    <t>1219-1248-1267-1218-1220-1222-1217-1250-1254-1202-1204-1205-1255-1221-1247-1203-1201-1252-1206-1253-1256-1249-1223-1251</t>
  </si>
  <si>
    <t>ΤΕΝΕΚΕΤΖΗΣ</t>
  </si>
  <si>
    <t>ΑΖ341824</t>
  </si>
  <si>
    <t>1172,6</t>
  </si>
  <si>
    <t>1222-1206-1267-1248-1205-1202-1201-1255-1247-1249-1254-1257-1250-1253-1251-1256</t>
  </si>
  <si>
    <t>ΑΛΑΧΟΥΖΟΥ</t>
  </si>
  <si>
    <t>ΝΟΜΙΚΗ</t>
  </si>
  <si>
    <t>Τ071033</t>
  </si>
  <si>
    <t>1172,5</t>
  </si>
  <si>
    <t>1247-1206-1217-1248-1267-1250-1219-1254-1205-1255-1202-1253-1249-1201</t>
  </si>
  <si>
    <t>ΒΑΙΤΣΗΣ</t>
  </si>
  <si>
    <t>ΑΒ853387</t>
  </si>
  <si>
    <t>1172,2</t>
  </si>
  <si>
    <t>1201-1202-1204-1205-1206-1218-1221-1247-1248-1249-1250-1253-1254-1255-1203-1267</t>
  </si>
  <si>
    <t>ΑΚ156795</t>
  </si>
  <si>
    <t>1171,8</t>
  </si>
  <si>
    <t>1250-1254-1247-1218-1248-1267-1253-1249-1206-1255</t>
  </si>
  <si>
    <t>ΧΑΡΑΛΑΜΠΟΥΣ</t>
  </si>
  <si>
    <t>ΑΙ915556</t>
  </si>
  <si>
    <t>ΞΑΡΧΑΚΟΥ</t>
  </si>
  <si>
    <t>Τ133430</t>
  </si>
  <si>
    <t>1170,5</t>
  </si>
  <si>
    <t>1251-1221-1247-1248-1249-1250-1252-1255-1267</t>
  </si>
  <si>
    <t>ΑΝΑΓΝΩΣΤΟΠΟΥΛΟΣ</t>
  </si>
  <si>
    <t>ΑΒ627387</t>
  </si>
  <si>
    <t>1169,5</t>
  </si>
  <si>
    <t>1250-1248-1267-1247-1201</t>
  </si>
  <si>
    <t>ΜΑΝΘΟΣ</t>
  </si>
  <si>
    <t>Σ333842</t>
  </si>
  <si>
    <t>ΔΗΜΗΤΡΙΟΥ</t>
  </si>
  <si>
    <t>ΑΗ142248</t>
  </si>
  <si>
    <t>1166,1</t>
  </si>
  <si>
    <t>1254-1247-1248-1267-1253-1249-1206-1250-1255-1202</t>
  </si>
  <si>
    <t>ΒΟΥΓΙΟΥΚΑΛΑΚΗΣ</t>
  </si>
  <si>
    <t>ΑΗ 205615</t>
  </si>
  <si>
    <t>1165,8</t>
  </si>
  <si>
    <t>1249-1259-1205-1231-1255-1217-1250-1232-1253-1202-1266-1201-1206-1219-1247-1248-1251-1254-1256-1229-1261-1262-1263-1264-1265-1267</t>
  </si>
  <si>
    <t>ΑΜ910800</t>
  </si>
  <si>
    <t>1206-1204-1205-1202-1222-1248-1219-1249-1255</t>
  </si>
  <si>
    <t>ΑΕ820358</t>
  </si>
  <si>
    <t>1161,4</t>
  </si>
  <si>
    <t>1249-1256-1253-1248-1201-1206-1223-1250-1254-1247-1255-1205-1202</t>
  </si>
  <si>
    <t>ΚΗΡΥΚΟΥ</t>
  </si>
  <si>
    <t>ΑΚ342435</t>
  </si>
  <si>
    <t>1161,2</t>
  </si>
  <si>
    <t>1247-1248-1250-1217-1253-1255-1254-1256-1204-1205-1202-1201-1206-1249-1252-1218-1219-1221-1220</t>
  </si>
  <si>
    <t>ΡΕΒΕΝΑ</t>
  </si>
  <si>
    <t>ΑΕ321154</t>
  </si>
  <si>
    <t>1160,8</t>
  </si>
  <si>
    <t>1204-1218-1220-1223-1203-1252-1221-1201-1202-1205-1206-1249-1250-1256-1255-1254-1253</t>
  </si>
  <si>
    <t>ΔΑΛΑΣ</t>
  </si>
  <si>
    <t>ΑΗ896935</t>
  </si>
  <si>
    <t>1160,6</t>
  </si>
  <si>
    <t>1222-1205-1202-1219-1221-1248-1255-1223-1253-1254-1256-1247-1249-1250</t>
  </si>
  <si>
    <t>1160,3</t>
  </si>
  <si>
    <t>1267-1219-1248-1253-1201-1206-1249-1254</t>
  </si>
  <si>
    <t>ΧΑΤΖΑΡΑ</t>
  </si>
  <si>
    <t>Σ920071</t>
  </si>
  <si>
    <t>1159,5</t>
  </si>
  <si>
    <t>1203-1201-1254-1223-1248-1249-1253-1206-1256-1218-1250-1247-1255-1205-1204-1202-1221</t>
  </si>
  <si>
    <t>ΜΠΟΥΖΙΚΑ</t>
  </si>
  <si>
    <t>ΑΑ789859</t>
  </si>
  <si>
    <t>925,1</t>
  </si>
  <si>
    <t>1159,1</t>
  </si>
  <si>
    <t>1250-1217-1218-1202-1252-1201-1205-1219-1254-1206-1247-1248-1249-1253-1255-1267-1222-1251-1256</t>
  </si>
  <si>
    <t>ΤΣΟΥΠΑ</t>
  </si>
  <si>
    <t>ΑΙ333128</t>
  </si>
  <si>
    <t>639,1</t>
  </si>
  <si>
    <t>1248-1219-1249-1206-1253-1247-1218-1254-1217-1255-1204-1205-1202-1220-1203-1222-1223-1251-1256</t>
  </si>
  <si>
    <t>ΚΩΣΤΑΚΗΣ</t>
  </si>
  <si>
    <t>ΑΡΗΣ-ΠΑΝΑΓΙΩΤΗΣ</t>
  </si>
  <si>
    <t>ΑΙ319768</t>
  </si>
  <si>
    <t>1158,3</t>
  </si>
  <si>
    <t>ΜΟΥΔΟΥΡΗ</t>
  </si>
  <si>
    <t>ΑΑ307009</t>
  </si>
  <si>
    <t>1157,9</t>
  </si>
  <si>
    <t>1218-1201-1250</t>
  </si>
  <si>
    <t>ΜΑΝΔΗΛΑ</t>
  </si>
  <si>
    <t>ΑΕ793360</t>
  </si>
  <si>
    <t>658,9</t>
  </si>
  <si>
    <t>1221-1255-1205-1201-1247-1202-1253-1206-1254-1267-1248-1250-1249</t>
  </si>
  <si>
    <t>ΑΥΓΕΡΙΝΟΥ</t>
  </si>
  <si>
    <t>ΠΕΡΣΕΦΟΝΗ</t>
  </si>
  <si>
    <t>ΑΑ322868</t>
  </si>
  <si>
    <t>1156,5</t>
  </si>
  <si>
    <t>1202-1205-1206-1219-1247-1248-1249-1250-1253-1254-1255-1267-1201</t>
  </si>
  <si>
    <t>ΚΑΤΣΑΔΟΥΡΑΣ</t>
  </si>
  <si>
    <t>Χ983489</t>
  </si>
  <si>
    <t>1254-1252-1218-1247-1203-1217-1250-1255-1205-1204-1221-1206-1202</t>
  </si>
  <si>
    <t>ΤΣΙΓΑΡΑΣ</t>
  </si>
  <si>
    <t>ΑΒ490105</t>
  </si>
  <si>
    <t>1155,7</t>
  </si>
  <si>
    <t>1254-1201-1247-1267-1248-1250-1206-1249-1253-1256-1255-1205-1202-1218-1223-1222</t>
  </si>
  <si>
    <t>ΤΣΑΡΛΙΚΗ</t>
  </si>
  <si>
    <t>ΑΗ800209</t>
  </si>
  <si>
    <t>1249-1256-1248-1222-1206-1253</t>
  </si>
  <si>
    <t>ΑΚ987231</t>
  </si>
  <si>
    <t>1154,2</t>
  </si>
  <si>
    <t>1256-1253-1248-1206-1249-1247-1250-1255-1254</t>
  </si>
  <si>
    <t>ΚΡΗΤΙΔΟΥ</t>
  </si>
  <si>
    <t>Π956131</t>
  </si>
  <si>
    <t>1253-1256-1249-1248</t>
  </si>
  <si>
    <t>ΑΗ709030</t>
  </si>
  <si>
    <t>1151,1</t>
  </si>
  <si>
    <t>1219-1221-1222-1223-1217-1247-1248-1249-1250-1252-1253-1254-1255-1256</t>
  </si>
  <si>
    <t>ΠΑΡΠΟΥΤΖΙΔΟΥ</t>
  </si>
  <si>
    <t>Χ751028</t>
  </si>
  <si>
    <t>1150,9</t>
  </si>
  <si>
    <t>1219-1248-1267-1253-1249-1206-1201-1203-1252-1204-1205-1202-1217-1218-1221-1247-1250-1255-1254</t>
  </si>
  <si>
    <t>ΣΑΚΟΓΛΟΥ</t>
  </si>
  <si>
    <t>ΑΕ814544</t>
  </si>
  <si>
    <t>1150,8</t>
  </si>
  <si>
    <t>1205-1202-1255-1249-1253-1248-1219-1267-1201-1206-1217-1218-1222-1247-1254-1250-1256-1251</t>
  </si>
  <si>
    <t>ΚΑΡΑΜΑΝΛΗΣ</t>
  </si>
  <si>
    <t>ΑΑ229808</t>
  </si>
  <si>
    <t>1150,7</t>
  </si>
  <si>
    <t>1219-1248-1267-1253-1206-1249-1201-1202-1205-1247-1255</t>
  </si>
  <si>
    <t>Χ574046</t>
  </si>
  <si>
    <t>1205-1255-1254-1202-1247-1250-1201</t>
  </si>
  <si>
    <t>ΔΕΣΚΑΤΑ</t>
  </si>
  <si>
    <t>ΑΒ422716</t>
  </si>
  <si>
    <t>1149,8</t>
  </si>
  <si>
    <t>1255-1254-1253-1256-1249-1267-1248-1247-1250-1206</t>
  </si>
  <si>
    <t>ΚΑΡΑΓΑΤΣΟΣ</t>
  </si>
  <si>
    <t>ΑΙ999281</t>
  </si>
  <si>
    <t>910,8</t>
  </si>
  <si>
    <t>1148,8</t>
  </si>
  <si>
    <t>1254-1252-1219-1206-1222-1221-1223-1255-1256-1247-1248-1249-1250-1251</t>
  </si>
  <si>
    <t>ΓΙΟΥΒΑΝΑΚΗ</t>
  </si>
  <si>
    <t>ΑΖ163500</t>
  </si>
  <si>
    <t>1148,4</t>
  </si>
  <si>
    <t>1219-1267-1248-1220-1222-1253-1256</t>
  </si>
  <si>
    <t>ΜΙΧΕΑ</t>
  </si>
  <si>
    <t>ΑΙ328571</t>
  </si>
  <si>
    <t>1148,3</t>
  </si>
  <si>
    <t>1248-1253-1206-1247-1249-1255-1252-1254-1250-1256</t>
  </si>
  <si>
    <t>ΔΡΟΥΓΓΟΣ</t>
  </si>
  <si>
    <t>ΑΚ276631</t>
  </si>
  <si>
    <t>1147,7</t>
  </si>
  <si>
    <t>1255-1206-1253-1249-1267-1248-1254-1247-1250</t>
  </si>
  <si>
    <t>Φ276807</t>
  </si>
  <si>
    <t>1147,2</t>
  </si>
  <si>
    <t>ΞΟΥΦΛΑΚΗΣ</t>
  </si>
  <si>
    <t>ΑΕ698333</t>
  </si>
  <si>
    <t>ΚΑΡΑΛΙΔΟΥ</t>
  </si>
  <si>
    <t>Φ315143</t>
  </si>
  <si>
    <t>1146,3</t>
  </si>
  <si>
    <t>1202-1206-1221-1247-1248-1249-1250-1253-1254-1255-1267</t>
  </si>
  <si>
    <t>ΚΑΤΩΤΙΚΙΔΗ</t>
  </si>
  <si>
    <t>Φ329239</t>
  </si>
  <si>
    <t>1145,7</t>
  </si>
  <si>
    <t>1222-1219-1248-1206-1255-1205-1217-1250-1253-1249-1201-1254-1247-1251-1202</t>
  </si>
  <si>
    <t>ΚΑΤΣΟΥΛΙΔΗ</t>
  </si>
  <si>
    <t>ΑΕ757208</t>
  </si>
  <si>
    <t>1145,1</t>
  </si>
  <si>
    <t>1249-1201-1253-1254-1248-1250-1247-1206-1205-1202-1255-1256-1251</t>
  </si>
  <si>
    <t>Αβαγιανου</t>
  </si>
  <si>
    <t>Ευστρατια</t>
  </si>
  <si>
    <t>Γεωργιος</t>
  </si>
  <si>
    <t>ΑΑ437524</t>
  </si>
  <si>
    <t>ΤΣΑΝΗΣ</t>
  </si>
  <si>
    <t>Χ378520</t>
  </si>
  <si>
    <t>751,3</t>
  </si>
  <si>
    <t>1143,3</t>
  </si>
  <si>
    <t>1249-1253-1206-1248-1247-1250-1254-1252-1255-1267-1218</t>
  </si>
  <si>
    <t>ΓΚΙΜΟΥΡΤΖΙΝΑΣ</t>
  </si>
  <si>
    <t>ΑΒ863256</t>
  </si>
  <si>
    <t>ΜΑΝΔΕΧΟΥ</t>
  </si>
  <si>
    <t>ΑΒ908074</t>
  </si>
  <si>
    <t>830,5</t>
  </si>
  <si>
    <t>1142,5</t>
  </si>
  <si>
    <t>1206-1222-1219-1248-1249-1223-1220-1256-1202-1204-1205-1201-1217-1218-1221-1247-1250-1251-1252-1253-1254-1255</t>
  </si>
  <si>
    <t>ΤΣΑΚΙΡΙΔΗΣ</t>
  </si>
  <si>
    <t>ΑΙ323987</t>
  </si>
  <si>
    <t>1249-1253-1248-1206-1255-1247-1250-1254</t>
  </si>
  <si>
    <t>ΒΑΣΙΛΕΙΑΔΗ</t>
  </si>
  <si>
    <t>ΑΖ227816</t>
  </si>
  <si>
    <t>1140,4</t>
  </si>
  <si>
    <t>ΣΟΥΛΤΑΝΗ</t>
  </si>
  <si>
    <t>ΑΕ379098</t>
  </si>
  <si>
    <t>1139,6</t>
  </si>
  <si>
    <t>ΤΑΒΟΥΛΑΡΕΑ</t>
  </si>
  <si>
    <t>ΑΜ767360</t>
  </si>
  <si>
    <t>1069,2</t>
  </si>
  <si>
    <t>1139,2</t>
  </si>
  <si>
    <t>1247-1217-1250-1255-1205-1202-1219-1248-1253-1256-1254-1206-1249-1251-1201</t>
  </si>
  <si>
    <t>ΜΠΑΡΑ</t>
  </si>
  <si>
    <t>ΕΛΕΝΗ ΕΛΠΙΔΑ</t>
  </si>
  <si>
    <t>Τ988441</t>
  </si>
  <si>
    <t>1138,8</t>
  </si>
  <si>
    <t>1201-1254-1249-1248-1267-1247-1253-1250-1206-1221-1255-1202-1205</t>
  </si>
  <si>
    <t>ΤΑΤΣΙΟΣ</t>
  </si>
  <si>
    <t>Τ407844</t>
  </si>
  <si>
    <t>1203-1204-1206-1202-1205-1217-1218-1219-1220-1221-1222-1223-1267-1247-1248-1249-1250-1251-1252-1253-1254-1255-1256</t>
  </si>
  <si>
    <t>ΧΑΛΙΚΟΠΟΥΛΟΥ</t>
  </si>
  <si>
    <t>ΑΝ986584</t>
  </si>
  <si>
    <t>1138,7</t>
  </si>
  <si>
    <t>ΤΕΡΖΗΣ</t>
  </si>
  <si>
    <t>ΑΚ445913</t>
  </si>
  <si>
    <t>1138,1</t>
  </si>
  <si>
    <t>1206-1251-1223-1249-1254-1255-1250-1217-1218-1221</t>
  </si>
  <si>
    <t>ΦΑΜΕΛΛΟΥ</t>
  </si>
  <si>
    <t>ΑΙ770583</t>
  </si>
  <si>
    <t>1137,4</t>
  </si>
  <si>
    <t>1250-1247-1217-1254-1201-1202-1248-1205-1255-1249-1253-1206-1251-1256</t>
  </si>
  <si>
    <t>ΓΑΤΗ</t>
  </si>
  <si>
    <t>ΕΛΛΗ</t>
  </si>
  <si>
    <t>ΑΗ999999</t>
  </si>
  <si>
    <t>1137,3</t>
  </si>
  <si>
    <t>1201-1202-1254-1250-1253-1249-1255-1206-1205</t>
  </si>
  <si>
    <t>ΜΟΣΧΟΜΑΓΚΑ</t>
  </si>
  <si>
    <t>ΑΚ923954</t>
  </si>
  <si>
    <t>1136,8</t>
  </si>
  <si>
    <t>ΜΑΝΟΥΣΑΚΗΣ</t>
  </si>
  <si>
    <t>ΧΑΡΑΛΑΜΠΟΣ-ΑΝΤΩΝΙΟΣ</t>
  </si>
  <si>
    <t>ΑΙ121876</t>
  </si>
  <si>
    <t>ΑΝΔΡΙΤΣΑΚΗ</t>
  </si>
  <si>
    <t>Τ968001</t>
  </si>
  <si>
    <t>1135,2</t>
  </si>
  <si>
    <t>1206-1267-1253-1248-1247-1249-1250</t>
  </si>
  <si>
    <t>ΓΕΩΡΓΙΑ ΕΛΕΝΑ</t>
  </si>
  <si>
    <t>Χ408624</t>
  </si>
  <si>
    <t>1134,7</t>
  </si>
  <si>
    <t>1201-1248-1249-1253-1254</t>
  </si>
  <si>
    <t>ΖΑΜΠΟΥΝΗ</t>
  </si>
  <si>
    <t>ΑΖ832552</t>
  </si>
  <si>
    <t>1267-1206-1247-1248-1249-1250-1253-1254-1255</t>
  </si>
  <si>
    <t>ΕΥΔΟΚΙΑ</t>
  </si>
  <si>
    <t>ΑΑ870213</t>
  </si>
  <si>
    <t>1133,9</t>
  </si>
  <si>
    <t>1248-1253-1254-1249-1206-1201-1255</t>
  </si>
  <si>
    <t>ΓΚΑΝΑ</t>
  </si>
  <si>
    <t>Σ380553</t>
  </si>
  <si>
    <t>1133,4</t>
  </si>
  <si>
    <t>1249-1267-1248-1206-1250-1247-1253-1254-1201-1255-1205-1202-1256</t>
  </si>
  <si>
    <t>ΚΑΡΑΜΠΕΡΗ</t>
  </si>
  <si>
    <t>ΑΕ028706</t>
  </si>
  <si>
    <t>1133,2</t>
  </si>
  <si>
    <t>1250-1201-1248-1205-1255-1247-1202-1253-1206-1249-1254-1256</t>
  </si>
  <si>
    <t>ΦΕΛΕΚΗ</t>
  </si>
  <si>
    <t>Χ472794</t>
  </si>
  <si>
    <t>1131,2</t>
  </si>
  <si>
    <t>1222-1217-1219-1220-1221-1223-1247-1248-1249-1250-1251-1252-1253-1254-1255-1256-1267-1202-1203-1204-1205-1206</t>
  </si>
  <si>
    <t>ΦΥΤΟΠΟΥΛΟΥ</t>
  </si>
  <si>
    <t xml:space="preserve">ΛΑΖΑΡΟΣ </t>
  </si>
  <si>
    <t>ΑΗ819939</t>
  </si>
  <si>
    <t>1247-1201-1253-1249-1206-1248-1202-1255-1254</t>
  </si>
  <si>
    <t>ΚΑΤΙΚΑΡΙΔΟΥ</t>
  </si>
  <si>
    <t>Ρ363591</t>
  </si>
  <si>
    <t>1130,7</t>
  </si>
  <si>
    <t>1201-1202-1205-1206-1247-1248-1250-1253-1254-1255</t>
  </si>
  <si>
    <t>ΦΟΥΝΤΖΟΥΛΑ</t>
  </si>
  <si>
    <t>ΑΕ241771</t>
  </si>
  <si>
    <t>1129,8</t>
  </si>
  <si>
    <t>1201-1202-1204-1203-1206-1254-1217-1219-1250-1251-1248-1247-1249-1253-1255-1256</t>
  </si>
  <si>
    <t>ΤΑΡΑΝΤΙΛΗ</t>
  </si>
  <si>
    <t>Χ283190</t>
  </si>
  <si>
    <t>1129,6</t>
  </si>
  <si>
    <t>ΣΤΕΡΚΟΥΔΗ</t>
  </si>
  <si>
    <t>ΑΖ710355</t>
  </si>
  <si>
    <t>1127,8</t>
  </si>
  <si>
    <t>1250-1201-1202-1206-1249-1253-1254-1255-1205-1247-1248</t>
  </si>
  <si>
    <t>ΘΕΟΔΩΡΑΚΟΠΟΥΛΟΥ</t>
  </si>
  <si>
    <t>ΑΒ402459</t>
  </si>
  <si>
    <t>1201-1254-1206-1249-1247-1250-1253-1248-1205-1255-1202</t>
  </si>
  <si>
    <t>ΖΗΚΟΥ</t>
  </si>
  <si>
    <t>ΑΙ870742</t>
  </si>
  <si>
    <t>1127,7</t>
  </si>
  <si>
    <t>1249-1253-1256-1201-1248-1222-1206-1254-1247-1250</t>
  </si>
  <si>
    <t>ΑΘΑΝΑΣΟΠΟΥΛΟΥ</t>
  </si>
  <si>
    <t>ΑΒ779373</t>
  </si>
  <si>
    <t>1127,1</t>
  </si>
  <si>
    <t>1250-1247-1254-1255-1248-1267-1253-1206</t>
  </si>
  <si>
    <t>ΑΒ380472</t>
  </si>
  <si>
    <t>1125,8</t>
  </si>
  <si>
    <t>1250-1254-1247-1249-1253-1256-1248-1255</t>
  </si>
  <si>
    <t>ΑΒ933651</t>
  </si>
  <si>
    <t>1125,7</t>
  </si>
  <si>
    <t>1251-1206-1248-1201</t>
  </si>
  <si>
    <t>ΣΙΝΑΠΗΣ</t>
  </si>
  <si>
    <t>ΑΙ343396</t>
  </si>
  <si>
    <t>1256-1253-1249-1248-1206</t>
  </si>
  <si>
    <t>ΜΟΝΑΣΤΗΡΛΗ</t>
  </si>
  <si>
    <t>ΣΤΑΜΑΤΙΑ ΣΟΦΙΑ</t>
  </si>
  <si>
    <t>ΑΕ377832</t>
  </si>
  <si>
    <t>1119,9</t>
  </si>
  <si>
    <t>1222-1206-1248-1256-1253-1249-1254-1247-1250-1218-1255</t>
  </si>
  <si>
    <t>ΠΑΡΑΣΚΕΥΑΔΑΚΗ</t>
  </si>
  <si>
    <t>ΑΒ967526</t>
  </si>
  <si>
    <t>1119,2</t>
  </si>
  <si>
    <t>1250-1247-1217</t>
  </si>
  <si>
    <t>ΣΙΝΗΣ</t>
  </si>
  <si>
    <t>ΑΕ583423</t>
  </si>
  <si>
    <t>1119,1</t>
  </si>
  <si>
    <t>1202-1203-1204-1205-1206-1217-1218-1219-1220-1221-1222-1223-1247-1248-1249-1250-1252-1253-1254-1255</t>
  </si>
  <si>
    <t>ΑΡΑΜΠΑΤΖΗ</t>
  </si>
  <si>
    <t>Χ386938</t>
  </si>
  <si>
    <t>1206-1248-1267-1256-1253-1249-1201-1247-1254-1202-1250-1255-1205</t>
  </si>
  <si>
    <t>ΖΕΥΓΑΡΑ</t>
  </si>
  <si>
    <t>ΣΤΕΡΓIANH</t>
  </si>
  <si>
    <t>ΑΜ389413</t>
  </si>
  <si>
    <t>1201-1254-1267-1247-1250-1206-1253-1248-1249-1255-1202</t>
  </si>
  <si>
    <t>ΚΟΝΤΟΓΕΩΡΓΟΣ</t>
  </si>
  <si>
    <t>ΑΜ484748</t>
  </si>
  <si>
    <t>1118,9</t>
  </si>
  <si>
    <t>1254-1247-1201-1217-1250-1255-1202-1248-1219-1206</t>
  </si>
  <si>
    <t>ΜΑΡΚΗΣΙΑ</t>
  </si>
  <si>
    <t>Φ316488</t>
  </si>
  <si>
    <t>1118,6</t>
  </si>
  <si>
    <t>1256-1206-1253-1248-1201-1249-1247-1254-1255-1205-1202-1250</t>
  </si>
  <si>
    <t>ΓΙΑΝΝΑΚΙΔΟΥ</t>
  </si>
  <si>
    <t>ΘΕΟΧΑΡΟΥΛΑ</t>
  </si>
  <si>
    <t>ΑΖ906189</t>
  </si>
  <si>
    <t>1206-1248-1267-1253-1249-1252-1203-1201-1247-1254-1250-1218-1202-1221-1205-1255</t>
  </si>
  <si>
    <t>ΜΑΜΟΥΛΗ</t>
  </si>
  <si>
    <t>Χ919266</t>
  </si>
  <si>
    <t>1114,3</t>
  </si>
  <si>
    <t>ΠΑΝΑΓΑΡΗ</t>
  </si>
  <si>
    <t>Χ336454</t>
  </si>
  <si>
    <t>1114,1</t>
  </si>
  <si>
    <t>1248-1255-1206-1250-1254-1247-1249-1253</t>
  </si>
  <si>
    <t>ΜΟΥΡΟΥΦΑ</t>
  </si>
  <si>
    <t xml:space="preserve">ΕΛΕΝΗ </t>
  </si>
  <si>
    <t>Τ963130</t>
  </si>
  <si>
    <t>1113,4</t>
  </si>
  <si>
    <t>1201-1206-1247-1253-1254-1255-1256-1202-1248-1249-1250</t>
  </si>
  <si>
    <t>ΒΑΚΑΛΟΥΛΗΣ</t>
  </si>
  <si>
    <t>ΑΚ965058</t>
  </si>
  <si>
    <t>1248-1247-1206-1202-1201-1205</t>
  </si>
  <si>
    <t>ΧΡΙΣΤΝΑ</t>
  </si>
  <si>
    <t>ΑΗ476513</t>
  </si>
  <si>
    <t>1112,1</t>
  </si>
  <si>
    <t>1202-1201-1203-1204-1220-1252-1222-1223-1218-1217-1221-1247-1248-1255-1253-1267-1256-1205-1206-1249-1254-1250-1219</t>
  </si>
  <si>
    <t>ΜΟΥΓΙΟΥ</t>
  </si>
  <si>
    <t>Τ420604</t>
  </si>
  <si>
    <t>Κέκη</t>
  </si>
  <si>
    <t xml:space="preserve">Γιαννούλα </t>
  </si>
  <si>
    <t>ΑΒ075508</t>
  </si>
  <si>
    <t>ΣΦΕΝΔΩΝΗ</t>
  </si>
  <si>
    <t>1108,7</t>
  </si>
  <si>
    <t>1249-1222-1253-1219-1248-1201-1252-1256-1220-1204-1205-1255-1223-1221-1206-1247-1218-1202-1203-1251</t>
  </si>
  <si>
    <t>ΒΡΕΤΤΟΣ</t>
  </si>
  <si>
    <t>Χ326218</t>
  </si>
  <si>
    <t>1108,3</t>
  </si>
  <si>
    <t>1247-1250-1254-1248-1267-1255-1206</t>
  </si>
  <si>
    <t>ΤΕΓΟΥ</t>
  </si>
  <si>
    <t>ΑΕ335157</t>
  </si>
  <si>
    <t>1249-1248-1253-1206-1254-1247-1250-1202-1256-1204-1205</t>
  </si>
  <si>
    <t>ΑΕ234595</t>
  </si>
  <si>
    <t>1106,5</t>
  </si>
  <si>
    <t>1250-1254-1247-1248-1253-1256-1206-1249-1267-1255-1202</t>
  </si>
  <si>
    <t>ΝΑΚΟΥ</t>
  </si>
  <si>
    <t>ΑΗ221411</t>
  </si>
  <si>
    <t>1106,1</t>
  </si>
  <si>
    <t>1218-1217-1219-1223-1247-1248-1250-1254</t>
  </si>
  <si>
    <t>ΓΚΟΥΒΡΑ</t>
  </si>
  <si>
    <t>Τ235859</t>
  </si>
  <si>
    <t>1105,4</t>
  </si>
  <si>
    <t>1218-1250-1254-1247-1249-1253-1248-1206-1255-1267-1256</t>
  </si>
  <si>
    <t>ΣΑΡΓΙΩΤΗ</t>
  </si>
  <si>
    <t>Φ334137</t>
  </si>
  <si>
    <t>1105,1</t>
  </si>
  <si>
    <t>1202-1204-1206-1247-1248-1249-1250-1253-1254-1255-1201-1267</t>
  </si>
  <si>
    <t>ΛΟΓΔΑΝΙΔΟΥ</t>
  </si>
  <si>
    <t>ΑΚ982970</t>
  </si>
  <si>
    <t>1104,1</t>
  </si>
  <si>
    <t>1249-1267-1248-1219-1253-1206-1205-1202-1201-1250-1217-1254-1256</t>
  </si>
  <si>
    <t>ΠΑΝΟΥ</t>
  </si>
  <si>
    <t>Χ761821</t>
  </si>
  <si>
    <t>ΤΣΙΑΡΤΑ</t>
  </si>
  <si>
    <t>ΑΒ110632</t>
  </si>
  <si>
    <t>1103,8</t>
  </si>
  <si>
    <t>ΚΙΩΚΑΚΗ</t>
  </si>
  <si>
    <t>ΑΜ402326</t>
  </si>
  <si>
    <t>1103,3</t>
  </si>
  <si>
    <t>1249-1256-1253-1248-1201-1206</t>
  </si>
  <si>
    <t>ΝΤΑΦΟΠΟΥΛΟΥ</t>
  </si>
  <si>
    <t>Ρ348557</t>
  </si>
  <si>
    <t>1102,6</t>
  </si>
  <si>
    <t>1201-1202-1205-1206-1219-1217-1247-1248-1249-1250-1253-1254-1255-1267-1222-1251-1256</t>
  </si>
  <si>
    <t>ΣΒΙΡΟΥ</t>
  </si>
  <si>
    <t>ΑΒ868456</t>
  </si>
  <si>
    <t>1102,5</t>
  </si>
  <si>
    <t>1255-1254-1253-1250-1249-1248-1247-1219-1218-1217-1206-1205-1204-1203-1202</t>
  </si>
  <si>
    <t>ΠΑΠΑΤΣΙΜΟΥΛΗ</t>
  </si>
  <si>
    <t>Χ892315</t>
  </si>
  <si>
    <t>1249-1253-1256-1219-1252</t>
  </si>
  <si>
    <t>ΑΜ417245</t>
  </si>
  <si>
    <t>1101,6</t>
  </si>
  <si>
    <t>1253-1248-1219-1267-1249-1206-1203-1202-1204-1205-1255-1221-1247-1201</t>
  </si>
  <si>
    <t>ΙΩΑΚΕΙΜΙΔΟΥ</t>
  </si>
  <si>
    <t>ΝΕΟΦΥΤΟΣ</t>
  </si>
  <si>
    <t>ΑΒ703031</t>
  </si>
  <si>
    <t>1267-1248-1253-1256-1206-1249-1255-1205-1202-1247-1250-1252-1254</t>
  </si>
  <si>
    <t>ΠΑΡΑΣΧΟΠΟΥΛΟΥ</t>
  </si>
  <si>
    <t>Σ579202</t>
  </si>
  <si>
    <t>1096,8</t>
  </si>
  <si>
    <t>1250-1247-1249-1248</t>
  </si>
  <si>
    <t>ΚΟΥΡΚΟΥΤΑΚΗ</t>
  </si>
  <si>
    <t>ΕΛΠΙΔΑ</t>
  </si>
  <si>
    <t>ΑΒ972698</t>
  </si>
  <si>
    <t>1096,3</t>
  </si>
  <si>
    <t>1255-1204-1205-1221-1202-1219-1217-1250-1247-1206-1252-1254-1253-1249-1203-1218-1248</t>
  </si>
  <si>
    <t>ΝΑΤΚΑΝΙΕΤΣ</t>
  </si>
  <si>
    <t>ΕΝΤΙΤΑ ΝΤΟΡΟΤΑ</t>
  </si>
  <si>
    <t>ΑΔΑΜ</t>
  </si>
  <si>
    <t>ΑUΝ703496</t>
  </si>
  <si>
    <t>1095,7</t>
  </si>
  <si>
    <t>ΤΣΙΝΤΖΗΡΑΣ</t>
  </si>
  <si>
    <t>ΑΗ575645</t>
  </si>
  <si>
    <t>1095,6</t>
  </si>
  <si>
    <t>1250-1247-1248-1267</t>
  </si>
  <si>
    <t>ΝΑΚΟΣ</t>
  </si>
  <si>
    <t>Χ861182</t>
  </si>
  <si>
    <t>1219-1248-1249-1254-1204-1206-1217-1218-1247-1222-1250-1253-1256-1255-1223-1221-1202</t>
  </si>
  <si>
    <t>ΑΜ366079</t>
  </si>
  <si>
    <t>1093,7</t>
  </si>
  <si>
    <t>1201-1267-1219-1248-1249-1206-1253-1254-1256-1205-1255-1202-1247-1217-1250</t>
  </si>
  <si>
    <t>ΣΚΑΡΑ</t>
  </si>
  <si>
    <t>ΑΒ092788</t>
  </si>
  <si>
    <t>1092,6</t>
  </si>
  <si>
    <t>1249-1248-1267-1201-1253-1250-1247-1206-1254-1202-1205-1255</t>
  </si>
  <si>
    <t>ΠΛΑΤΙΔΗΣ</t>
  </si>
  <si>
    <t>Χ449098</t>
  </si>
  <si>
    <t>1256-1253-1267-1206-1248</t>
  </si>
  <si>
    <t>ΤΣΑΓΚΑΛΙΔΟΥ</t>
  </si>
  <si>
    <t>ΑΝ701200</t>
  </si>
  <si>
    <t>Σ870049</t>
  </si>
  <si>
    <t>1247-1217-1219-1248-1249-1253-1254-1256-1267-1206-1205-1202-1201-1250-1251-1255</t>
  </si>
  <si>
    <t>ΓΡΑΒΙΑΣ</t>
  </si>
  <si>
    <t>ΑΑ975033</t>
  </si>
  <si>
    <t>1091,7</t>
  </si>
  <si>
    <t>1254-1248-1247</t>
  </si>
  <si>
    <t>ΠΙΣΤΑ</t>
  </si>
  <si>
    <t>Χ306027</t>
  </si>
  <si>
    <t>1090,8</t>
  </si>
  <si>
    <t>1250-1254-1253-1255-1247-1206-1205-1202-1201-1248-1249</t>
  </si>
  <si>
    <t>ΜΠΑΚΑΛΗ</t>
  </si>
  <si>
    <t>ΑΒ870255</t>
  </si>
  <si>
    <t>1256-1253-1249-1248-1267-1219</t>
  </si>
  <si>
    <t>ΜΩΥΣΗΣ</t>
  </si>
  <si>
    <t>ΑΙ227245</t>
  </si>
  <si>
    <t>1088,6</t>
  </si>
  <si>
    <t>1218-1250-1254-1201-1203-1253-1249-1248-1206</t>
  </si>
  <si>
    <t>ΑΡΤΕΜΙΣ</t>
  </si>
  <si>
    <t>ΑΒ161199</t>
  </si>
  <si>
    <t>1087,9</t>
  </si>
  <si>
    <t>1248-1267-1206</t>
  </si>
  <si>
    <t>ΕΥΚΑΡΠΙΔΗΣ</t>
  </si>
  <si>
    <t>ΑΒ919613</t>
  </si>
  <si>
    <t>856,9</t>
  </si>
  <si>
    <t>1086,9</t>
  </si>
  <si>
    <t>1248-1206-1202-1253-1255-1249-1205-1250-1254-1201-1247-1267-1256</t>
  </si>
  <si>
    <t>ΔΑΟΥΛΑΡΗ</t>
  </si>
  <si>
    <t>ΑΜ749378</t>
  </si>
  <si>
    <t>1247-1250-1254-1206-1201-1253-1256-1202-1205-1255</t>
  </si>
  <si>
    <t>ΑΠΟΙΚΟΥ</t>
  </si>
  <si>
    <t>ΑΚ994629</t>
  </si>
  <si>
    <t>1086,6</t>
  </si>
  <si>
    <t>1248-1267-1253-1256-1220-1206</t>
  </si>
  <si>
    <t>ΚΑΡΟΥΜΠΑ</t>
  </si>
  <si>
    <t>ΑΚ430905</t>
  </si>
  <si>
    <t>916,3</t>
  </si>
  <si>
    <t>1086,3</t>
  </si>
  <si>
    <t>1218-1222-1202-1205-1201-1206-1253-1254-1250-1249-1247-1255-1248-1256-1267</t>
  </si>
  <si>
    <t>ΤΣΙΜΠΟΥ</t>
  </si>
  <si>
    <t>Σ394998</t>
  </si>
  <si>
    <t>1086,2</t>
  </si>
  <si>
    <t>ΜΑΓΚΟΥΣΟΧΑΤΖΑΚΗ</t>
  </si>
  <si>
    <t>Σ424102</t>
  </si>
  <si>
    <t>1202-1221-1204-1205-1250-1247-1248-1249-1255-1267-1253-1201</t>
  </si>
  <si>
    <t>ΜΑΝΤΖΙΑΡΑΣ</t>
  </si>
  <si>
    <t>ΑΜ844391</t>
  </si>
  <si>
    <t>1085,2</t>
  </si>
  <si>
    <t>1201-1253-1254-1249-1267-1248-1247-1206-1255-1205-1202-1250</t>
  </si>
  <si>
    <t>ΦΙΔΑΝΗ</t>
  </si>
  <si>
    <t>Χ742438</t>
  </si>
  <si>
    <t>ΒΛΑΧΟΥ</t>
  </si>
  <si>
    <t>ΑΗ291593</t>
  </si>
  <si>
    <t>1083,6</t>
  </si>
  <si>
    <t>1253-1249-1256-1248-1247-1250-1255-1254-1251-1252-1219-1223-1217-1221-1267-1205-1204-1202-1206-1203</t>
  </si>
  <si>
    <t>ΤΣΑΓΚΑΡΟΠΟΥΛΟΣ</t>
  </si>
  <si>
    <t>ΑΖ399848</t>
  </si>
  <si>
    <t>1083,4</t>
  </si>
  <si>
    <t>1206-1219-1267-1222-1248-1220-1256-1253-1201-1252-1249-1223-1254-1247-1204-1205-1221-1255-1202-1203-1250-1217-1218-1251</t>
  </si>
  <si>
    <t>ΒΛΑΧΟΚΥΡΙΑΚΟΥ</t>
  </si>
  <si>
    <t>ΑΒ405006</t>
  </si>
  <si>
    <t>1083,1</t>
  </si>
  <si>
    <t>ΜΠΟΜΠΟΛΑΚΗΣ</t>
  </si>
  <si>
    <t>Σ499521</t>
  </si>
  <si>
    <t>1205-1255-1202-1247-1250-1248-1267-1201-1206-1256-1254-1253-1249</t>
  </si>
  <si>
    <t>ΚΡΟΣΤΑΛΛΗΣ</t>
  </si>
  <si>
    <t>Χ891143</t>
  </si>
  <si>
    <t>1081,4</t>
  </si>
  <si>
    <t>1249-1248-1253-1206-1250-1251-1247-1254-1255-1256</t>
  </si>
  <si>
    <t>ΑΝ909032</t>
  </si>
  <si>
    <t>1081,1</t>
  </si>
  <si>
    <t>ΠΑΤΡΙΝΟΥ</t>
  </si>
  <si>
    <t>Ρ475512</t>
  </si>
  <si>
    <t>1254-1250-1247-1248-1249-1253-1255</t>
  </si>
  <si>
    <t>ΚΑΛΟΓΙΑΝΝΗ</t>
  </si>
  <si>
    <t>ΑΒ080163</t>
  </si>
  <si>
    <t>1079,6</t>
  </si>
  <si>
    <t>1217-1250-1247-1254-1219-1248-1201-1249-1253-1255-1202-1206</t>
  </si>
  <si>
    <t>ΒΑΡΔΗ</t>
  </si>
  <si>
    <t>Τ030463</t>
  </si>
  <si>
    <t>ΡΑΜΜΟΥ</t>
  </si>
  <si>
    <t>Ξ686517</t>
  </si>
  <si>
    <t>1249-1253-1219-1248-1203-1256-1220-1252-1254-1206-1247-1218-1222-1217-1204-1202</t>
  </si>
  <si>
    <t>ΜΑΤΕΑ</t>
  </si>
  <si>
    <t>Φ493441</t>
  </si>
  <si>
    <t>1222-1267-1201-1202-1204-1205-1206-1217-1218-1219-1220-1221-1223-1247-1248-1249-1250-1251-1252-1253-1254-1255-1256</t>
  </si>
  <si>
    <t>Π980510</t>
  </si>
  <si>
    <t>1248-1249-1206-1247-1250-1222-1223</t>
  </si>
  <si>
    <t>ΛΑΖΑΡΙΔΗ</t>
  </si>
  <si>
    <t>Χ876698</t>
  </si>
  <si>
    <t>888,8</t>
  </si>
  <si>
    <t>1077,8</t>
  </si>
  <si>
    <t>1201-1202-1206-1217-1219-1247-1248-1249-1250-1251-1253-1254-1255-1256-1267</t>
  </si>
  <si>
    <t>ΚΟΥΤΡΟΥΜΠΑ</t>
  </si>
  <si>
    <t>ΑΜ351323</t>
  </si>
  <si>
    <t>1248-1267-1202-1201-1206-1247-1249-1250-1253-1254-1256-1255-1205-1252-1251-1218-1203-1204-1217-1219-1220-1221-1222-1223</t>
  </si>
  <si>
    <t>ΔΑΥΡΗ</t>
  </si>
  <si>
    <t>ΑΑ789263</t>
  </si>
  <si>
    <t>1077,7</t>
  </si>
  <si>
    <t>ΚΙΤΣΙΟΥ</t>
  </si>
  <si>
    <t>Χ910282</t>
  </si>
  <si>
    <t>1077,4</t>
  </si>
  <si>
    <t>1254-1247-1250-1248-1267</t>
  </si>
  <si>
    <t>ΛΑΓΟΓΙΑΝΝΗ</t>
  </si>
  <si>
    <t>ΑΑ072289</t>
  </si>
  <si>
    <t>1247-1250-1248-1255-1202</t>
  </si>
  <si>
    <t>ΞΑΝΘΟΠΟΥΛΟΥ</t>
  </si>
  <si>
    <t>ΑΖ824724</t>
  </si>
  <si>
    <t>1253-1248-1249</t>
  </si>
  <si>
    <t>ΜΑΓΙΑΦΑΣ</t>
  </si>
  <si>
    <t>ΑΚ329566</t>
  </si>
  <si>
    <t>1267-1248-1255-1253-1249-1206-1254-1247-1250-1256</t>
  </si>
  <si>
    <t>Χ009276</t>
  </si>
  <si>
    <t>1076,2</t>
  </si>
  <si>
    <t>ΑΓΓΕΛΗΣ</t>
  </si>
  <si>
    <t>Χ982853</t>
  </si>
  <si>
    <t>1075,6</t>
  </si>
  <si>
    <t>1254-1255-1256-1253-1267-1203-1202-1204-1205-1206-1218-1221-1223-1247-1248-1249-1250</t>
  </si>
  <si>
    <t>ΠΙΠΙΛΑ</t>
  </si>
  <si>
    <t>Χ409843</t>
  </si>
  <si>
    <t>1074,3</t>
  </si>
  <si>
    <t>ΦΩΤΟΠΟΥΛΟΣ</t>
  </si>
  <si>
    <t>ΑΗ734277</t>
  </si>
  <si>
    <t>1073,2</t>
  </si>
  <si>
    <t>1250-1202-1203-1221-1255-1204-1205-1254-1218-1267-1201-1223-1206-1249-1253-1256</t>
  </si>
  <si>
    <t>ΓΚΡΕΚΟΣ</t>
  </si>
  <si>
    <t>Χ977412</t>
  </si>
  <si>
    <t>1072,2</t>
  </si>
  <si>
    <t>1201-1219-1217-1254-1247-1250-1249-1248-1206-1253-1202-1205-1255</t>
  </si>
  <si>
    <t>ΑΗ730153</t>
  </si>
  <si>
    <t>1071,7</t>
  </si>
  <si>
    <t>1267-1202-1205-1206-1247-1248-1249-1250-1253-1254-1255-1256</t>
  </si>
  <si>
    <t>ΚΟΚΟΖΙΔΟΥ</t>
  </si>
  <si>
    <t>ΒΕΡΑ</t>
  </si>
  <si>
    <t>Χ760250</t>
  </si>
  <si>
    <t>1071,2</t>
  </si>
  <si>
    <t>1249-1253-1201-1206</t>
  </si>
  <si>
    <t>ΣΤΙΒΑΝΑΚΗ</t>
  </si>
  <si>
    <t>Π994185</t>
  </si>
  <si>
    <t>1255-1247-1250-1254-1206-1248-1267-1253-1249</t>
  </si>
  <si>
    <t>ΚΑΡΑΝΤΩΝΗ</t>
  </si>
  <si>
    <t>ΔΗΜΗΤΡΑ ΧΑΡΑ</t>
  </si>
  <si>
    <t>ΑΕ867512</t>
  </si>
  <si>
    <t>1068,1</t>
  </si>
  <si>
    <t>1219-1267-1206-1248-1201-1253-1249-1254-1255-1205-1221-1202-1250-1247-1217-1256</t>
  </si>
  <si>
    <t xml:space="preserve">Παπαϊωάννου </t>
  </si>
  <si>
    <t>Βασιλικη</t>
  </si>
  <si>
    <t xml:space="preserve">Ευάγγελος </t>
  </si>
  <si>
    <t>ΑΕ343226</t>
  </si>
  <si>
    <t>1249-1256-1206-1253-1248-1267-1254-1247-1205-1255-1204</t>
  </si>
  <si>
    <t>ΣΤΑΜΑΤΟΠΟΥΛΟΣ</t>
  </si>
  <si>
    <t>ΑΝΑΣΤΑΣΗΣ</t>
  </si>
  <si>
    <t>ΑΙ405861</t>
  </si>
  <si>
    <t>1067,7</t>
  </si>
  <si>
    <t>1206-1219-1248-1253-1256-1254-1201-1249-1247-1250-1217-1202-1255-1251</t>
  </si>
  <si>
    <t>ΛΙΑΠΑΤΗΣ</t>
  </si>
  <si>
    <t>Χ863275</t>
  </si>
  <si>
    <t>1067,5</t>
  </si>
  <si>
    <t>1202-1203-1204-1205-1206-1247-1248-1249-1250-1251-1252-1253-1254-1255-1256</t>
  </si>
  <si>
    <t>ΡΟΒΥΘΑΚΗ</t>
  </si>
  <si>
    <t>ΑΜ453840</t>
  </si>
  <si>
    <t>1067,2</t>
  </si>
  <si>
    <t>1202-1205-1255-1221-1248-1249-1247-1250-1253-1256-1206-1267-1254-1201</t>
  </si>
  <si>
    <t>ΑΥΓΕΡΗΣ</t>
  </si>
  <si>
    <t>Χ362404</t>
  </si>
  <si>
    <t>1066,8</t>
  </si>
  <si>
    <t>1219-1267-1248-1222-1217-1250-1249-1203-1247-1220-1253-1256-1251-1223-1252-1218-1206-1254-1204-1205-1255-1221</t>
  </si>
  <si>
    <t>ΣΑΡΤΖΕΤΑΚΗ</t>
  </si>
  <si>
    <t>Χ995907</t>
  </si>
  <si>
    <t>1065,8</t>
  </si>
  <si>
    <t>1255-1205-1202-1221-1248-1201-1247-1253-1254-1206-1250-1249-1222-1256</t>
  </si>
  <si>
    <t>ΠΑΠΑΛΕΟΝΤΗΣ</t>
  </si>
  <si>
    <t>ΑΙ360605</t>
  </si>
  <si>
    <t>1065,2</t>
  </si>
  <si>
    <t>1220-1206-1217-1218-1219-1223-1247-1248-1249-1250-1251-1252-1253-1254-1255-1256</t>
  </si>
  <si>
    <t>ΚΟΝΤΟΒΑ</t>
  </si>
  <si>
    <t>Φ301814</t>
  </si>
  <si>
    <t>1064,4</t>
  </si>
  <si>
    <t>ΣΑΜΑΝΔΗ</t>
  </si>
  <si>
    <t>ΠΑΣΧΑΛΙΝΑ</t>
  </si>
  <si>
    <t>ΑΒ442202</t>
  </si>
  <si>
    <t>1064,2</t>
  </si>
  <si>
    <t>1219-1248-1267-1253-1206-1249-1201-1254-1247-1217-1250-1202-1255-1205-1256-1220-1222-1203-1252-1218-1204-1221-1223-1251</t>
  </si>
  <si>
    <t>ΠΟΥΛΙΑΝΙΤΗ</t>
  </si>
  <si>
    <t>ΑΙ296526</t>
  </si>
  <si>
    <t>1064,1</t>
  </si>
  <si>
    <t>1201-1219-1248-1206-1254-1249-1253-1217-1250-1247</t>
  </si>
  <si>
    <t>ΦΡΑΝΤΖΕΣΚΑΚΗ</t>
  </si>
  <si>
    <t xml:space="preserve">ΝΙΚΗ </t>
  </si>
  <si>
    <t>Χ496963</t>
  </si>
  <si>
    <t>1063,8</t>
  </si>
  <si>
    <t>ΑΖ798170</t>
  </si>
  <si>
    <t>1063,2</t>
  </si>
  <si>
    <t>1219-1248-1267-1249-1253-1252-1201-1203-1206-1254-1202-1204-1205-1255-1221-1218-1217-1250-1247-1222</t>
  </si>
  <si>
    <t>ΑΖ744979</t>
  </si>
  <si>
    <t>1248-1267-1247-1206-1255-1253-1254-1256-1250-1249-1252-1201</t>
  </si>
  <si>
    <t>ΣΥΛΕΟΥΝΗ</t>
  </si>
  <si>
    <t>ΑΗ785843</t>
  </si>
  <si>
    <t>1062,9</t>
  </si>
  <si>
    <t>1201-1254-1247-1267-1253-1249-1206-1250-1248-1255-1205-1202-1222-1256</t>
  </si>
  <si>
    <t>ΤΣΟΥΡΑΛΑΚΗ</t>
  </si>
  <si>
    <t>ΑΕ665099</t>
  </si>
  <si>
    <t>1062,4</t>
  </si>
  <si>
    <t>ΣΤΕΛΛΑ-ΜΑΡΙΑ</t>
  </si>
  <si>
    <t>Ρ710352</t>
  </si>
  <si>
    <t>1248-1247-1253-1206-1249-1250-1254-1202-1205-1221-1255</t>
  </si>
  <si>
    <t>ΑΙ488000</t>
  </si>
  <si>
    <t>1061,7</t>
  </si>
  <si>
    <t>ΓΙΑΝΝΟΥΛΑ</t>
  </si>
  <si>
    <t>ΑΒ545349</t>
  </si>
  <si>
    <t>1059,9</t>
  </si>
  <si>
    <t>1206-1204-1205-1255-1202-1203-1249-1250-1253-1254-1256-1221-1218-1223-1219-1201</t>
  </si>
  <si>
    <t>ΜΑΥΡΟΘΑΛΑΣΣΙΤΗΣ</t>
  </si>
  <si>
    <t>ΑΖ944052</t>
  </si>
  <si>
    <t>1059,2</t>
  </si>
  <si>
    <t>1202-1255-1205-1247-1248-1250-1253-1201-1254-1206-1249</t>
  </si>
  <si>
    <t>ΜΑΡΓΩΜΕΝΟΥ</t>
  </si>
  <si>
    <t>Τ305462</t>
  </si>
  <si>
    <t>ΚΟΥΝΤΑΣ</t>
  </si>
  <si>
    <t>Χ868719</t>
  </si>
  <si>
    <t>1058,3</t>
  </si>
  <si>
    <t>1206-1267-1255-1204-1203-1202-1221-1248-1247-1249-1250</t>
  </si>
  <si>
    <t>Κογιωνου</t>
  </si>
  <si>
    <t>Χρυσοβαλαντου-Ειρηνη</t>
  </si>
  <si>
    <t>Νικολαος</t>
  </si>
  <si>
    <t>Ρ984573</t>
  </si>
  <si>
    <t>ΙΣΤΡΟΣ</t>
  </si>
  <si>
    <t>ΑΚ767811</t>
  </si>
  <si>
    <t>1253-1219-1248-1250-1217-1247-1254-1201-1249-1206-1202-1205-1255</t>
  </si>
  <si>
    <t>ΤΑΦΑ</t>
  </si>
  <si>
    <t>ΑΖ390234</t>
  </si>
  <si>
    <t>1206-1248-1267-1247-1249-1250-1253-1254-1219-1218-1217-1202-1252-1203</t>
  </si>
  <si>
    <t>ΚΕΡΑΜΗΔΑΣ</t>
  </si>
  <si>
    <t>ΑΝ118516</t>
  </si>
  <si>
    <t>ΡΑΣΙΔΑΚΗ</t>
  </si>
  <si>
    <t>ΕΥΜΟΡΦΙΑ</t>
  </si>
  <si>
    <t>ΑΙ155320</t>
  </si>
  <si>
    <t>1051,8</t>
  </si>
  <si>
    <t>ΠΛΟΥΜΗ</t>
  </si>
  <si>
    <t>ΜΑΡΙΑ ΠΑΡΑΣΚΕΥΗ</t>
  </si>
  <si>
    <t>ΑΖ971170</t>
  </si>
  <si>
    <t>1051,7</t>
  </si>
  <si>
    <t>1205-1267-1217-1255-1202-1219-1252-1248-1201-1206-1250-1247-1249-1254-1253</t>
  </si>
  <si>
    <t>ΗΛΙΑΔΟΥ</t>
  </si>
  <si>
    <t>Τ307698</t>
  </si>
  <si>
    <t>ΑΙ840921</t>
  </si>
  <si>
    <t>1256-1201-1255-1202-1205-1206-1248-1249-1247-1253-1254-1250</t>
  </si>
  <si>
    <t>ΣΑΓΙΑΤΣΗ</t>
  </si>
  <si>
    <t>ΑΗ298355</t>
  </si>
  <si>
    <t>1049,4</t>
  </si>
  <si>
    <t>1218-1219-1221-1253-1247-1248-1249-1252</t>
  </si>
  <si>
    <t>Τ222184</t>
  </si>
  <si>
    <t>640,2</t>
  </si>
  <si>
    <t>1048,2</t>
  </si>
  <si>
    <t>ΓΕΡΟΔΗΜΟΣ</t>
  </si>
  <si>
    <t>ΑΜ654538</t>
  </si>
  <si>
    <t>1048,1</t>
  </si>
  <si>
    <t>ΤΑΝΤΣΗ</t>
  </si>
  <si>
    <t>ΑΥΓΟΥΣΤΑ</t>
  </si>
  <si>
    <t>ΑΗ808209</t>
  </si>
  <si>
    <t>1047,9</t>
  </si>
  <si>
    <t>1256-1253-1267-1206-1249</t>
  </si>
  <si>
    <t>ΜΗΤΡΟΠΟΥΛΟΥ</t>
  </si>
  <si>
    <t>Χ342764</t>
  </si>
  <si>
    <t>1202-1203-1204-1205-1206-1217-1218-1219-1220-1222-1223-1253-1254-1256-1247-1248-1249-1250-1251-1252</t>
  </si>
  <si>
    <t>ΚΟΡΟΒΕΣΗΣ</t>
  </si>
  <si>
    <t>ΑΝ139286</t>
  </si>
  <si>
    <t>1047,7</t>
  </si>
  <si>
    <t>1247-1250-1254-1255-1217-1248</t>
  </si>
  <si>
    <t>ΚΩΣΤΑΡΕΛΟΥ</t>
  </si>
  <si>
    <t>Φ265436</t>
  </si>
  <si>
    <t>1047,4</t>
  </si>
  <si>
    <t>1202-1206-1247-1248-1249-1250-1253-1254-1255</t>
  </si>
  <si>
    <t>ΛΙΑΝΤΑΣ</t>
  </si>
  <si>
    <t>Χ761747</t>
  </si>
  <si>
    <t>1047,3</t>
  </si>
  <si>
    <t>1248-1219-1222-1202-1203-1204-1205-1206-1217-1218-1220-1221-1223-1247-1249-1250-1251-1252-1253-1254-1255-1256</t>
  </si>
  <si>
    <t>ΜΗΤΡΟΥΣΗ</t>
  </si>
  <si>
    <t>Ρ457687</t>
  </si>
  <si>
    <t>1222-1206-1248-1253-1205-1255-1202-1247-1201-1249-1217-1250-1254</t>
  </si>
  <si>
    <t>ΠΑΠΑΔΑΚΗ</t>
  </si>
  <si>
    <t>Χ979150</t>
  </si>
  <si>
    <t>1046,8</t>
  </si>
  <si>
    <t>1201-1248-1219-1223-1255-1252-1220-1267-1205-1247-1202-1217-1206-1221-1254-1204-1249-1222-1256-1203-1253-1218-1251</t>
  </si>
  <si>
    <t>ΠΟΥΛΤΣΙΔΗ</t>
  </si>
  <si>
    <t>ΑΜ161042</t>
  </si>
  <si>
    <t>1045,3</t>
  </si>
  <si>
    <t>1201-1253-1206-1248-1249-1256-1254-1250-1247-1255-1202-1205</t>
  </si>
  <si>
    <t>ΣΤΕΦΑΝΙΔΗΣ</t>
  </si>
  <si>
    <t>ΑΒ608335</t>
  </si>
  <si>
    <t>1042,7</t>
  </si>
  <si>
    <t>ΑΕ801197</t>
  </si>
  <si>
    <t>1042,6</t>
  </si>
  <si>
    <t>1201-1206-1249-1254-1219-1248-1253-1256-1218-1205-1255-1202</t>
  </si>
  <si>
    <t>Ρ872131</t>
  </si>
  <si>
    <t>1249-1253-1248</t>
  </si>
  <si>
    <t>ΑΒ074201</t>
  </si>
  <si>
    <t>ΑΝΑΓΝΩΣΤΑΚΗΣ</t>
  </si>
  <si>
    <t>Χ835052</t>
  </si>
  <si>
    <t>1039,8</t>
  </si>
  <si>
    <t>1254-1247-1217-1250-1202-1205-1255-1219-1248-1267-1253-1249-1206-1256-1251</t>
  </si>
  <si>
    <t>ΘΥΜΑΡΑ</t>
  </si>
  <si>
    <t>Χ120216</t>
  </si>
  <si>
    <t>1039,7</t>
  </si>
  <si>
    <t>1250-1247-1217-1204-1205-1202-1248-1255-1206-1267-1201-1219-1221-1252-1251-1203-1249-1253-1254-1256-1223</t>
  </si>
  <si>
    <t>ΜΠΑΔΑ</t>
  </si>
  <si>
    <t>ΑΗ658597</t>
  </si>
  <si>
    <t>1038,1</t>
  </si>
  <si>
    <t>1256-1253-1219-1267-1249</t>
  </si>
  <si>
    <t>ΠΑΛΑΜΙΩΤΗ</t>
  </si>
  <si>
    <t>ΑΖ784307</t>
  </si>
  <si>
    <t>1037,3</t>
  </si>
  <si>
    <t>1201-1254-1248-1247-1206-1249-1253-1250-1205-1255-1202</t>
  </si>
  <si>
    <t>ΑΛΕΞΙΑΔΟΥ</t>
  </si>
  <si>
    <t>ΑΒ433877</t>
  </si>
  <si>
    <t>1249-1253-1248-1267-1206-1254-1250-1247-1255-1219-1252-1217-1204-1205-1221-1202</t>
  </si>
  <si>
    <t>ΦΑΝΑΡΙΤΗ</t>
  </si>
  <si>
    <t>ΑΑ327113</t>
  </si>
  <si>
    <t>ΚΑΤΗ</t>
  </si>
  <si>
    <t>ΑΙ838662</t>
  </si>
  <si>
    <t>1036,9</t>
  </si>
  <si>
    <t>1205-1257-1267-1255-1202-1206-1247-1248-1249-1250-1253-1256-1203</t>
  </si>
  <si>
    <t>ΓΟΥΣΗ</t>
  </si>
  <si>
    <t>ΑΒ549920</t>
  </si>
  <si>
    <t>1034,5</t>
  </si>
  <si>
    <t>ΧΑΤΖΗΜΙΧΑΛΗ</t>
  </si>
  <si>
    <t>ΑΒ122283</t>
  </si>
  <si>
    <t>1222-1206-1248-1267-1253-1249-1254-1247-1255</t>
  </si>
  <si>
    <t>ΓΑΛΑΝΟΠΟΥΛΟΣ</t>
  </si>
  <si>
    <t>ΣΑΡΑΝΤΗΣ</t>
  </si>
  <si>
    <t>ΑΗ408899</t>
  </si>
  <si>
    <t>1206-1248-1249-1254-1253-1247-1255-1250-1222-1256</t>
  </si>
  <si>
    <t>ΣΩΤΗΡΑΣ</t>
  </si>
  <si>
    <t>Ρ378179</t>
  </si>
  <si>
    <t>1032,9</t>
  </si>
  <si>
    <t>ΣΚΟΥΡΑΣ</t>
  </si>
  <si>
    <t>ΑΑ025844</t>
  </si>
  <si>
    <t>1032,6</t>
  </si>
  <si>
    <t>ΤΣΑΝΤΗΛΑ</t>
  </si>
  <si>
    <t>ΕΛΙΣΑΒΕΤ ΙΖΑΜΠΕΛΑ</t>
  </si>
  <si>
    <t>ΑΕ515672</t>
  </si>
  <si>
    <t>1032,5</t>
  </si>
  <si>
    <t>ΓΚΙΖΑ</t>
  </si>
  <si>
    <t>ΑΖ742238</t>
  </si>
  <si>
    <t>1248-1249-1253-1206-1201-1250-1254-1255-1243-1205-1202-1267-1256</t>
  </si>
  <si>
    <t>Χ411108</t>
  </si>
  <si>
    <t>ΤΑΜΠΑΚΗ</t>
  </si>
  <si>
    <t>ΑΕ344464</t>
  </si>
  <si>
    <t>1031,6</t>
  </si>
  <si>
    <t>1219-1217-1251-1249-1248-1247-1206-1205-1202-1255-1253-1254-1201-1256-1267</t>
  </si>
  <si>
    <t>ΣΟΒΙΣΛΗΣ</t>
  </si>
  <si>
    <t>ΑΑ479396</t>
  </si>
  <si>
    <t>1030,9</t>
  </si>
  <si>
    <t>1249-1253-1256-1206-1248-1255-1247-1250-1254</t>
  </si>
  <si>
    <t>ΣΤΑΜΠΟΥΛΙΔΟΥ</t>
  </si>
  <si>
    <t>Σ385236</t>
  </si>
  <si>
    <t>1253-1267-1206-1201-1249-1254-1247-1250-1221-1255-1202-1205-1248-1203-1218</t>
  </si>
  <si>
    <t>ΣΕΠΙΑΔΟΥ</t>
  </si>
  <si>
    <t>ΑΑ256564</t>
  </si>
  <si>
    <t>1029,4</t>
  </si>
  <si>
    <t>1219-1267-1248-1206</t>
  </si>
  <si>
    <t>ΑΖ830712</t>
  </si>
  <si>
    <t>1028,6</t>
  </si>
  <si>
    <t>1253-1256-1248-1219-1205-1204</t>
  </si>
  <si>
    <t>ΜΙΝΤΖΙΒΗΡΗ</t>
  </si>
  <si>
    <t>Χ982836</t>
  </si>
  <si>
    <t>1027,4</t>
  </si>
  <si>
    <t>1254-1247-1248-1250-1206-1253-1249-1255</t>
  </si>
  <si>
    <t>ΛΥΤΗΣ</t>
  </si>
  <si>
    <t>ΑΚ497108</t>
  </si>
  <si>
    <t>1027,2</t>
  </si>
  <si>
    <t>1247-1250-1217-1254-1201-1248-1267-1219-1253-1256-1249-1206-1205-1202-1255-1251</t>
  </si>
  <si>
    <t>ΣΟΥΛΙΩΤΑΚΗΣ</t>
  </si>
  <si>
    <t>ΑΜ461055</t>
  </si>
  <si>
    <t>647,9</t>
  </si>
  <si>
    <t>1025,9</t>
  </si>
  <si>
    <t>1202-1204-1205-1255-1221-1219-1248-1267-1206-1252-1201-1251-1254-1220-1249-1218-1203-1247-1222-1217-1250-1223-1253-1256</t>
  </si>
  <si>
    <t>ΛΟΥΤΣΟΣΤΑΘΗ</t>
  </si>
  <si>
    <t>ΑΒ495105</t>
  </si>
  <si>
    <t>1025,6</t>
  </si>
  <si>
    <t>ΓΕΙΤΟΝΑ</t>
  </si>
  <si>
    <t>ΑΚ978357</t>
  </si>
  <si>
    <t>1249-1253-1248-1267-1206-1201-1202-1247-1250-1254-1255</t>
  </si>
  <si>
    <t>ΑΡΜΕΝΙΑΚΟΥ</t>
  </si>
  <si>
    <t>ΒΕΡΟΝΙΚΑ</t>
  </si>
  <si>
    <t>ΑΗ743896</t>
  </si>
  <si>
    <t>1025,5</t>
  </si>
  <si>
    <t>ΚΟΝΤΟΣ</t>
  </si>
  <si>
    <t>ΑΖ339496</t>
  </si>
  <si>
    <t>1025,3</t>
  </si>
  <si>
    <t>1206-1248-1267-1249-1253-1256-1201-1254-1250-1247-1202-1255-1205</t>
  </si>
  <si>
    <t>ΑΒ363696</t>
  </si>
  <si>
    <t>1219-1248-1249-1253-1256</t>
  </si>
  <si>
    <t>Σ848900</t>
  </si>
  <si>
    <t>630,3</t>
  </si>
  <si>
    <t>1023,3</t>
  </si>
  <si>
    <t>1217-1219-1205-1201-1247-1250-1255-1206-1254-1253-1202-1267-1222</t>
  </si>
  <si>
    <t>ΚΑΡΑΙΣΚΟΥ</t>
  </si>
  <si>
    <t>ΑΖ283825</t>
  </si>
  <si>
    <t>1022,6</t>
  </si>
  <si>
    <t>1252-1201-1248-1249-1267</t>
  </si>
  <si>
    <t>ΚΑΛΛΙΝΙΚΟΥ</t>
  </si>
  <si>
    <t>ΑΙ496660</t>
  </si>
  <si>
    <t>1247-1250-1254-1248-1201-1249-1253-1256-1255-1205-1202-1206</t>
  </si>
  <si>
    <t>ΣΤΡΙΚΟΥ</t>
  </si>
  <si>
    <t>ΘΕΟΦΑΝΗ</t>
  </si>
  <si>
    <t>Π597277</t>
  </si>
  <si>
    <t>896,5</t>
  </si>
  <si>
    <t>1021,5</t>
  </si>
  <si>
    <t>ΚΕΜΕΚΕΝΙΔΟΥ</t>
  </si>
  <si>
    <t>Χ771545</t>
  </si>
  <si>
    <t>1021,3</t>
  </si>
  <si>
    <t>1219-1248-1267-1201-1206-1249-1217-1250-1253-1254-1255-1202-1205</t>
  </si>
  <si>
    <t>ΧΑΤΖΗΜΠΟΖΙΝΗΣ</t>
  </si>
  <si>
    <t>Χ243955</t>
  </si>
  <si>
    <t>871,2</t>
  </si>
  <si>
    <t>1021,2</t>
  </si>
  <si>
    <t>1267-1248-1256-1206-1253-1249-1254-1247-1250-1255</t>
  </si>
  <si>
    <t>ΝΤΖΟΥΜΑΝΙΚΑ</t>
  </si>
  <si>
    <t>Φ213896</t>
  </si>
  <si>
    <t>1248-1206-1250-1255-1254-1253-1247-1249-1256</t>
  </si>
  <si>
    <t>ΑΕ334939</t>
  </si>
  <si>
    <t>1020,5</t>
  </si>
  <si>
    <t>1249-1253-1201-1206-1248-1247-1254-1255-1202-1250</t>
  </si>
  <si>
    <t>ΔΡΙΖΗ</t>
  </si>
  <si>
    <t>ΑΖ828133</t>
  </si>
  <si>
    <t>1019,5</t>
  </si>
  <si>
    <t>ΦΕΥΓΑ</t>
  </si>
  <si>
    <t>ΑΕ802478</t>
  </si>
  <si>
    <t>1017,3</t>
  </si>
  <si>
    <t>1223-1203-1201-1267-1248-1247-1254-1250-1249-1206-1253-1256-1221-1255-1202-1205</t>
  </si>
  <si>
    <t>ΞΑΝΘΗ-ΠΑΡΑΣΚΕΥΗ</t>
  </si>
  <si>
    <t>ΑΕ796281</t>
  </si>
  <si>
    <t>1254-1267-1247-1248-1249-1253-1255-1256-1206-1250</t>
  </si>
  <si>
    <t>ΚΟΛΚΑ</t>
  </si>
  <si>
    <t>Χ488948</t>
  </si>
  <si>
    <t>1017,2</t>
  </si>
  <si>
    <t>1249-1248-1267-1252-1253-1254-1247-1250-1206-1255</t>
  </si>
  <si>
    <t>ΚΟΝΙΑΡΗ</t>
  </si>
  <si>
    <t>Σ803275</t>
  </si>
  <si>
    <t>1017,1</t>
  </si>
  <si>
    <t>1201-1249-1250-1253-1248-1267-1254-1247-1206</t>
  </si>
  <si>
    <t>ΑΕ653352</t>
  </si>
  <si>
    <t>1016,3</t>
  </si>
  <si>
    <t>ΜΗΤΣΙΜΠΟΝΑ</t>
  </si>
  <si>
    <t>ΒΑΛΕΝΤΙΝΗ</t>
  </si>
  <si>
    <t>ΑΗ230474</t>
  </si>
  <si>
    <t>1249-1267-1253-1254-1248-1247-1206-1250-1255</t>
  </si>
  <si>
    <t>ΜΠΑΝΤΗ</t>
  </si>
  <si>
    <t>ΑΖ812740</t>
  </si>
  <si>
    <t>1015,4</t>
  </si>
  <si>
    <t>1248-1253-1249-1254-1206-1201-1247-1205-1202-1250-1255</t>
  </si>
  <si>
    <t>ΜΕΡΕΣΙΤΖΗ</t>
  </si>
  <si>
    <t>ΑΑ411986</t>
  </si>
  <si>
    <t>1015,2</t>
  </si>
  <si>
    <t>1206-1267-1253-1248-1249-1247-1254-1255-1250</t>
  </si>
  <si>
    <t>ΚΟΥΤΣΟΘΕΟΔΩΡΟΥ</t>
  </si>
  <si>
    <t>Τ480107</t>
  </si>
  <si>
    <t>1014,7</t>
  </si>
  <si>
    <t>1254-1247-1248-1267-1221-1250-1255-1202-1249-1253-1256-1206</t>
  </si>
  <si>
    <t>ΦΛΟΥΡΕΝΤΖΟΥ</t>
  </si>
  <si>
    <t>ΑΜ091846</t>
  </si>
  <si>
    <t>1014,5</t>
  </si>
  <si>
    <t>1250-1247-1267-1248-1255-1249-1253-1254-1206</t>
  </si>
  <si>
    <t>ΠΑΠΑΘΕΟΔΩΡΟΥ</t>
  </si>
  <si>
    <t>ΑΒ362172</t>
  </si>
  <si>
    <t>1255-1202-1205-1206-1247-1248-1249-1250-1253-1254-1267</t>
  </si>
  <si>
    <t>ΜΠΛΕΥΡΑΚΗΣ</t>
  </si>
  <si>
    <t>ΑΖ467278</t>
  </si>
  <si>
    <t>1013,7</t>
  </si>
  <si>
    <t>1255-1248-1247-1222-1250-1254-1253-1256-1218-1249</t>
  </si>
  <si>
    <t>ΤΑΡΝΑΡΗ</t>
  </si>
  <si>
    <t>ΑΑ416389</t>
  </si>
  <si>
    <t>1013,6</t>
  </si>
  <si>
    <t>ΓΚΟΓΚΟΛΑΣ</t>
  </si>
  <si>
    <t>ΑΗ436870</t>
  </si>
  <si>
    <t>1013,3</t>
  </si>
  <si>
    <t>1201-1202-1204-1205-1206-1217-1218-1219-1220-1221-1247-1248-1249-1250-1252-1253-1254-1255</t>
  </si>
  <si>
    <t>ΜΠΟΥΡΑ</t>
  </si>
  <si>
    <t>Π405704</t>
  </si>
  <si>
    <t>1219-1267-1248-1206-1249-1203-1201-1253-1254-1256-1250-1247-1202-1205-1251-1255-1217-1222-1223-1220</t>
  </si>
  <si>
    <t>ΣΠΑΧΟΥ</t>
  </si>
  <si>
    <t>Σ744620</t>
  </si>
  <si>
    <t>1012,6</t>
  </si>
  <si>
    <t>1206-1249-1253-1248-1254-1255-1247-1250</t>
  </si>
  <si>
    <t>ΠΛΙΑΜΕΡΗ</t>
  </si>
  <si>
    <t>Σ775208</t>
  </si>
  <si>
    <t>ΣΑΤΣΙΟΣ</t>
  </si>
  <si>
    <t>ΑΖ400994</t>
  </si>
  <si>
    <t>1011,4</t>
  </si>
  <si>
    <t>1219-1248-1252-1249-1201-1254-1247-1250-1255-1202</t>
  </si>
  <si>
    <t>ΒΟΝΟΡΤΑ</t>
  </si>
  <si>
    <t>ΑΒ998866</t>
  </si>
  <si>
    <t>1011,1</t>
  </si>
  <si>
    <t>1248-1267-1201-1254-1250-1247-1255-1205-1202-1206</t>
  </si>
  <si>
    <t>ΝΤΟΥΛΤΣΑ</t>
  </si>
  <si>
    <t>ΑΕ982711</t>
  </si>
  <si>
    <t>1010,5</t>
  </si>
  <si>
    <t>ΤΣΑΤΣΑΛΙΔΟΥ</t>
  </si>
  <si>
    <t>ΔΙΑΝΑ</t>
  </si>
  <si>
    <t>ΑΜ665122</t>
  </si>
  <si>
    <t>1010,1</t>
  </si>
  <si>
    <t>1219-1267-1220-1248-1222-1253-1256</t>
  </si>
  <si>
    <t>ΚΩΣΤΑΡΑΣ</t>
  </si>
  <si>
    <t>ΑΙ874110</t>
  </si>
  <si>
    <t>1009,5</t>
  </si>
  <si>
    <t>1217-1249-1253-1256-1248-1219-1206-1201-1254-1247-1250-1255-1202-1251</t>
  </si>
  <si>
    <t>ΦΩΤΙΟΥ</t>
  </si>
  <si>
    <t>ΑΚ969582</t>
  </si>
  <si>
    <t>1009,4</t>
  </si>
  <si>
    <t>1201-1267-1248-1254-1247-1253-1250-1249-1255-1202-1206-1264-1262-1216-1263-1259-1265-1257-1229-1231-1232-1227</t>
  </si>
  <si>
    <t>ΧΡΙΣΤΟΠΟΥΛΟΣ</t>
  </si>
  <si>
    <t>ΧΑΡΙΤΩΝ</t>
  </si>
  <si>
    <t>Σ375468</t>
  </si>
  <si>
    <t>1250-1254-1247-1248-1249-1253-1201-1202</t>
  </si>
  <si>
    <t>ΜΠΡΑΖΙΤΙΚΟΥ</t>
  </si>
  <si>
    <t>Χ954182</t>
  </si>
  <si>
    <t>1009,2</t>
  </si>
  <si>
    <t>1248-1253-1249</t>
  </si>
  <si>
    <t>ΑΝΑΣΤΑΣΙΑΔΗΣ</t>
  </si>
  <si>
    <t>ΑΝ914178</t>
  </si>
  <si>
    <t>1008,4</t>
  </si>
  <si>
    <t>1267-1248-1256-1206-1253-1249-1219-1247-1201-1254-1250-1251-1255-1205-1202-1217</t>
  </si>
  <si>
    <t>ΜΑΔΙΚΑ</t>
  </si>
  <si>
    <t>ΑΙ350924</t>
  </si>
  <si>
    <t>1008,2</t>
  </si>
  <si>
    <t>1249-1253-1248-1267-1255-1256-1206-1218-1247-1254</t>
  </si>
  <si>
    <t>ΤΟΠΑΛΙΔΗΣ</t>
  </si>
  <si>
    <t>ΑΗ839257</t>
  </si>
  <si>
    <t>1206-1219-1267-1248-1253-1249-1254-1247-1201-1205-1255-1202-1217-1250</t>
  </si>
  <si>
    <t>ΚΑΡΑΤΣΙΝ</t>
  </si>
  <si>
    <t>ΚΛΕΑΝΘΗΣ</t>
  </si>
  <si>
    <t>Χ740749</t>
  </si>
  <si>
    <t>1005,6</t>
  </si>
  <si>
    <t>1202-1203-1205-1204-1206-1217-1218-1219-1220-1221-1222-1223-1253-1254-1247-1248-1249-1250-1251-1252</t>
  </si>
  <si>
    <t>ΑΜ399979</t>
  </si>
  <si>
    <t>1005,3</t>
  </si>
  <si>
    <t>1206-1255-1202-1217-1254-1253-1201-1249</t>
  </si>
  <si>
    <t>ΑΠΟΣΤΟΛΑΚΟΥ</t>
  </si>
  <si>
    <t>Τ887662</t>
  </si>
  <si>
    <t>1004,6</t>
  </si>
  <si>
    <t>1217-1250-1219-1267-1201-1248-1205-1255-1221-1202-1206-1249-1253-1254-1247</t>
  </si>
  <si>
    <t>ΤΣΟΥΜΑΡΗ</t>
  </si>
  <si>
    <t>ΤΑΤΙΑΝΑ ΔΗΜΗΤΡΑ</t>
  </si>
  <si>
    <t>ΑΖ265929</t>
  </si>
  <si>
    <t>1004,3</t>
  </si>
  <si>
    <t>1250-1254-1247-1202-1205-1255-1206-1201-1248-1249-1253-1256</t>
  </si>
  <si>
    <t>ΤΙΚΟΥ</t>
  </si>
  <si>
    <t>ΑΒ604598</t>
  </si>
  <si>
    <t>1252-1203-1219-1248-1223-1254</t>
  </si>
  <si>
    <t>ΝΤΕΛΛΑΣ</t>
  </si>
  <si>
    <t>ΓΕΩΡΓ</t>
  </si>
  <si>
    <t>Ξ822210</t>
  </si>
  <si>
    <t>1253-1206-1254-1248-1249-1247-1250-1255-1202-1201</t>
  </si>
  <si>
    <t>ΠΑΤΙΛΗ</t>
  </si>
  <si>
    <t>ΑΑ315891</t>
  </si>
  <si>
    <t>1201-1202-1203-1204-1205-1206-1249-1250-1251-1252-1253-1254-1255-1256</t>
  </si>
  <si>
    <t>ΤΣΙΑΟΥΣΗ-ΧΟΝΤΑ</t>
  </si>
  <si>
    <t>Ρ873330</t>
  </si>
  <si>
    <t>ΔΡΟΥΓΚΑΣ</t>
  </si>
  <si>
    <t>ΑΝ902255</t>
  </si>
  <si>
    <t>1000,5</t>
  </si>
  <si>
    <t>ΝΙΚΟΛΑΚΑΚΗΣ</t>
  </si>
  <si>
    <t>ΑΕ983425</t>
  </si>
  <si>
    <t>ΚΟΥΤΡΑ</t>
  </si>
  <si>
    <t>ΑΕ259482</t>
  </si>
  <si>
    <t>999,9</t>
  </si>
  <si>
    <t>ΣΙΑΚΑΜΠΕΝΗ</t>
  </si>
  <si>
    <t>ΦΡΕΙΔΕΡΙΚΗ</t>
  </si>
  <si>
    <t>ΑΝ247543</t>
  </si>
  <si>
    <t>998,5</t>
  </si>
  <si>
    <t>1219-1217-1202-1201-1248-1267-1250-1255-1247-1254-1253-1249-1206-1256</t>
  </si>
  <si>
    <t>ΜΠΟΡΟΖΗ</t>
  </si>
  <si>
    <t>ΑΙ848956</t>
  </si>
  <si>
    <t>997,2</t>
  </si>
  <si>
    <t>1201-1202-1206-1217-1219-1247-1248-1249-1250-1253-1254-1255-1267</t>
  </si>
  <si>
    <t>ΚΟΝΤΑΚΟΥ</t>
  </si>
  <si>
    <t>ΑΕ753342</t>
  </si>
  <si>
    <t>1250-1202-1205-1255-1248-1254-1253-1247-1201-1249-1256-1223-1251-1222-1220</t>
  </si>
  <si>
    <t>ΜΥΛΩΝΑ</t>
  </si>
  <si>
    <t>ΑΜ353625</t>
  </si>
  <si>
    <t>1249-1201-1248-1219-1252-1253-1256-1251-1220-1222-1250-1247-1255-1202-1206-1218-1205</t>
  </si>
  <si>
    <t>ΣΑΧΛΑ</t>
  </si>
  <si>
    <t>Χ938470</t>
  </si>
  <si>
    <t>994,5</t>
  </si>
  <si>
    <t>1250-1249-1247-1248-1253-1254-1255</t>
  </si>
  <si>
    <t>ΖΥΓΟΓΙΑΝΝΗΣ</t>
  </si>
  <si>
    <t>Τ282347</t>
  </si>
  <si>
    <t>994,2</t>
  </si>
  <si>
    <t>ΞΑΝΘΟΠΟΥΛΟΣ</t>
  </si>
  <si>
    <t>ΠΑΡΗΣ</t>
  </si>
  <si>
    <t>ΑΖ587607</t>
  </si>
  <si>
    <t>1223-1253-1252-1219-1248-1206-1221-1204-1205</t>
  </si>
  <si>
    <t>ΖΑΧΑΡΟΠΟΥΛΟΥ</t>
  </si>
  <si>
    <t>ΑΚ302368</t>
  </si>
  <si>
    <t>937,2</t>
  </si>
  <si>
    <t>993,2</t>
  </si>
  <si>
    <t>1248-1267-1256-1253-1249-1206-1250-1247-1254-1255</t>
  </si>
  <si>
    <t>Χ780789</t>
  </si>
  <si>
    <t>1248-1202-1205-1254-1253-1267-1255-1249-1247-1250-1201</t>
  </si>
  <si>
    <t>ΜΠΑΚΟΥΤΣΗ</t>
  </si>
  <si>
    <t>ΝΑΟΥΜ</t>
  </si>
  <si>
    <t>ΑΚ309145</t>
  </si>
  <si>
    <t>1248-1267-1219</t>
  </si>
  <si>
    <t>ΧΑΚΙΜ</t>
  </si>
  <si>
    <t>ΑΑ014825</t>
  </si>
  <si>
    <t>991,6</t>
  </si>
  <si>
    <t>1255-1205-1202-1219-1248-1201-1251-1206-1217-1247-1249-1250-1253-1254-1256</t>
  </si>
  <si>
    <t>ΚΡΥΟΝΕΡΙΤΗΣ</t>
  </si>
  <si>
    <t>ΑΙ983536</t>
  </si>
  <si>
    <t>991,3</t>
  </si>
  <si>
    <t>1219-1201-1253-1254-1255-1206-1205-1217-1248-1249-1250-1202-1247-1267-1251-1256</t>
  </si>
  <si>
    <t>ΖΑΦΕΙΡΗΣ</t>
  </si>
  <si>
    <t>Ρ991075</t>
  </si>
  <si>
    <t>991,1</t>
  </si>
  <si>
    <t>1254-1248-1247-1249-1250-1253-1255-1256-1201-1202-1205-1206</t>
  </si>
  <si>
    <t>ΑΚ387015</t>
  </si>
  <si>
    <t>1205-1255-1202-1248-1249-1250-1247-1253-1254-1206-1256</t>
  </si>
  <si>
    <t>ΑΒ431730</t>
  </si>
  <si>
    <t>990,3</t>
  </si>
  <si>
    <t>ΚΑΤΣΙΝΕΛΗΣ</t>
  </si>
  <si>
    <t>Χ290196</t>
  </si>
  <si>
    <t>618,2</t>
  </si>
  <si>
    <t>990,2</t>
  </si>
  <si>
    <t>1249-1267-1248-1247-1206-1250-1253-1254</t>
  </si>
  <si>
    <t>ΣΟΥΒΑΤΖΗ</t>
  </si>
  <si>
    <t>Φ224155</t>
  </si>
  <si>
    <t>989,7</t>
  </si>
  <si>
    <t>1201-1217-1247</t>
  </si>
  <si>
    <t>ΨΩΜΑ</t>
  </si>
  <si>
    <t>ΑΖ932041</t>
  </si>
  <si>
    <t>989,2</t>
  </si>
  <si>
    <t>ΑΖ914161</t>
  </si>
  <si>
    <t>988,7</t>
  </si>
  <si>
    <t>1219-1248-1267-1222-1220-1256-1204-1205-1202-1255-1221-1206-1203-1253-1249-1252-1247-1250-1217-1254-1218-1251</t>
  </si>
  <si>
    <t>ΣΤΕΦΑΝΟΥ</t>
  </si>
  <si>
    <t>Χ936640</t>
  </si>
  <si>
    <t>988,6</t>
  </si>
  <si>
    <t>1205-1206-1247-1248-1249-1250-1253-1254-1255-1256</t>
  </si>
  <si>
    <t>ΜΠΟΥΤΣΑΡΑΚΗ</t>
  </si>
  <si>
    <t>ΑΒ493532</t>
  </si>
  <si>
    <t>987,5</t>
  </si>
  <si>
    <t>ΚΑΠΕΡΩΝΗ</t>
  </si>
  <si>
    <t>ΑΙ295021</t>
  </si>
  <si>
    <t>987,4</t>
  </si>
  <si>
    <t>1201-1202-1203-1205-1206-1247-1248-1249-1250-1253-1254-1255-1256-1267</t>
  </si>
  <si>
    <t>ΔΡΙΤΣΑΣ</t>
  </si>
  <si>
    <t>Χ898533</t>
  </si>
  <si>
    <t>986,6</t>
  </si>
  <si>
    <t>1250-1247-1254-1206-1255</t>
  </si>
  <si>
    <t>ΑΑ250523</t>
  </si>
  <si>
    <t>1219-1267-1248-1256-1220-1253-1249-1203-1201-1252</t>
  </si>
  <si>
    <t>ΦΙΛΗ</t>
  </si>
  <si>
    <t>ΜΗΤΣΗΣ</t>
  </si>
  <si>
    <t>ΑΖ751069</t>
  </si>
  <si>
    <t>986,2</t>
  </si>
  <si>
    <t>1205-1249-1201-1248-1206-1253-1254-1250-1247-1202-1255-1267</t>
  </si>
  <si>
    <t>ΧΑΝΙΩΤΑΚΗ</t>
  </si>
  <si>
    <t>ΑΜ470523</t>
  </si>
  <si>
    <t>1202-1255-1248-1247-1201-1250-1253-1249-1206-1254</t>
  </si>
  <si>
    <t>ΑΗ485985</t>
  </si>
  <si>
    <t>610,5</t>
  </si>
  <si>
    <t>984,5</t>
  </si>
  <si>
    <t>ΜΠΑΙΡΑΜΙΔΟΥ</t>
  </si>
  <si>
    <t>ΕΥΡΥΚΛΕΙΑ</t>
  </si>
  <si>
    <t>Χ844588</t>
  </si>
  <si>
    <t>984,2</t>
  </si>
  <si>
    <t>ΔΡΕΤΑΚΗ</t>
  </si>
  <si>
    <t>ΑΙ940373</t>
  </si>
  <si>
    <t>983,8</t>
  </si>
  <si>
    <t>1202-1205-1255-1248-1247-1250-1201-1253-1254-1256-1206-1249</t>
  </si>
  <si>
    <t>Ρ938689</t>
  </si>
  <si>
    <t>983,4</t>
  </si>
  <si>
    <t>1256-1267-1219-1248-1253-1249</t>
  </si>
  <si>
    <t>ΙΩΑΝΝΟΥ</t>
  </si>
  <si>
    <t>Χ360092</t>
  </si>
  <si>
    <t>983,2</t>
  </si>
  <si>
    <t>1201-1202-1205-1206-1247-1248-1249-1250-1253-1254-1255-1256</t>
  </si>
  <si>
    <t>ΜΑΛΤΕΖΟΥ</t>
  </si>
  <si>
    <t>Χ118458</t>
  </si>
  <si>
    <t>982,7</t>
  </si>
  <si>
    <t>1201-1250-1247-1248-1254-1267-1255-1256-1202-1205-1206-1249-1253</t>
  </si>
  <si>
    <t>ΑΖ342847</t>
  </si>
  <si>
    <t>982,1</t>
  </si>
  <si>
    <t>1222-1220-1219-1206-1203-1248-1249-1256-1252-1253-1254-1247-1217-1250-1218-1223-1251-1221-1255-1202-1204-1205</t>
  </si>
  <si>
    <t>ΠΕΡΚΑ</t>
  </si>
  <si>
    <t>ΑΒ836479</t>
  </si>
  <si>
    <t>981,3</t>
  </si>
  <si>
    <t>1219-1267-1248-1201-1253-1247-1249-1254-1256-1206-1250-1217-1202-1205-1255-1251</t>
  </si>
  <si>
    <t>ΑΚ965486</t>
  </si>
  <si>
    <t>ΛΥΜΠΕΡΟΠΟΥΛΟΣ</t>
  </si>
  <si>
    <t>ΒΑΙΟΣ</t>
  </si>
  <si>
    <t>Ρ818460</t>
  </si>
  <si>
    <t>980,8</t>
  </si>
  <si>
    <t>1201-1254-1247-1217-1250-1248-1219-1206-1249-1256-1222-1253-1255-1205-1202-1251</t>
  </si>
  <si>
    <t>ΤΣΟΓΚΑΣ</t>
  </si>
  <si>
    <t>ΑΙ235993</t>
  </si>
  <si>
    <t>980,4</t>
  </si>
  <si>
    <t>1250-1247-1248-1254-1253-1256-1255-1249-1252</t>
  </si>
  <si>
    <t>ΚΑΠΕΤΑΝΑΚΗΣ</t>
  </si>
  <si>
    <t>ΑΒ485223</t>
  </si>
  <si>
    <t>980,2</t>
  </si>
  <si>
    <t>1255-1248-1254-1247-1256-1206-1249-1253-1250</t>
  </si>
  <si>
    <t>ΠΙΤΣΙΑ</t>
  </si>
  <si>
    <t>Χ454384</t>
  </si>
  <si>
    <t>978,4</t>
  </si>
  <si>
    <t>ΝΤΑΟΥΤΗ</t>
  </si>
  <si>
    <t>ΑΖ410803</t>
  </si>
  <si>
    <t>1206-1219-1252-1253-1254-1255-1249-1247-1248-1218</t>
  </si>
  <si>
    <t>ΓΚΟΛΦΩ</t>
  </si>
  <si>
    <t>ΑΕ232184</t>
  </si>
  <si>
    <t>977,3</t>
  </si>
  <si>
    <t>ΔΕΛΝΙΩΤΟΥ</t>
  </si>
  <si>
    <t>Σ901371</t>
  </si>
  <si>
    <t>1249-1253-1206-1256-1254-1250-1255</t>
  </si>
  <si>
    <t>ΚΑΨΟΠΟΥΛΟΣ</t>
  </si>
  <si>
    <t>ΑΑ376166</t>
  </si>
  <si>
    <t>976,7</t>
  </si>
  <si>
    <t>1205-1249-1206-1247-1202-1250-1253-1254-1201-1248-1255-1267</t>
  </si>
  <si>
    <t>976,1</t>
  </si>
  <si>
    <t>ΤΣΟΥΜΑΚΟΥ</t>
  </si>
  <si>
    <t>Φ211052</t>
  </si>
  <si>
    <t>975,5</t>
  </si>
  <si>
    <t>ΑΗ586225</t>
  </si>
  <si>
    <t>975,2</t>
  </si>
  <si>
    <t>ΑΜ048133</t>
  </si>
  <si>
    <t>974,6</t>
  </si>
  <si>
    <t>1201-1202-1204-1205-1206-1217-1218-1219-1220-1221-1222-1223-1253-1254-1256-1247-1248-1249-1250-1251-1252-1255</t>
  </si>
  <si>
    <t>ΑΕ254930</t>
  </si>
  <si>
    <t>974,4</t>
  </si>
  <si>
    <t>ΣΑΒΒΑΤΙΑΝΟΥ</t>
  </si>
  <si>
    <t>ΑΕ865230</t>
  </si>
  <si>
    <t>1255-1205-1202-1219-1267-1206-1247-1250-1217-1254-1253-1249-1248-1201</t>
  </si>
  <si>
    <t>ΑΠΙΔΟΠΟΥΛΟΥ</t>
  </si>
  <si>
    <t>Χ988639</t>
  </si>
  <si>
    <t>972,5</t>
  </si>
  <si>
    <t>1249-1256-1253-1267-1248-1206-1254-1247-1250-1255-1202</t>
  </si>
  <si>
    <t>ΚΕΒΡΕΚΙΔΗ</t>
  </si>
  <si>
    <t>ΑΑ354866</t>
  </si>
  <si>
    <t>972,1</t>
  </si>
  <si>
    <t>ΣΥΜΙΡΑ</t>
  </si>
  <si>
    <t>ΑΖ291045</t>
  </si>
  <si>
    <t>971,8</t>
  </si>
  <si>
    <t>1253-1249-1256-1219-1248-1267-1203</t>
  </si>
  <si>
    <t>ΝΙΚΟΛΑΚΟΠΟΥΛΟΣ</t>
  </si>
  <si>
    <t>ΑΙ768443</t>
  </si>
  <si>
    <t>970,5</t>
  </si>
  <si>
    <t>1250-1247-1254-1201-1253-1249-1267-1248-1206-1205-1255-1202-1256-1222</t>
  </si>
  <si>
    <t>ΓΚΑΤΖΙΩΝΑ</t>
  </si>
  <si>
    <t>ΑΚ412930</t>
  </si>
  <si>
    <t>970,3</t>
  </si>
  <si>
    <t>1201-1248-1254-1206-1202</t>
  </si>
  <si>
    <t>ΣΦΕΤΚΟΣ</t>
  </si>
  <si>
    <t>ΑΕ827295</t>
  </si>
  <si>
    <t>1248-1267-1249-1256-1253-1206-1247-1255-1254-1250-1217-1223</t>
  </si>
  <si>
    <t>ΚΑΤΣΑΒΡΙΑ</t>
  </si>
  <si>
    <t>Χ312666</t>
  </si>
  <si>
    <t>969,2</t>
  </si>
  <si>
    <t>1249-1201-1202-1205-1206-1247-1248-1250-1253-1254-1255-1267</t>
  </si>
  <si>
    <t>ΜΑΣΑ</t>
  </si>
  <si>
    <t>Π883402</t>
  </si>
  <si>
    <t>1253-1248-1249-1206-1254-1250-1255</t>
  </si>
  <si>
    <t>ΑΒ057815</t>
  </si>
  <si>
    <t>968,8</t>
  </si>
  <si>
    <t>1217-1218-1219-1220-1221-1222-1223-1253-1254-1206-1203-1204-1205-1247-1248-1249-1250-1251-1252-1255-1256-1201-1202-1267</t>
  </si>
  <si>
    <t>ΠΑΝΩΡΑΙΑ</t>
  </si>
  <si>
    <t>Τ315271</t>
  </si>
  <si>
    <t>968,3</t>
  </si>
  <si>
    <t>1247-1250-1254-1255-1253-1256-1248-1206-1249-1267</t>
  </si>
  <si>
    <t>Χ848508</t>
  </si>
  <si>
    <t>968,2</t>
  </si>
  <si>
    <t>1253-1249-1206-1248-1201-1254-1247-1250-1255-1202</t>
  </si>
  <si>
    <t>ΑΜ256751</t>
  </si>
  <si>
    <t>ΑΡΟΥΤΙΟΥΝΙΑΝ</t>
  </si>
  <si>
    <t>ΓΚΑΓΙΑΝΕ</t>
  </si>
  <si>
    <t>ΓΚΑΓΚΙΚ</t>
  </si>
  <si>
    <t>ΑΗ913180</t>
  </si>
  <si>
    <t>966,5</t>
  </si>
  <si>
    <t>ΝΤΡΕΚΗ</t>
  </si>
  <si>
    <t>Χ829003</t>
  </si>
  <si>
    <t>966,3</t>
  </si>
  <si>
    <t>1247-1248-1267-1254-1255-1206</t>
  </si>
  <si>
    <t>ΝΑΝΟΣ</t>
  </si>
  <si>
    <t>ΤΡΑΙΑΝΟΣ</t>
  </si>
  <si>
    <t>ΑΚ433718</t>
  </si>
  <si>
    <t>966,1</t>
  </si>
  <si>
    <t>1256-1206-1248-1253-1247-1249-1255-1205-1254-1250-1202-1201-1222</t>
  </si>
  <si>
    <t>ΑΒ616154</t>
  </si>
  <si>
    <t>1250-1254-1247-1256-1248-1206-1249-1253-1267</t>
  </si>
  <si>
    <t>ΑΙΒΑΝΟΥΛΗ</t>
  </si>
  <si>
    <t>ΑΒ438139</t>
  </si>
  <si>
    <t>965,9</t>
  </si>
  <si>
    <t>1202-1205-1206-1247-1248-1249-1250-1253-1254-1255-1256</t>
  </si>
  <si>
    <t>ΒΟΣΚΟΠΟΥΛΟΣ</t>
  </si>
  <si>
    <t>Χ744369</t>
  </si>
  <si>
    <t>965,4</t>
  </si>
  <si>
    <t>1248-1267-1253-1219</t>
  </si>
  <si>
    <t>ΑΜ851923</t>
  </si>
  <si>
    <t>964,8</t>
  </si>
  <si>
    <t>1249-1253-1248-1267-1206-1201-1247-1254-1250-1255-1205-1202-1256-1220-1222-1203-1252-1217-1219-1218-1204-1221-1223-1251</t>
  </si>
  <si>
    <t>ΤΖΙΟΥΒΙΛΑ</t>
  </si>
  <si>
    <t>ΑΑ383745</t>
  </si>
  <si>
    <t>962,9</t>
  </si>
  <si>
    <t>1202-1253-1201-1203-1205-1206-1247-1248-1249-1250-1254-1255-1256-1267</t>
  </si>
  <si>
    <t>ΑΝ370317</t>
  </si>
  <si>
    <t>962,7</t>
  </si>
  <si>
    <t>1253-1256-1219-1249-1267</t>
  </si>
  <si>
    <t>Ρ982880</t>
  </si>
  <si>
    <t>962,3</t>
  </si>
  <si>
    <t>1254-1201-1202-1204-1206-1217-1247-1248-1249-1250-1253-1255</t>
  </si>
  <si>
    <t>ΚΑΡΑΚΟΥΛΑΚΗ</t>
  </si>
  <si>
    <t>Σ904040</t>
  </si>
  <si>
    <t>1249-1253-1248-1267</t>
  </si>
  <si>
    <t>ΠΑΠΑΧΑΤΖΟΠΟΥΛΟΥ</t>
  </si>
  <si>
    <t>ΑΚ025561</t>
  </si>
  <si>
    <t>961,9</t>
  </si>
  <si>
    <t>1250-1247-1254-1203-1202-1221-1255-1205-1267-1248-1218-1201-1249-1253-1206</t>
  </si>
  <si>
    <t>ΑΑ266055</t>
  </si>
  <si>
    <t>961,7</t>
  </si>
  <si>
    <t>1219-1249-1248-1253-1206-1201-1255-1205-1202-1221-1247-1250-1252-1254</t>
  </si>
  <si>
    <t>ΒΕΛΕΝΤΖΑ</t>
  </si>
  <si>
    <t>ΑΑ304702</t>
  </si>
  <si>
    <t>961,5</t>
  </si>
  <si>
    <t>1218-1255-1204-1205-1247</t>
  </si>
  <si>
    <t>Φ234920</t>
  </si>
  <si>
    <t>959,4</t>
  </si>
  <si>
    <t>1247-1250-1254-1255-1267-1248-1253-1206-1249</t>
  </si>
  <si>
    <t>ΓΟΥΝΑΡΙΔΗ</t>
  </si>
  <si>
    <t>ΑΔΑΜΑΝΤΙΑ</t>
  </si>
  <si>
    <t>ΑΑ319392</t>
  </si>
  <si>
    <t>959,3</t>
  </si>
  <si>
    <t>1205-1255-1202-1221-1219-1248-1267-1201-1206-1249-1253-1254-1203-1247</t>
  </si>
  <si>
    <t>ΑΕ829285</t>
  </si>
  <si>
    <t>959,1</t>
  </si>
  <si>
    <t>1249-1219-1248-1267-1256-1253-1206-1252-1201-1247-1217-1250-1254-1255-1202-1251</t>
  </si>
  <si>
    <t>ΘΕΟΔΟΣΙΑΔΟΥ</t>
  </si>
  <si>
    <t>ΑΗ347614</t>
  </si>
  <si>
    <t>958,9</t>
  </si>
  <si>
    <t>1267-1219-1220-1248-1222-1253-1256-1206-1249</t>
  </si>
  <si>
    <t>958,7</t>
  </si>
  <si>
    <t>ΑΚ427556</t>
  </si>
  <si>
    <t>ΓΕΩΡΓΑΚΟΥΔΗ</t>
  </si>
  <si>
    <t>ΑΕ917923</t>
  </si>
  <si>
    <t>956,2</t>
  </si>
  <si>
    <t>ΝΑΝΟΥΔΗΣ</t>
  </si>
  <si>
    <t>Χ948554</t>
  </si>
  <si>
    <t>1256-1253-1267-1248-1249-1206-1201-1205-1255-1247-1250-1254-1202</t>
  </si>
  <si>
    <t>ΦΕΡΕΤΖΑΚΗΣ</t>
  </si>
  <si>
    <t>Τ324874</t>
  </si>
  <si>
    <t>1255-1250-1253-1247-1256-1254-1249</t>
  </si>
  <si>
    <t>ΔΑΝΕΛΗ</t>
  </si>
  <si>
    <t>Σ842902</t>
  </si>
  <si>
    <t>955,7</t>
  </si>
  <si>
    <t>ΣΑΛΑΧΑΤ</t>
  </si>
  <si>
    <t>ΣΕΜΙΡΑΜΙΣ</t>
  </si>
  <si>
    <t>ΤΖΑΜΑΛ ΔΗΜΗΤΡΙΟΣ</t>
  </si>
  <si>
    <t>ΑΚ868657</t>
  </si>
  <si>
    <t>955,5</t>
  </si>
  <si>
    <t>Χ844999</t>
  </si>
  <si>
    <t>953,5</t>
  </si>
  <si>
    <t>1253-1248-1219-1256-1206-1249-1205-1255-1202-1247-1254-1250-1251</t>
  </si>
  <si>
    <t>ΧΡΙΣΤΙΑΝΑ</t>
  </si>
  <si>
    <t>ΑΗ493705</t>
  </si>
  <si>
    <t>952,4</t>
  </si>
  <si>
    <t>ΜΑΥΡΟΓΕΩΡΓΗΣ</t>
  </si>
  <si>
    <t>ΕΜΜΑΝΟΥΗΛ ΔΗΜΗΤΡΙΟΣ</t>
  </si>
  <si>
    <t>Χ024493</t>
  </si>
  <si>
    <t>1247-1250-1248-1254-1204-1205-1255-1206-1253-1249-1203-1221-1202-1218</t>
  </si>
  <si>
    <t>ΜΠΟΥΖΑΝΗ</t>
  </si>
  <si>
    <t>ΑΒ410122</t>
  </si>
  <si>
    <t>1267-1248-1206-1249-1250-1253-1201-1247-1254-1202-1205-1255</t>
  </si>
  <si>
    <t>ΖΙΩΖΙΟΣ</t>
  </si>
  <si>
    <t>ΑΒ199750</t>
  </si>
  <si>
    <t>951,9</t>
  </si>
  <si>
    <t>1254-1201-1247-1222-1248-1256-1267-1249-1250-1253-1206-1218-1203-1223-1220-1219-1217-1252-1251-1255-1205-1202-1221-1204</t>
  </si>
  <si>
    <t>ΠΕΤΑΣΑΚΗΣ</t>
  </si>
  <si>
    <t>ΒΑΛΕΝΤΙΝΟΣ</t>
  </si>
  <si>
    <t>ΑΗ125716</t>
  </si>
  <si>
    <t>1202-1205-1255-1247-1254-1250-1206-1201-1253-1249-1248</t>
  </si>
  <si>
    <t>ΚΑΡΑΚΑΝΤΑ</t>
  </si>
  <si>
    <t>Τ984606</t>
  </si>
  <si>
    <t>629,2</t>
  </si>
  <si>
    <t>951,2</t>
  </si>
  <si>
    <t>1254-1249-1253-1247-1248-1206-1250-1255</t>
  </si>
  <si>
    <t>ΑΕ452967</t>
  </si>
  <si>
    <t>951,1</t>
  </si>
  <si>
    <t>1255-1205-1202-1247-1217-1250-1206-1219-1267-1248</t>
  </si>
  <si>
    <t>ΑΜ983456</t>
  </si>
  <si>
    <t>950,9</t>
  </si>
  <si>
    <t>1254-1252-1201-1218-1247-1219-1220-1248-1249-1223-1250-1251-1253-1255-1256-1202-1204-1205</t>
  </si>
  <si>
    <t>ΤΖΩΡΑ</t>
  </si>
  <si>
    <t>ΚΑΣΣΙΑΝΗ</t>
  </si>
  <si>
    <t>Σ486866</t>
  </si>
  <si>
    <t>1217-1250-1219-1247</t>
  </si>
  <si>
    <t>ΧΕΙΛΑ</t>
  </si>
  <si>
    <t>ΑΜ984735</t>
  </si>
  <si>
    <t>949,8</t>
  </si>
  <si>
    <t>1254-1201-1247-1248-1267-1250-1206-1249-1253</t>
  </si>
  <si>
    <t>ΚΕΝΑΝΙΔΗΣ</t>
  </si>
  <si>
    <t>ΑΖ796709</t>
  </si>
  <si>
    <t>948,5</t>
  </si>
  <si>
    <t>1248-1202-1206-1247-1255-1249-1250-1253-1254-1201</t>
  </si>
  <si>
    <t>ΚΑΠΕΤΑΝΟΥ</t>
  </si>
  <si>
    <t>Σ905190</t>
  </si>
  <si>
    <t>948,3</t>
  </si>
  <si>
    <t>ΣΤΑΜΟΥΛΗ</t>
  </si>
  <si>
    <t>ΑΖ275316</t>
  </si>
  <si>
    <t>948,2</t>
  </si>
  <si>
    <t>1201-1254-1257-1267-1248-1249-1247-1233-1206</t>
  </si>
  <si>
    <t>ΑΚΡΙΒΗ</t>
  </si>
  <si>
    <t>Ρ413983</t>
  </si>
  <si>
    <t>946,8</t>
  </si>
  <si>
    <t>ΧΡΙΣΤΟΔΟΥΛΟΥ</t>
  </si>
  <si>
    <t>ΑΕ679823</t>
  </si>
  <si>
    <t>946,5</t>
  </si>
  <si>
    <t>ΣΕΡΔΕΝΕ</t>
  </si>
  <si>
    <t>ΑΜ790850</t>
  </si>
  <si>
    <t>1217-1219-1202-1250-1249-1247-1248-1253-1254-1255-1256-1206-1251</t>
  </si>
  <si>
    <t>ΜΑΓΚΛΑΡΑ</t>
  </si>
  <si>
    <t>Χ898318</t>
  </si>
  <si>
    <t>945,6</t>
  </si>
  <si>
    <t>ΤΡΙΣΠΑΓΩΝΑ</t>
  </si>
  <si>
    <t>ΑΑ768345</t>
  </si>
  <si>
    <t>945,2</t>
  </si>
  <si>
    <t>ΠΑΣΧΑΛΙΑ</t>
  </si>
  <si>
    <t>ΑΕ838813</t>
  </si>
  <si>
    <t>945,1</t>
  </si>
  <si>
    <t>1248-1253-1201-1249-1206-1247-1202-1205-1255</t>
  </si>
  <si>
    <t>ΨΥΛΛΑΚΗΣ</t>
  </si>
  <si>
    <t>Χ494470</t>
  </si>
  <si>
    <t>942,7</t>
  </si>
  <si>
    <t>1201-1202-1206-1247-1248-1249-1253-1254</t>
  </si>
  <si>
    <t>ΑΝΔΡΟΜΑΧΗ</t>
  </si>
  <si>
    <t>ΑΖ301418</t>
  </si>
  <si>
    <t>942,2</t>
  </si>
  <si>
    <t>1248-1267-1249-1253-1255-1205-1202-1206-1250-1201-1247-1254-1256</t>
  </si>
  <si>
    <t>ΚΑΚΟΥΡΑΤΟΥ</t>
  </si>
  <si>
    <t>ΑΖ458332</t>
  </si>
  <si>
    <t>941,8</t>
  </si>
  <si>
    <t>1202-1255-1201-1206-1247-1248-1249-1250-1253-1254-1256</t>
  </si>
  <si>
    <t>ΚΑΡΑΚΟΛΗΣ</t>
  </si>
  <si>
    <t>ΑΒ113012</t>
  </si>
  <si>
    <t>941,7</t>
  </si>
  <si>
    <t>1249-1248-1267-1256-1201-1202-1205-1206-1247-1250-1253-1254-1255</t>
  </si>
  <si>
    <t>Χ889096</t>
  </si>
  <si>
    <t>ΑΜ530527</t>
  </si>
  <si>
    <t>1202-1250-1247-1255-1205-1201-1267-1248-1206-1253-1249-1254</t>
  </si>
  <si>
    <t>ΜΑΜΑΚΟΣ</t>
  </si>
  <si>
    <t>ΑΕ430766</t>
  </si>
  <si>
    <t>940,8</t>
  </si>
  <si>
    <t>1248-1206-1256-1247-1253-1249-1202-1205-1255-1201-1250-1254</t>
  </si>
  <si>
    <t>ΦΙΛΙΣΙΑ</t>
  </si>
  <si>
    <t>Χ921980</t>
  </si>
  <si>
    <t>940,6</t>
  </si>
  <si>
    <t>ΚΙΟΥΛΗ</t>
  </si>
  <si>
    <t>ΕΛΙΣΑ</t>
  </si>
  <si>
    <t>ΒΑΣΙΛΗΣ</t>
  </si>
  <si>
    <t>ΑΚ336360</t>
  </si>
  <si>
    <t>940,4</t>
  </si>
  <si>
    <t>1202-1205-1206-1218-1221-1247-1248-1249-1250-1253-1254-1255</t>
  </si>
  <si>
    <t>ΔΡΟΜΠΟΥΡΑΣ</t>
  </si>
  <si>
    <t>ΑΕ338695</t>
  </si>
  <si>
    <t>939,9</t>
  </si>
  <si>
    <t>1217-1219-1251-1249-1248-1267-1223-1247-1252-1203-1253-1250-1218-1206-1256-1254-1202-1205-1255-1204</t>
  </si>
  <si>
    <t>ΚΑΡΙΝΤΖΙΑ</t>
  </si>
  <si>
    <t>ΚΕΡΑΣΑ</t>
  </si>
  <si>
    <t>Χ391651</t>
  </si>
  <si>
    <t>1219-1248-1249</t>
  </si>
  <si>
    <t>ΑΗ362313</t>
  </si>
  <si>
    <t>936,8</t>
  </si>
  <si>
    <t>ΛΕΝΤΗΣ</t>
  </si>
  <si>
    <t>ΑΑ311984</t>
  </si>
  <si>
    <t>936,7</t>
  </si>
  <si>
    <t>1251-1255-1202-1205-1221-1201-1206-1217-1218-1219-1247-1248-1249-1250-1253-1254-1256-1267</t>
  </si>
  <si>
    <t>ΑΚ201092</t>
  </si>
  <si>
    <t>1247-1250-1254-1267-1248-1255-1205-1202-1253-1249-1201-1206-1256</t>
  </si>
  <si>
    <t>ΜΠΙΝΟΥ</t>
  </si>
  <si>
    <t>Χ447698</t>
  </si>
  <si>
    <t>936,5</t>
  </si>
  <si>
    <t>1256-1253-1267-1248-1249-1206-1201-1254-1247-1250-1202-1205-1255</t>
  </si>
  <si>
    <t>ΦΑΚΙΤΣΑ</t>
  </si>
  <si>
    <t>ΑΖ479724</t>
  </si>
  <si>
    <t>936,3</t>
  </si>
  <si>
    <t>1254-1247-1203-1248-1219</t>
  </si>
  <si>
    <t>ΛΑΖΑΡΗ</t>
  </si>
  <si>
    <t>MΑΥΡΑ</t>
  </si>
  <si>
    <t>ΑΙ205657</t>
  </si>
  <si>
    <t>936,2</t>
  </si>
  <si>
    <t>1202-1247-1248-1255-1205-1250</t>
  </si>
  <si>
    <t>ΛΥΜΠΕΡΗΣ</t>
  </si>
  <si>
    <t>ΘΕΟΛΟΓΟΣ</t>
  </si>
  <si>
    <t>ΑΑ439933</t>
  </si>
  <si>
    <t>935,8</t>
  </si>
  <si>
    <t>1202-1251</t>
  </si>
  <si>
    <t>ΣΩΤΗΡΙΑΔΗΣ</t>
  </si>
  <si>
    <t>ΑΖ146147</t>
  </si>
  <si>
    <t>934,8</t>
  </si>
  <si>
    <t>ΝΟΠΗ</t>
  </si>
  <si>
    <t>ΑΒ913024</t>
  </si>
  <si>
    <t>934,7</t>
  </si>
  <si>
    <t>1247-1250-1254-1248-1267-1206-1201-1253-1249-1205-1255-1202</t>
  </si>
  <si>
    <t>ΚΡΑΜΠΟΚΟΥΚΗΣ</t>
  </si>
  <si>
    <t>Χ374769</t>
  </si>
  <si>
    <t>1256-1204-1205-1203-1247-1248-1249-1250-1251-1252-1255-1202</t>
  </si>
  <si>
    <t>ΙΝΤΖΗ</t>
  </si>
  <si>
    <t>ΑΕ195864</t>
  </si>
  <si>
    <t>933,7</t>
  </si>
  <si>
    <t>ΓΚΟΓΚΑΣ</t>
  </si>
  <si>
    <t>ΑΙ257964</t>
  </si>
  <si>
    <t>Χ891159</t>
  </si>
  <si>
    <t>933,5</t>
  </si>
  <si>
    <t>1219-1248-1217-1218-1249-1202-1201-1206-1255-1247-1253-1254-1221-1205-1267-1203-1204-1250-1252-1256-1222-1223-1220-1251</t>
  </si>
  <si>
    <t>ΚΥΡΙΑΚΟΠΟΥΛΟΣ</t>
  </si>
  <si>
    <t>ΑΒ399815</t>
  </si>
  <si>
    <t>641,3</t>
  </si>
  <si>
    <t>933,3</t>
  </si>
  <si>
    <t>1250-1247-1248-1267-1254-1206-1255-1249-1253-1256-1218-1252-1201-1205-1202-1204</t>
  </si>
  <si>
    <t>ΔΑΓΓΑ ΔΑΒΙΛΟΥΔΗ</t>
  </si>
  <si>
    <t>ΝΑΤΑΛΙΑ</t>
  </si>
  <si>
    <t>ΑΖ648930</t>
  </si>
  <si>
    <t>932,1</t>
  </si>
  <si>
    <t>1248-1267-1219-1222-1220-1206-1252-1203-1249-1256-1253-1217-1218-1250-1254-1223-1247-1251-1202-1204-1205-1255-1221</t>
  </si>
  <si>
    <t>ΛΟΤΣΙΟΥ</t>
  </si>
  <si>
    <t>Π810705</t>
  </si>
  <si>
    <t>ΚΩΣΤΑΚΗ</t>
  </si>
  <si>
    <t>Π991568</t>
  </si>
  <si>
    <t>ΑΚ309576</t>
  </si>
  <si>
    <t>ΓΙΑΝΝΗ</t>
  </si>
  <si>
    <t>ΑΖ787214</t>
  </si>
  <si>
    <t>931,3</t>
  </si>
  <si>
    <t>1201-1202-1203-1204-1205-1206-1218-1221-1222-1223-1247-1248-1249-1250-1251-1252-1253-1254-1255-1256-1267</t>
  </si>
  <si>
    <t>Θεοδωρίδης</t>
  </si>
  <si>
    <t>Γεώργιος</t>
  </si>
  <si>
    <t>Τενγκίζ</t>
  </si>
  <si>
    <t>ΑΑ266411</t>
  </si>
  <si>
    <t>930,9</t>
  </si>
  <si>
    <t>1248-1206-1253-1249-1256-1201</t>
  </si>
  <si>
    <t>ΠΕΤΡΙΔΟΥ</t>
  </si>
  <si>
    <t>ΑΙΜΗΛΙΟΣ</t>
  </si>
  <si>
    <t>ΑΗ838290</t>
  </si>
  <si>
    <t>930,7</t>
  </si>
  <si>
    <t>1203-1254-1247-1252-1253-1206-1222-1204-1205-1255-1202-1217-1218-1249-1250-1219-1221-1248-1267-1201</t>
  </si>
  <si>
    <t>ΑΒ075866</t>
  </si>
  <si>
    <t>930,5</t>
  </si>
  <si>
    <t>1250-1255-1267-1201-1248-1206-1253-1254-1202-1247-1249</t>
  </si>
  <si>
    <t>ΕΛΕΩΝΟΡΑ</t>
  </si>
  <si>
    <t>ΑΜ908818</t>
  </si>
  <si>
    <t>930,3</t>
  </si>
  <si>
    <t>1206-1248-1253-1249-1254-1255-1247-1250-1256</t>
  </si>
  <si>
    <t>ΓΙΑΝΤΣΗΣ</t>
  </si>
  <si>
    <t>ΤΡΑΓΙΑΝΟΣ</t>
  </si>
  <si>
    <t>ΑΒ114023</t>
  </si>
  <si>
    <t>929,6</t>
  </si>
  <si>
    <t>1256-1267-1248-1253-1249-1250-1247-1254-1255</t>
  </si>
  <si>
    <t>ΣΤΕΡΓΙΟΠΟΥΛΟΥ</t>
  </si>
  <si>
    <t>ΑΗ702749</t>
  </si>
  <si>
    <t>929,1</t>
  </si>
  <si>
    <t>ΑΝΑΓΝΩΣΤΟΥΔΗ</t>
  </si>
  <si>
    <t>Χ239456</t>
  </si>
  <si>
    <t>928,8</t>
  </si>
  <si>
    <t>ΠΑΠΑΝΔΡΕΟΥ</t>
  </si>
  <si>
    <t>Χ808424</t>
  </si>
  <si>
    <t>928,7</t>
  </si>
  <si>
    <t xml:space="preserve">Ψάρρα </t>
  </si>
  <si>
    <t xml:space="preserve">Ελένη </t>
  </si>
  <si>
    <t xml:space="preserve">Ιωάννης </t>
  </si>
  <si>
    <t>ΑΑ431359</t>
  </si>
  <si>
    <t>928,5</t>
  </si>
  <si>
    <t>ΔΗΜΗΤΡΟΠΟΥΛΟΥ</t>
  </si>
  <si>
    <t>ΑΖ203928</t>
  </si>
  <si>
    <t>927,1</t>
  </si>
  <si>
    <t>1202-1206-1217-1247-1248-1249-1250-1253-1254-1255</t>
  </si>
  <si>
    <t>ΙΟΡΔΑΝΙΔΗΣ</t>
  </si>
  <si>
    <t>ΑΗ788784</t>
  </si>
  <si>
    <t>926,3</t>
  </si>
  <si>
    <t>1249-1267-1219-1248-1253-1206-1205-1202-1217-1247-1250-1254-1255-1256-1251</t>
  </si>
  <si>
    <t>ΜΠΙΣΚΑΝΑΚΗΣ</t>
  </si>
  <si>
    <t>ΑΒ092807</t>
  </si>
  <si>
    <t>926,1</t>
  </si>
  <si>
    <t>1248-1267-1249-1250-1254-1253-1206-1247-1255</t>
  </si>
  <si>
    <t>ΠΑΠΑΧΡΙΣΤΟΥ</t>
  </si>
  <si>
    <t>ΧΡΙΣΤΟΣ</t>
  </si>
  <si>
    <t>ΑΕ736139</t>
  </si>
  <si>
    <t>925,6</t>
  </si>
  <si>
    <t>1217-1250-1202-1204-1205-1206-1218-1219-1220-1221-1222-1223-1247-1248-1249-1251-1252-1253-1255-1201-1254-1256</t>
  </si>
  <si>
    <t>ΝΤΙΟ</t>
  </si>
  <si>
    <t>ΑΒ858364</t>
  </si>
  <si>
    <t>1249-1253-1219-1248-1267-1201-1252-1256-1223-1221-1204-1205-1255-1202-1251-1222-1206-1220-1218-1247-1254-1217-1250</t>
  </si>
  <si>
    <t>ΣΙΩΚΟΥ</t>
  </si>
  <si>
    <t>ΑΒ786416</t>
  </si>
  <si>
    <t>895,4</t>
  </si>
  <si>
    <t>925,4</t>
  </si>
  <si>
    <t>ΤΣΙΑΡΑΣ</t>
  </si>
  <si>
    <t>ΑΚ868473</t>
  </si>
  <si>
    <t>925,3</t>
  </si>
  <si>
    <t>ΑΖ291969</t>
  </si>
  <si>
    <t>1249-1248-1253-1201-1255-1202-1256-1221-1205-1247-1222-1250-1206-1254-1267</t>
  </si>
  <si>
    <t>ΚΥΡΙΑΚΑΤΗ</t>
  </si>
  <si>
    <t>ΒΙΟΛΕΤΤΑ</t>
  </si>
  <si>
    <t>ΑΑ320548</t>
  </si>
  <si>
    <t>1254-1250-1247-1248-1206-1249-1253-1255-1256</t>
  </si>
  <si>
    <t>ΠΟΥΛΙΑΝΙΔΗΣ</t>
  </si>
  <si>
    <t>ΑΜ413308</t>
  </si>
  <si>
    <t>854,7</t>
  </si>
  <si>
    <t>924,7</t>
  </si>
  <si>
    <t>1253-1219-1248-1267-1203</t>
  </si>
  <si>
    <t>ΚΟΥΤΕΛΙΔΑΣ</t>
  </si>
  <si>
    <t>ΑΝ326276</t>
  </si>
  <si>
    <t>924,6</t>
  </si>
  <si>
    <t>1201-1249-1205-1218-1247-1248-1206-1250-1254-1253-1267</t>
  </si>
  <si>
    <t>ΣΙΜΟΥ</t>
  </si>
  <si>
    <t>Φ318681</t>
  </si>
  <si>
    <t>924,5</t>
  </si>
  <si>
    <t>1221-1248-1267-1253-1254-1249-1247-1201-1250-1206-1202-1255-1222-1252-1256-1219-1220-1217-1218-1203-1205-1204-1223-1251</t>
  </si>
  <si>
    <t>ΣΚΟΡΔΑ</t>
  </si>
  <si>
    <t>ΑΗ293771</t>
  </si>
  <si>
    <t>924,3</t>
  </si>
  <si>
    <t>1249-1253-1248-1206-1201-1254-1247-1250-1255-1205-1202</t>
  </si>
  <si>
    <t>ΑΜ601041</t>
  </si>
  <si>
    <t>ΣΥΡΙΟΥ</t>
  </si>
  <si>
    <t>ΕΛΕΝΗ-ΜΑΡΙΑ</t>
  </si>
  <si>
    <t>ΑΝ174062</t>
  </si>
  <si>
    <t>923,9</t>
  </si>
  <si>
    <t>1217-1247-1250-1254-1201-1267-1255-1202-1248-1204-1205-1206-1218-1219-1220-1221-1222-1223</t>
  </si>
  <si>
    <t>ΡΕΝΤΙΦΗΣ</t>
  </si>
  <si>
    <t>Χ983919</t>
  </si>
  <si>
    <t>923,4</t>
  </si>
  <si>
    <t>1254-1247-1250-1256-1267-1249-1206-1253-1248-1255</t>
  </si>
  <si>
    <t>ΒΗΧΟΥΔΗ</t>
  </si>
  <si>
    <t>ΑΚ276822</t>
  </si>
  <si>
    <t>1248-1267-1219-1206-1249</t>
  </si>
  <si>
    <t>ΜΑΚΡΗΣ</t>
  </si>
  <si>
    <t>ΑΒ104636</t>
  </si>
  <si>
    <t>922,9</t>
  </si>
  <si>
    <t>ΠΟΡΤΟΚΑΛΑΚΗ</t>
  </si>
  <si>
    <t>ΑΖ916677</t>
  </si>
  <si>
    <t>922,4</t>
  </si>
  <si>
    <t>1206-1205-1255-1202-1247-1250-1254-1253-1201-1249-1248</t>
  </si>
  <si>
    <t>ΒΑΓΕΝΑΣ</t>
  </si>
  <si>
    <t>ΑΒ730235</t>
  </si>
  <si>
    <t>921,8</t>
  </si>
  <si>
    <t>1219-1206-1248-1267-1255-1202-1205-1249-1250-1247-1251-1253-1254-1256-1217-1201</t>
  </si>
  <si>
    <t>ΑΗ268618</t>
  </si>
  <si>
    <t>920,4</t>
  </si>
  <si>
    <t>1201-1204-1205-1206-1249-1247-1250-1248-1255-1253-1254-1256-1257-1267</t>
  </si>
  <si>
    <t>ΣΤΑΜΟΣ</t>
  </si>
  <si>
    <t>ΑΗ314431</t>
  </si>
  <si>
    <t>920,2</t>
  </si>
  <si>
    <t>1219-1248-1253-1206-1249-1254-1247-1217-1250-1205-1255-1202</t>
  </si>
  <si>
    <t>ΚΑΜΠΟΥΡΑΚΗ</t>
  </si>
  <si>
    <t>ΑΝΘΗ</t>
  </si>
  <si>
    <t>ΑΗ969665</t>
  </si>
  <si>
    <t>ΖΑΜΠΟΥ</t>
  </si>
  <si>
    <t>Χ286493</t>
  </si>
  <si>
    <t>819,5</t>
  </si>
  <si>
    <t>919,5</t>
  </si>
  <si>
    <t>1250-1247-1254-1206-1267-1201-1205-1255-1248-1202-1253</t>
  </si>
  <si>
    <t>ΑΙ329687</t>
  </si>
  <si>
    <t>1249-1253-1252-1256-1222-1220-1219-1223-1255-1250-1221-1218-1251-1254</t>
  </si>
  <si>
    <t>ΓΟΥΝΑΡΗ</t>
  </si>
  <si>
    <t>ΑΕ320956</t>
  </si>
  <si>
    <t>918,7</t>
  </si>
  <si>
    <t>1201-1252-1216-1219-1248-1256-1253-1254-1249-1247-1217-1206-1205-1204-1255-1202-1221-1250-1218</t>
  </si>
  <si>
    <t>ΜΠΑΖΑΝΗ</t>
  </si>
  <si>
    <t>Ρ347893</t>
  </si>
  <si>
    <t>917,7</t>
  </si>
  <si>
    <t>ΑΕ437175</t>
  </si>
  <si>
    <t>917,5</t>
  </si>
  <si>
    <t>1204-1205-1206-1202-1201-1217-1218-1219-1220-1221-1222-1223-1256-1253-1254-1255-1252-1251-1250-1249</t>
  </si>
  <si>
    <t>ΣΠΑΝΟΥ</t>
  </si>
  <si>
    <t>ΑΖ489551</t>
  </si>
  <si>
    <t>917,3</t>
  </si>
  <si>
    <t>ΔΑΛΛΑ</t>
  </si>
  <si>
    <t>ΑΕ194758</t>
  </si>
  <si>
    <t>916,2</t>
  </si>
  <si>
    <t>1267-1248-1206-1249-1205-1255-1202</t>
  </si>
  <si>
    <t>Χ425611</t>
  </si>
  <si>
    <t>915,4</t>
  </si>
  <si>
    <t>1201-1206-1247-1248-1249-1250-1253-1254-1256</t>
  </si>
  <si>
    <t>ΑΙ262844</t>
  </si>
  <si>
    <t>1206-1247-1249-1253-1254-1250-1248-1267</t>
  </si>
  <si>
    <t>ΝΑΙΣΙΔΗΣ</t>
  </si>
  <si>
    <t>Χ225823</t>
  </si>
  <si>
    <t>914,8</t>
  </si>
  <si>
    <t>1219-1267-1248-1253-1255</t>
  </si>
  <si>
    <t>ΜΙΧΑΛΑΚΑ</t>
  </si>
  <si>
    <t>ΑΖ166951</t>
  </si>
  <si>
    <t>884,4</t>
  </si>
  <si>
    <t>914,4</t>
  </si>
  <si>
    <t>1248-1249-1253-1250-1201-1206-1202-1205-1247-1254-1255</t>
  </si>
  <si>
    <t>ΝΤΟΣΤΑ</t>
  </si>
  <si>
    <t>ΑΙ876347</t>
  </si>
  <si>
    <t>913,3</t>
  </si>
  <si>
    <t>1256-1249-1248-1247-1254-1201-1250-1202-1255</t>
  </si>
  <si>
    <t>ΔΕΜΕΡΤΖΗΣ</t>
  </si>
  <si>
    <t>ΑΚ854437</t>
  </si>
  <si>
    <t>913,2</t>
  </si>
  <si>
    <t>1203-1219-1248-1202-1252-1205-1255-1254-1250-1217-1222-1206-1249-1253</t>
  </si>
  <si>
    <t>ΚΟΛΑΤΣΟΥ</t>
  </si>
  <si>
    <t>ΑΖ319906</t>
  </si>
  <si>
    <t>912,4</t>
  </si>
  <si>
    <t>1206-1248-1247-1254-1253-1255-1249</t>
  </si>
  <si>
    <t>ΧΑΡΑΛΑΜΠΙΔΗΣ</t>
  </si>
  <si>
    <t>Σ344365</t>
  </si>
  <si>
    <t>911,8</t>
  </si>
  <si>
    <t>1248-1253-1206-1249-1247-1250-1255-1254-1201-1202-1205</t>
  </si>
  <si>
    <t>ΠΑΤΣΙΑΟΥΡΑΣ</t>
  </si>
  <si>
    <t>ΑΜ376944</t>
  </si>
  <si>
    <t>911,2</t>
  </si>
  <si>
    <t>1201-1202-1204-1205-1206-1247-1248-1249-1250-1253-1254-1255-1256-1267</t>
  </si>
  <si>
    <t>ΚΑΛΟΓΙΑΝΝΑΚΗ</t>
  </si>
  <si>
    <t>ΑΗ958017</t>
  </si>
  <si>
    <t>ΠΑΠΑΦΙΛΗ</t>
  </si>
  <si>
    <t>ΑΕ255838</t>
  </si>
  <si>
    <t>910,2</t>
  </si>
  <si>
    <t>1206-1250-1247-1248-1253-1254-1255-1249-1267</t>
  </si>
  <si>
    <t>ΜΠΑΤΑΛΙΑ</t>
  </si>
  <si>
    <t>ΑΙ239738</t>
  </si>
  <si>
    <t>1250-1248-1253-1254-1206-1202-1205-1255-1249-1247</t>
  </si>
  <si>
    <t>ΚΑΤΣΙΑΜΑΝΗ</t>
  </si>
  <si>
    <t>ΑΒ104026</t>
  </si>
  <si>
    <t>1201-1219-1248-1253-1249-1250-1217-1267-1256-1247-1255-1205-1202-1251</t>
  </si>
  <si>
    <t>ΤΣΑΠΑΝΗ</t>
  </si>
  <si>
    <t>ΑΖ917997</t>
  </si>
  <si>
    <t>908,7</t>
  </si>
  <si>
    <t>1206-1205-1202-1255-1267-1248-1247-1256-1254-1253-1250-1201</t>
  </si>
  <si>
    <t>Τ450677</t>
  </si>
  <si>
    <t>908,6</t>
  </si>
  <si>
    <t>1267-1248-1253-1249</t>
  </si>
  <si>
    <t>ΜΩΡΑΙΤΗΣ</t>
  </si>
  <si>
    <t>ΑΗ329472</t>
  </si>
  <si>
    <t>908,5</t>
  </si>
  <si>
    <t>1253-1249-1248-1219-1256-1206-1254-1250-1247-1255</t>
  </si>
  <si>
    <t>Χ477392</t>
  </si>
  <si>
    <t>906,5</t>
  </si>
  <si>
    <t>1201-1202-1205-1206-1247-1248-1249-1250-1253-1254-1255-1256-1218</t>
  </si>
  <si>
    <t>ΚΩΤΣΟΠΟΥΛΟΥ</t>
  </si>
  <si>
    <t>ΑΖ801288</t>
  </si>
  <si>
    <t>ΤΖΑΤΣΟΣ Η ΤΣΑΤΣΟΣ</t>
  </si>
  <si>
    <t>Π510592</t>
  </si>
  <si>
    <t>1253-1249-1248-1254-1256-1206-1250-1255-1247</t>
  </si>
  <si>
    <t>ΚΩΣΤΟΠΟΥΛΟΣ</t>
  </si>
  <si>
    <t>ΓΙΩΡΓΟΣ</t>
  </si>
  <si>
    <t>ΑΑ430298</t>
  </si>
  <si>
    <t>905,2</t>
  </si>
  <si>
    <t>1201-1247-1248-1253-1254-1256</t>
  </si>
  <si>
    <t>ΚΛΕΟΝΙΚΗ</t>
  </si>
  <si>
    <t>ΑΗ397203</t>
  </si>
  <si>
    <t>904,8</t>
  </si>
  <si>
    <t>1206-1248-1219-1267-1253-1249-1254-1247-1217-1250-1205-1202-1255-1201</t>
  </si>
  <si>
    <t>ΑΗ296303</t>
  </si>
  <si>
    <t>833,8</t>
  </si>
  <si>
    <t>903,8</t>
  </si>
  <si>
    <t>1201-1202-1205-1206-1217-1219-1247-1248-1249-1250-1251-1252-1253-1254-1255-1256</t>
  </si>
  <si>
    <t>ΓΩΓΟΥΛΟΣ</t>
  </si>
  <si>
    <t>ΑΙ851883</t>
  </si>
  <si>
    <t>903,6</t>
  </si>
  <si>
    <t>1201-1247-1254-1205-1253-1202-1206-1248-1250-1249-1255</t>
  </si>
  <si>
    <t>ΤΣΑΒΔΑΡΙΔΟΥ</t>
  </si>
  <si>
    <t>ΑΖ921484</t>
  </si>
  <si>
    <t>1206-1248-1267-1253-1249-1254-1250-1255</t>
  </si>
  <si>
    <t>ΑΓΑΘΑΚΗΣ</t>
  </si>
  <si>
    <t>ΑΗ387568</t>
  </si>
  <si>
    <t>901,9</t>
  </si>
  <si>
    <t>1202-1205-1206-1219-1247-1248-1249-1250-1253-1254-1255</t>
  </si>
  <si>
    <t>ΜΠΟΣΚΟΥ</t>
  </si>
  <si>
    <t>ΑΜ710512</t>
  </si>
  <si>
    <t>901,5</t>
  </si>
  <si>
    <t>1248-1267-1206-1253-1255-1249-1247-1254</t>
  </si>
  <si>
    <t>ΣΚΟΥΝΤΙΑΝΕΛΛΗ</t>
  </si>
  <si>
    <t>ΑΖ431246</t>
  </si>
  <si>
    <t>ΑΡΑΠΟΓΛΟΥ</t>
  </si>
  <si>
    <t>Π885663</t>
  </si>
  <si>
    <t>ΚΛΕΙΣΙΑΡΗ</t>
  </si>
  <si>
    <t>ΑΕ822058</t>
  </si>
  <si>
    <t>900,3</t>
  </si>
  <si>
    <t>1247-1248-1249-1250-1253-1254-1255-1201-1202-1205-1206-1217-1218-1219-1220-1221-1222-1223-1203-1204-1251-1252-1256</t>
  </si>
  <si>
    <t>ΣΙΜΑΚΟΥ</t>
  </si>
  <si>
    <t>ΜΙΧΑΗΛ-Π</t>
  </si>
  <si>
    <t>Φ304314</t>
  </si>
  <si>
    <t>1202-1205-1206-1201-1247-1248-1249-1250-1253-1254-1255-1256</t>
  </si>
  <si>
    <t>ΚΑΤΣΑΝΗΣ</t>
  </si>
  <si>
    <t>ΑΝ384232</t>
  </si>
  <si>
    <t>899,2</t>
  </si>
  <si>
    <t>1222-1206-1249-1267-1256-1248-1219-1201-1252-1254-1247-1217-1250-1253-1255-1205-1202-1251</t>
  </si>
  <si>
    <t>ΜΑΛΤΕΖΑ</t>
  </si>
  <si>
    <t>ΑΙ192903</t>
  </si>
  <si>
    <t>1267-1248-1219-1253-1252-1250-1249-1247-1218-1217-1216</t>
  </si>
  <si>
    <t>ΓΡΑΜΜΑΤΙΚΑ</t>
  </si>
  <si>
    <t>Φ204495</t>
  </si>
  <si>
    <t>898,8</t>
  </si>
  <si>
    <t>1250-1254-1247-1201-1248-1267-1249-1253-1256-1206-1255-1202-1205</t>
  </si>
  <si>
    <t>ΧΑΙΤΑ</t>
  </si>
  <si>
    <t>Τ372022</t>
  </si>
  <si>
    <t>1249-1267-1201-1256-1253-1248-1206-1247-1250-1255-1202-1205</t>
  </si>
  <si>
    <t>ΜΑΡΚΟΠΟΥΛΟΥ</t>
  </si>
  <si>
    <t>ΑΜ851490</t>
  </si>
  <si>
    <t>1249-1253-1248-1206-1267</t>
  </si>
  <si>
    <t>ΡΕΤΣΙΝΗ</t>
  </si>
  <si>
    <t>ΙΩΑΝΝΑ ΜΟΣΧΟΥΛΑ</t>
  </si>
  <si>
    <t>Χ831082</t>
  </si>
  <si>
    <t>896,7</t>
  </si>
  <si>
    <t>1247-1204-1206-1217-1218-1205-1203-1202-1219-1220-1221-1222-1223-1253</t>
  </si>
  <si>
    <t>ΤΣΙΑΜΑΚΗΣ</t>
  </si>
  <si>
    <t>ΑΕ249212</t>
  </si>
  <si>
    <t>896,1</t>
  </si>
  <si>
    <t>1218-1217-1250-1249-1206-1252-1254-1247-1248-1219-1220-1221-1222-1223-1251-1253-1255-1256-1202-1204-1205</t>
  </si>
  <si>
    <t>ΜΠΑΚΟΠΟΥΛΟΥ</t>
  </si>
  <si>
    <t>ΑΕ327682</t>
  </si>
  <si>
    <t>895,8</t>
  </si>
  <si>
    <t>1223-1247-1254-1217-1250-1203-1252-1201-1219-1220-1248-1222-1253-1249-1218-1206-1267</t>
  </si>
  <si>
    <t>ΠΑΠΑΔΗΜΗΤΡΟΠΟΥΛΟΣ</t>
  </si>
  <si>
    <t>Φ266742</t>
  </si>
  <si>
    <t>895,1</t>
  </si>
  <si>
    <t>1267-1248-1254-1206-1253-1249-1250-1255-1257-1201-1202</t>
  </si>
  <si>
    <t>ΔΑΡΔΑ</t>
  </si>
  <si>
    <t>ΕΥΓΓΕΛΙΑ</t>
  </si>
  <si>
    <t>ΑΚ984326</t>
  </si>
  <si>
    <t>894,2</t>
  </si>
  <si>
    <t>1201-1202-1205-1206-1249-1255-1256-1219-1248-1253</t>
  </si>
  <si>
    <t>ΑΜ693781</t>
  </si>
  <si>
    <t>893,6</t>
  </si>
  <si>
    <t>1267-1253-1248-1256-1222-1206-1249-1254-1250</t>
  </si>
  <si>
    <t>ΝΙΑΝΙΑΚΑ</t>
  </si>
  <si>
    <t>ΑΗ288985</t>
  </si>
  <si>
    <t>892,8</t>
  </si>
  <si>
    <t>1249-1219-1253-1256-1206</t>
  </si>
  <si>
    <t>ΑΛΕΞΑΝΔΡΟΠΟΥΛΟΥ</t>
  </si>
  <si>
    <t>ΑΒ402658</t>
  </si>
  <si>
    <t>1250-1254-1201-1248-1253-1205-1255-1202-1247-1249-1206</t>
  </si>
  <si>
    <t>ΒΟΥΛΓΑΡΟΠΟΥΛΟΥ</t>
  </si>
  <si>
    <t>ΜΑΡΙΑ ΑΦΡΟΔΙΤΗ</t>
  </si>
  <si>
    <t>ΑΑ969205</t>
  </si>
  <si>
    <t>892,6</t>
  </si>
  <si>
    <t>1201-1248-1267-1206-1202-1205-1255-1254-1249-1253-1247-1256-1250</t>
  </si>
  <si>
    <t>ΚΟΛΟΒΟΥ</t>
  </si>
  <si>
    <t>ΑΚ950425</t>
  </si>
  <si>
    <t>892,3</t>
  </si>
  <si>
    <t>1205-1202-1250-1255-1247-1248-1253-1254-1249-1206</t>
  </si>
  <si>
    <t>ΑΜ851917</t>
  </si>
  <si>
    <t>890,9</t>
  </si>
  <si>
    <t>ΚΩΤΤΗ</t>
  </si>
  <si>
    <t>ΑΙ190959</t>
  </si>
  <si>
    <t>890,6</t>
  </si>
  <si>
    <t>1219-1248-1206-1253-1256-1249-1205-1255-1202-1201-1251-1250-1217-1247-1254</t>
  </si>
  <si>
    <t>ΠΑΟΥΝΗ</t>
  </si>
  <si>
    <t>Χ379174</t>
  </si>
  <si>
    <t>1202-1204-1205-1206-1217-1218-1219-1220-1221-1222-1223-1247-1248-1249-1250-1251-1252-1253-1254-1255-1256</t>
  </si>
  <si>
    <t>ΤΑΠΑΣΚΟΥ</t>
  </si>
  <si>
    <t>ΑΒ693199</t>
  </si>
  <si>
    <t>888,3</t>
  </si>
  <si>
    <t>1219-1267-1248-1222</t>
  </si>
  <si>
    <t>ΤΖΕΛΕΠΑΚΗ</t>
  </si>
  <si>
    <t>ΑΜ833112</t>
  </si>
  <si>
    <t>1248-1254-1253-1255-1249-1247-1250-1206-1205-1202-1201-1267</t>
  </si>
  <si>
    <t>ΣΙΩΛΑΣ</t>
  </si>
  <si>
    <t>ΒΑΣΙΛΕΙΟΣ-ΧΡΗΣΤΟΣ</t>
  </si>
  <si>
    <t>ΑΜ718261</t>
  </si>
  <si>
    <t>887,4</t>
  </si>
  <si>
    <t>1248-1219-1256-1253-1249-1252-1203-1201-1247-1205-1202-1250-1251-1255-1254-1217</t>
  </si>
  <si>
    <t>ΧΑΤΖΗΠΑΣΧΑΛΗΣ</t>
  </si>
  <si>
    <t>ΑΝ382821</t>
  </si>
  <si>
    <t>887,3</t>
  </si>
  <si>
    <t>ΑΓΑΠΗ</t>
  </si>
  <si>
    <t>ΑΗ871787</t>
  </si>
  <si>
    <t>885,9</t>
  </si>
  <si>
    <t>1206-1248-1249-1247-1217-1218-1250-1253-1254-1267-1202-1255-1205</t>
  </si>
  <si>
    <t>ΚΟΥΜΠΟΥΝΗ</t>
  </si>
  <si>
    <t>ΑΜ764867</t>
  </si>
  <si>
    <t>1250-1217-1247-1252-1253-1254-1255</t>
  </si>
  <si>
    <t>ΟΠΛΟΠΟΙΟΥ</t>
  </si>
  <si>
    <t>ΑΗ452350</t>
  </si>
  <si>
    <t>885,8</t>
  </si>
  <si>
    <t>1222-1206-1267-1248-1253-1247-1256</t>
  </si>
  <si>
    <t>ΑΙ836400</t>
  </si>
  <si>
    <t>1255-1202-1205-1206-1248-1247-1249-1250-1253-1254</t>
  </si>
  <si>
    <t>ΑΖ362129</t>
  </si>
  <si>
    <t>885,2</t>
  </si>
  <si>
    <t>ΚΛΟΝΤΖΑΡΗ</t>
  </si>
  <si>
    <t>ΑΙ263252</t>
  </si>
  <si>
    <t>884,1</t>
  </si>
  <si>
    <t>1203-1202-1204-1205-1206-1217-1218-1219-1220-1221-1222-1223-1247-1248-1249-1250-1251-1252-1253-1254</t>
  </si>
  <si>
    <t>ΚΟΙΚΑΣ</t>
  </si>
  <si>
    <t>ΑΑ058738</t>
  </si>
  <si>
    <t>1202-1205-1206-1248-1247-1249-1253-1254-1255</t>
  </si>
  <si>
    <t>ΚΟΝΤΟΒΑΣ</t>
  </si>
  <si>
    <t>ΑΝ338411</t>
  </si>
  <si>
    <t>883,8</t>
  </si>
  <si>
    <t>1201-1252-1254-1219-1247-1206-1253-1256-1248-1249-1217-1250-1202-1205-1255-1251</t>
  </si>
  <si>
    <t>ΑΙ299510</t>
  </si>
  <si>
    <t>1205-1254-1248-1206-1247-1249-1253-1255-1250</t>
  </si>
  <si>
    <t>ΟΥΛΕΜΑΝΗ</t>
  </si>
  <si>
    <t>ΑΖ308746</t>
  </si>
  <si>
    <t>1256-1253-1248-1206-1201-1202-1203-1204-1205-1217-1218-1219-1220-1221-1222-1223-1247-1249-1250-1251-1252-1254-1255</t>
  </si>
  <si>
    <t>ΜΠΟΥΜΠΑΚΗ</t>
  </si>
  <si>
    <t>ΑΙ791479</t>
  </si>
  <si>
    <t>882,9</t>
  </si>
  <si>
    <t>1250-1247-1201-1253-1254-1206-1248-1249-1205-1202-1255</t>
  </si>
  <si>
    <t>ΤΣΙΛΦΙΔΟΥ</t>
  </si>
  <si>
    <t>ΑΝ375470</t>
  </si>
  <si>
    <t>881,8</t>
  </si>
  <si>
    <t>1253-1256-1248</t>
  </si>
  <si>
    <t>ΑΜΠΝΤΕΛ-ΡΑΧΗΜ</t>
  </si>
  <si>
    <t>ΣΑΜΙΑ</t>
  </si>
  <si>
    <t>ΜΩΧΑΜΕΝΤ</t>
  </si>
  <si>
    <t>Τ071395</t>
  </si>
  <si>
    <t>1247-1248-1250-1253</t>
  </si>
  <si>
    <t>ΡΕΛΚΑ</t>
  </si>
  <si>
    <t xml:space="preserve">ΜΑΓΔΑΛΗΝΗ </t>
  </si>
  <si>
    <t>Χ947810</t>
  </si>
  <si>
    <t>881,7</t>
  </si>
  <si>
    <t>1256-1206-1201-1217-1247</t>
  </si>
  <si>
    <t>ΓΡΗΓΟΡΟΠΟΥΛΟΥ</t>
  </si>
  <si>
    <t>Χ984307</t>
  </si>
  <si>
    <t>881,4</t>
  </si>
  <si>
    <t>1254-1247-1250-1255-1253-1206-1248-1256-1249</t>
  </si>
  <si>
    <t>ΑΖ793706</t>
  </si>
  <si>
    <t>880,7</t>
  </si>
  <si>
    <t>1249-1253-1256-1248-1206-1201-1247-1254-1255-1205-1202</t>
  </si>
  <si>
    <t>ΑΠΟΣΤΟΛΙΔΟΥ</t>
  </si>
  <si>
    <t>AM373189</t>
  </si>
  <si>
    <t>880,2</t>
  </si>
  <si>
    <t>1206-1222-1247-1248-1249-1250-1253-1254-1255-1256</t>
  </si>
  <si>
    <t>ΟΥΡΓΑΝΤΖΙΔΟΥ</t>
  </si>
  <si>
    <t xml:space="preserve">ΑΡΤΕΜΙΣ </t>
  </si>
  <si>
    <t>ΑΙ712815</t>
  </si>
  <si>
    <t>879,9</t>
  </si>
  <si>
    <t>Κουτέλας</t>
  </si>
  <si>
    <t>Πέτρος</t>
  </si>
  <si>
    <t>Παναγιώτης</t>
  </si>
  <si>
    <t>ΑΚ430256</t>
  </si>
  <si>
    <t>879,7</t>
  </si>
  <si>
    <t>1201-1248-1205-1255-1202-1206-1247-1250-1253-1256-1249-1254</t>
  </si>
  <si>
    <t>ΑΝΔΡΙΤΣΟΥ</t>
  </si>
  <si>
    <t>ΑΖ703474</t>
  </si>
  <si>
    <t>879,3</t>
  </si>
  <si>
    <t>1267-1248-1201-1202-1205-1255-1247-1221-1254-1217-1250-1249-1253-1256-1206-1222</t>
  </si>
  <si>
    <t>ΣΤΡΑΝΤΖΑΛΗΣ</t>
  </si>
  <si>
    <t>ΑΝ346563</t>
  </si>
  <si>
    <t>879,2</t>
  </si>
  <si>
    <t>1201-1202-1206-1248-1249-1253-1255-1267-1256-1247-1250-1254</t>
  </si>
  <si>
    <t>ΚΑΠΛΑΝΙΔΟΥ</t>
  </si>
  <si>
    <t>ΑΕ890289</t>
  </si>
  <si>
    <t>1206-1219-1248-1253-1256-1247-1249-1250-1255</t>
  </si>
  <si>
    <t>ΠΑΠΑΦΩΤΟΠΟΥΛΟΣ-ΠΑΤΡΙΝΟΣ</t>
  </si>
  <si>
    <t>ΑΑ317849</t>
  </si>
  <si>
    <t>878,4</t>
  </si>
  <si>
    <t>1201-1217-1218-1250-1204-1205-1221-1223-1251-1255</t>
  </si>
  <si>
    <t>ΒΑΣΙΚΩΣΤΑ</t>
  </si>
  <si>
    <t>Τ990072</t>
  </si>
  <si>
    <t>876,3</t>
  </si>
  <si>
    <t>1254-1201-1247-1248-1250-1249-1253-1256-1206-1205-1255-1202</t>
  </si>
  <si>
    <t>ΓΑΛΙΑΤΣΟΥ</t>
  </si>
  <si>
    <t>ΑΒ393098</t>
  </si>
  <si>
    <t>635,8</t>
  </si>
  <si>
    <t>875,8</t>
  </si>
  <si>
    <t>1201-1248-1247-1206-1249-1250-1253-1254-1255-1202-1205</t>
  </si>
  <si>
    <t>ΝΙΚΟΛΟΠΟΥΛΟΥ</t>
  </si>
  <si>
    <t>ΑΙ220091</t>
  </si>
  <si>
    <t>875,6</t>
  </si>
  <si>
    <t>1202-1204-1215-1206-1247-1248-1249-1258-1253-1254-1255</t>
  </si>
  <si>
    <t>ΘΕΟΩΡΟΣ</t>
  </si>
  <si>
    <t>Χ355143</t>
  </si>
  <si>
    <t>874,7</t>
  </si>
  <si>
    <t>1202-1221-1204-1205-1255-1219-1248-1267-1217-1250-1206-1201-1203-1218-1256-1247-1254-1253-1249-1220-1222</t>
  </si>
  <si>
    <t>ΚΟΥΡΣΑΡΑΚΟΣ</t>
  </si>
  <si>
    <t>ΑΜ861329</t>
  </si>
  <si>
    <t>874,6</t>
  </si>
  <si>
    <t>1256-1253-1267-1248-1206-1249-1201-1250-1247-1218-1202-1205-1255-1254</t>
  </si>
  <si>
    <t>ΣΠΑΝΙΑ</t>
  </si>
  <si>
    <t>ΑΒ432150</t>
  </si>
  <si>
    <t>874,1</t>
  </si>
  <si>
    <t>1247-1201-1267-1206-1202-1249-1205-1255-1250-1256-1254-1253-1248</t>
  </si>
  <si>
    <t>ΒΑΡΒΑΤΟΥ</t>
  </si>
  <si>
    <t>ΑΖ214029</t>
  </si>
  <si>
    <t>1249-1206-1255-1248-1247-1253-1254-1250</t>
  </si>
  <si>
    <t>ΑΖ814001</t>
  </si>
  <si>
    <t>873,9</t>
  </si>
  <si>
    <t>1248-1253</t>
  </si>
  <si>
    <t>ΚΟΝΤΟΓΕΩΡΓΟΥ</t>
  </si>
  <si>
    <t>ΑΖ769361</t>
  </si>
  <si>
    <t>873,8</t>
  </si>
  <si>
    <t>1201-1203-1249-1253-1256-1250-1255-1247-1248-1254-1202</t>
  </si>
  <si>
    <t>ΚΟΡΕΛΗΣ</t>
  </si>
  <si>
    <t>ΑΚ095767</t>
  </si>
  <si>
    <t>873,3</t>
  </si>
  <si>
    <t>1247-1250-1254-1206-1248</t>
  </si>
  <si>
    <t>ΒΟΥΚΟΥΤΗ</t>
  </si>
  <si>
    <t>ΑΗ483066</t>
  </si>
  <si>
    <t>872,4</t>
  </si>
  <si>
    <t>1247-1254-1250-1201-1248-1267-1249-1253-1206-1205-1255</t>
  </si>
  <si>
    <t>ΔΑΛΑΜΗΤΡΑ</t>
  </si>
  <si>
    <t>ΑΗ192233</t>
  </si>
  <si>
    <t>872,3</t>
  </si>
  <si>
    <t>1248-1206-1253-1247-1249-1255-1254-1250-1256-1252-1251-1219-1222-1201-1202-1220-1205-1204-1217-1218-1223-1221</t>
  </si>
  <si>
    <t>ΤΣΙΡΗ</t>
  </si>
  <si>
    <t>ΑΒ867778</t>
  </si>
  <si>
    <t>872,2</t>
  </si>
  <si>
    <t>ΦΑΣΟΥΛΑΚΟΥ</t>
  </si>
  <si>
    <t>ΑΕ129047</t>
  </si>
  <si>
    <t>871,1</t>
  </si>
  <si>
    <t>1256-1253-1255-1202-1247-1201-1254-1206-1249-1248-1250</t>
  </si>
  <si>
    <t>ΝΑΤΣΟΠΟΥΛΟΣ</t>
  </si>
  <si>
    <t>Χ369514</t>
  </si>
  <si>
    <t>1206-1219-1248-1253-1249-1205-1255-1201-1254-1202-1217-1250</t>
  </si>
  <si>
    <t xml:space="preserve">ΤΣΙΑΤΣΙΟΥ </t>
  </si>
  <si>
    <t>Χ391420</t>
  </si>
  <si>
    <t>869,3</t>
  </si>
  <si>
    <t>ΖΡΑΦΚΟΠΟΥΛΟΥ</t>
  </si>
  <si>
    <t>Σ884242</t>
  </si>
  <si>
    <t>869,2</t>
  </si>
  <si>
    <t>1206-1267-1248-1202-1255</t>
  </si>
  <si>
    <t>ΠΟΣΤΑΝΙΔΟΥ</t>
  </si>
  <si>
    <t>ΑΚ979472</t>
  </si>
  <si>
    <t>869,1</t>
  </si>
  <si>
    <t>1249-1253-1219-1248-1267-1206-1247-1255-1205-1202-1201-1203-1254-1250-1217</t>
  </si>
  <si>
    <t>ΑΖ352171</t>
  </si>
  <si>
    <t>868,8</t>
  </si>
  <si>
    <t>1248-1247-1250-1253-1254-1255-1256</t>
  </si>
  <si>
    <t>ΜΠΙΣΜΠΙΚΗΣ</t>
  </si>
  <si>
    <t>Φ437474</t>
  </si>
  <si>
    <t>868,6</t>
  </si>
  <si>
    <t>1201-1249-1250-1248-1247-1218-1217-1253-1255-1206-1202-1205</t>
  </si>
  <si>
    <t>ΣΚΟΥΤΕΛΑ</t>
  </si>
  <si>
    <t>ΑΙ325631</t>
  </si>
  <si>
    <t>ΑΒ199064</t>
  </si>
  <si>
    <t>867,4</t>
  </si>
  <si>
    <t>1254-1247-1255-1248-1253-1249-1250-1206</t>
  </si>
  <si>
    <t>ΔΙΔΑΧΟΥ</t>
  </si>
  <si>
    <t>Χ801362</t>
  </si>
  <si>
    <t>866,6</t>
  </si>
  <si>
    <t>ΑΜ428335</t>
  </si>
  <si>
    <t>866,3</t>
  </si>
  <si>
    <t>1248-1257-1206-1247-1250-1253-1254-1249-1201</t>
  </si>
  <si>
    <t>ΑΒ746996</t>
  </si>
  <si>
    <t>866,2</t>
  </si>
  <si>
    <t>1248-1206-1253-1256-1247-1201-1249-1254-1255-1202-1250</t>
  </si>
  <si>
    <t>ΠΑΝΑΓΟΥ</t>
  </si>
  <si>
    <t>Σ888919</t>
  </si>
  <si>
    <t>1201-1254-1248-1247-1253-1249-1250-1255-1205-1206-1202</t>
  </si>
  <si>
    <t>ΑΒ433530</t>
  </si>
  <si>
    <t>864,9</t>
  </si>
  <si>
    <t>1249-1248-1267-1253-1256-1201-1206-1250-1247-1254-1202-1205-1255</t>
  </si>
  <si>
    <t>ΠΑΠΑΝΙΚΟΣ</t>
  </si>
  <si>
    <t>ΑΒ431814</t>
  </si>
  <si>
    <t>863,9</t>
  </si>
  <si>
    <t>1201-1203-1252-1254-1267-1247-1248-1253-1249-1218-1256-1250-1206-1222-1202-1205-1255</t>
  </si>
  <si>
    <t>ΑΒ490938</t>
  </si>
  <si>
    <t>863,1</t>
  </si>
  <si>
    <t>ΧΡΟΝΟΠΟΥΛΟΥ</t>
  </si>
  <si>
    <t>Χ808318</t>
  </si>
  <si>
    <t>862,7</t>
  </si>
  <si>
    <t>ΑΗΔΟΝΙΔΗΣ</t>
  </si>
  <si>
    <t>Χ342952</t>
  </si>
  <si>
    <t>862,3</t>
  </si>
  <si>
    <t>1249-1206-1218-1248-1247-1255-1254-1250-1253</t>
  </si>
  <si>
    <t>ΑΜ995115</t>
  </si>
  <si>
    <t>861,6</t>
  </si>
  <si>
    <t>1247-1254-1250-1253-1267-1248-1206-1255-1205</t>
  </si>
  <si>
    <t>ΚΩΣΤΟΓΛΙΔΗΣ</t>
  </si>
  <si>
    <t>ΑΗ329381</t>
  </si>
  <si>
    <t>861,5</t>
  </si>
  <si>
    <t>1253-1217-1218-1220-1221-1222-1223-1248-1247-1249-1252-1254-1256-1267-1204-1205-1206-1219-1250-1251-1255</t>
  </si>
  <si>
    <t>ΑΒ854923</t>
  </si>
  <si>
    <t>1248-1267-1206-1218-1249-1254-1247-1256-1250-1253-1255</t>
  </si>
  <si>
    <t>ΑΙ797351</t>
  </si>
  <si>
    <t>860,7</t>
  </si>
  <si>
    <t>Βενεκά</t>
  </si>
  <si>
    <t>Δημήτριος</t>
  </si>
  <si>
    <t>ΑΜ765636</t>
  </si>
  <si>
    <t>860,6</t>
  </si>
  <si>
    <t>859,8</t>
  </si>
  <si>
    <t>ΑΒ842007</t>
  </si>
  <si>
    <t>859,6</t>
  </si>
  <si>
    <t>1201-1219-1248-1249-1254-1267-1206-1253-1256-1247-1217-1250-1218-1205-1255-1221-1202</t>
  </si>
  <si>
    <t>ΣΚΥΛΟΓΙΑΝΝΗΣ</t>
  </si>
  <si>
    <t>ΑΜ376368</t>
  </si>
  <si>
    <t>1248-1201-1202-1205-1255-1206-1247-1249-1250-1253-1254-1256</t>
  </si>
  <si>
    <t>ΤΕΚΕΔΟΠΟΥΛΟΥ</t>
  </si>
  <si>
    <t>Χ948422</t>
  </si>
  <si>
    <t>1256-1253-1267-1248-1206-1249-1247-1254-1255-1250</t>
  </si>
  <si>
    <t>ΑΒ806399</t>
  </si>
  <si>
    <t>858,8</t>
  </si>
  <si>
    <t>1201-1206-1249-1248-1250-1253-1254-1256</t>
  </si>
  <si>
    <t>ΣΑΜΑΡΑΣ</t>
  </si>
  <si>
    <t>ΑΖ789046</t>
  </si>
  <si>
    <t>1249-1205</t>
  </si>
  <si>
    <t>ΚΙΟΥΛΤΖΟΠΟΥΛΟΥ</t>
  </si>
  <si>
    <t>ΑΗ309989</t>
  </si>
  <si>
    <t>1256-1249-1253-1206-1250-1254-1247-1248-1267</t>
  </si>
  <si>
    <t>Χ094778</t>
  </si>
  <si>
    <t>856,5</t>
  </si>
  <si>
    <t>1217-1250-1247-1218-1219-1248-1221-1205-1255-1202-1206-1254-1249-1201-1253</t>
  </si>
  <si>
    <t>ΣΕΜΕΡΤΖΑΚΗ</t>
  </si>
  <si>
    <t>Σ924704</t>
  </si>
  <si>
    <t>856,4</t>
  </si>
  <si>
    <t>1202-1205-1255-1248-1206-1253-1250-1201-1247-1249-1256</t>
  </si>
  <si>
    <t>ΑΜΔΑΡΗΣ</t>
  </si>
  <si>
    <t>Χ932610</t>
  </si>
  <si>
    <t>1254-1253-1249-1256-1250-1255-1248-1247-1202-1205-1206-1217-1219-1251</t>
  </si>
  <si>
    <t>ΒΛΑΧΟΠΟΥΛΟΥ</t>
  </si>
  <si>
    <t>Χ896700</t>
  </si>
  <si>
    <t>855,2</t>
  </si>
  <si>
    <t>ΚΑΛΟΓΕΡΟΠΑΝΟΥ</t>
  </si>
  <si>
    <t>Χ275279</t>
  </si>
  <si>
    <t>855,1</t>
  </si>
  <si>
    <t>1250-1201-1267-1248-1253-1256-1254-1247</t>
  </si>
  <si>
    <t>ΧΟΡΤΑΡΙΑ</t>
  </si>
  <si>
    <t>ΑΑ307099</t>
  </si>
  <si>
    <t>1218-1217-1219-1220-1221-1222-1223-1202-1206-1204-1205-1201-1247-1248-1249-1253-1254-1255</t>
  </si>
  <si>
    <t>ΛΑΓΙΟΥ</t>
  </si>
  <si>
    <t>ΑΗ088900</t>
  </si>
  <si>
    <t>854,6</t>
  </si>
  <si>
    <t>1254-1247-1201-1267-1248-1219-1255-1205-1202-1256-1253-1249-1250-1217-1206</t>
  </si>
  <si>
    <t>ΣΙΝΑΠΗ</t>
  </si>
  <si>
    <t>Φ314516</t>
  </si>
  <si>
    <t>854,5</t>
  </si>
  <si>
    <t>1256-1253-1248-1249-1206-1247-1254-1250-1255</t>
  </si>
  <si>
    <t>ΜΠΑΛΗ</t>
  </si>
  <si>
    <t>Χ984924</t>
  </si>
  <si>
    <t>853,9</t>
  </si>
  <si>
    <t>1254-1247-1248-1205-1206-1249-1250-1255-1256</t>
  </si>
  <si>
    <t>ΣΙΤΑΡΙΔΟΥ</t>
  </si>
  <si>
    <t>ΑΜ432740</t>
  </si>
  <si>
    <t>1219-1220-1248</t>
  </si>
  <si>
    <t>ΤΣΑΚΑΛΟΣ</t>
  </si>
  <si>
    <t>ΑΗ978708</t>
  </si>
  <si>
    <t>852,8</t>
  </si>
  <si>
    <t>1254-1201-1247</t>
  </si>
  <si>
    <t>ΕΝΤΖΕΛΙΔΗΣ</t>
  </si>
  <si>
    <t>ΑΒ441123</t>
  </si>
  <si>
    <t>852,7</t>
  </si>
  <si>
    <t>1206-1219-1248-1249-1253-1256-1267</t>
  </si>
  <si>
    <t>ΚΟΥΤΣΟΥΠΙΑ</t>
  </si>
  <si>
    <t>Χ835404</t>
  </si>
  <si>
    <t>851,2</t>
  </si>
  <si>
    <t>1204-1205-1255-1221-1202-1218-1254-1219-1248-1203-1206-1220-1222-1249-1252-1253-1256-1247-1217-1250-1267</t>
  </si>
  <si>
    <t>Σ623182</t>
  </si>
  <si>
    <t>850,5</t>
  </si>
  <si>
    <t>1250-1254-1249-1248-1267-1253</t>
  </si>
  <si>
    <t>ΤΖΙΤΖΙΟΣ</t>
  </si>
  <si>
    <t>ΑΕ682434</t>
  </si>
  <si>
    <t>1219-1267-1248-1249-1206</t>
  </si>
  <si>
    <t>Χ205288</t>
  </si>
  <si>
    <t>ΣΦΟΝΔΥΛΗ</t>
  </si>
  <si>
    <t>ΒΗΣΣΑΡΙΩΝ</t>
  </si>
  <si>
    <t>ΑΖ248019</t>
  </si>
  <si>
    <t>850,1</t>
  </si>
  <si>
    <t>1267-1248-1250-1247-1254-1206-1249-1253-1255-1205-1202</t>
  </si>
  <si>
    <t>ΨΩΜΑΣ</t>
  </si>
  <si>
    <t>Χ777590</t>
  </si>
  <si>
    <t>848,3</t>
  </si>
  <si>
    <t>1247-1254-1250-1248-1202-1205-1255-1201-1267-1253-1206-1249</t>
  </si>
  <si>
    <t>ΒΛΑΜΗΣ</t>
  </si>
  <si>
    <t>Φ212403</t>
  </si>
  <si>
    <t>847,1</t>
  </si>
  <si>
    <t>1217-1250-1201-1202-1219</t>
  </si>
  <si>
    <t>ΡΑΚΟΥ</t>
  </si>
  <si>
    <t>ΑΗ771410</t>
  </si>
  <si>
    <t>846,9</t>
  </si>
  <si>
    <t>1252-1201-1206-1254-1253-1249-1247-1255-1219-1221</t>
  </si>
  <si>
    <t>ΣΙΟΥΤΑ</t>
  </si>
  <si>
    <t>ΑΖ742361</t>
  </si>
  <si>
    <t>846,6</t>
  </si>
  <si>
    <t>1249-1267-1253-1219</t>
  </si>
  <si>
    <t>ΡΟΥΜΠΑ</t>
  </si>
  <si>
    <t>ΑΙ212150</t>
  </si>
  <si>
    <t>846,2</t>
  </si>
  <si>
    <t>1247-1255-1254-1250-1253-1248</t>
  </si>
  <si>
    <t>ΤΖΑΤΣΟΥ</t>
  </si>
  <si>
    <t>ΑΑ276219</t>
  </si>
  <si>
    <t>ΔΕΡΤΙΜΑΝΗΣ</t>
  </si>
  <si>
    <t>ΑΒ781401</t>
  </si>
  <si>
    <t>845,8</t>
  </si>
  <si>
    <t>1217-1248-1247-1250-1219</t>
  </si>
  <si>
    <t>ΜΑΝΑΝΗ</t>
  </si>
  <si>
    <t>ΑΒ868808</t>
  </si>
  <si>
    <t>845,4</t>
  </si>
  <si>
    <t>1249-1248-1253-1255-1202-1205-1219-1222-1206-1220-1221</t>
  </si>
  <si>
    <t>ΔΗΜΗΤΡΑΚΟΠΟΥΛΟΣ</t>
  </si>
  <si>
    <t>ΑΚ078607</t>
  </si>
  <si>
    <t>1201-1202-1205-1206-1217-1219-1247-1248-1249-1250-1253-1254-1255-1267</t>
  </si>
  <si>
    <t>ΔΙΠΛΑΡΗΣ</t>
  </si>
  <si>
    <t>ΑΕ810587</t>
  </si>
  <si>
    <t>845,3</t>
  </si>
  <si>
    <t>1201-1202-1205-1206-1247-1248-1249-1250-1253-1254-1255-1256-1257-1267</t>
  </si>
  <si>
    <t>ΧΟΙΔΑΣ</t>
  </si>
  <si>
    <t>ΣΠΥΡΟΝΙΚΟΛΑΣ</t>
  </si>
  <si>
    <t>ΑΝ3383459</t>
  </si>
  <si>
    <t>1250-1248-1255-1247-1249-1206-1254-1253-1256</t>
  </si>
  <si>
    <t>ΓΑΛΑΡΑ</t>
  </si>
  <si>
    <t>ΑΒ129316</t>
  </si>
  <si>
    <t>844,9</t>
  </si>
  <si>
    <t>1206-1248-1267-1205-1201-1202-1247-1249-1250-1253-1254-1255</t>
  </si>
  <si>
    <t>ΜΑΡΟΥΣΗΣ</t>
  </si>
  <si>
    <t>ΑΜ776534</t>
  </si>
  <si>
    <t>ΠΑΣΧΟΥ</t>
  </si>
  <si>
    <t>Χ137493</t>
  </si>
  <si>
    <t>844,7</t>
  </si>
  <si>
    <t>1201-1249-1218-1247-1253-1248-1254-1206-1255-1250-1221-1267-1205-1202</t>
  </si>
  <si>
    <t>ΓΕΩΡΓΑΝΤΑ</t>
  </si>
  <si>
    <t>ΑΝ137070</t>
  </si>
  <si>
    <t>844,5</t>
  </si>
  <si>
    <t>1201-1202-1204-1205-1206-1217-1223-1247-1256-1267</t>
  </si>
  <si>
    <t>ΓΚΑΤΖΗΜΑ</t>
  </si>
  <si>
    <t>ΑΙ872169</t>
  </si>
  <si>
    <t>844,4</t>
  </si>
  <si>
    <t>1249-1205-1255-1253-1219-1248-1201-1206-1202-1254-1217-1250</t>
  </si>
  <si>
    <t>ΜΙΧΑΛΑΚΗΣ</t>
  </si>
  <si>
    <t>ΑΖ480448</t>
  </si>
  <si>
    <t>1201-1202-1206-1247-1248-1249-1250-1253-1254-1255-1256-1217-1218-1219-1251</t>
  </si>
  <si>
    <t>ΝΤΕΓΙΑΝΝΗ</t>
  </si>
  <si>
    <t>ΑΒ392614</t>
  </si>
  <si>
    <t>844,2</t>
  </si>
  <si>
    <t>1267-1248-1201</t>
  </si>
  <si>
    <t>ΤΑΚΙΔΟΥ</t>
  </si>
  <si>
    <t>ΘΕΑΝΘΗ</t>
  </si>
  <si>
    <t>Χ968527</t>
  </si>
  <si>
    <t>843,9</t>
  </si>
  <si>
    <t>1248-1250-1252-1249-1247-1254-1255</t>
  </si>
  <si>
    <t>ΑΙ297421</t>
  </si>
  <si>
    <t>624,8</t>
  </si>
  <si>
    <t>843,8</t>
  </si>
  <si>
    <t>1201-1254-1249-1247-1253-1248-1250-1255-1202</t>
  </si>
  <si>
    <t>ΚΩΣΤΟΠΟΥΛΟΥ</t>
  </si>
  <si>
    <t>Τ850551</t>
  </si>
  <si>
    <t>1250-1254-1255-1248-1267-1247-1249-1253-1206</t>
  </si>
  <si>
    <t>ΜΠΑΜΠΑΛΙΑΡΗΣ</t>
  </si>
  <si>
    <t>ΑΚ467130</t>
  </si>
  <si>
    <t>843,3</t>
  </si>
  <si>
    <t>1202-1204-1205-1206-1221-1219-1217-1218-1222-1223-1220-1248-1255-1254-1253-1250-1256-1247-1249-1251-1252</t>
  </si>
  <si>
    <t>ΛΟΪΖΙΔΟΥ</t>
  </si>
  <si>
    <t>ΑΜ994291</t>
  </si>
  <si>
    <t>815,1</t>
  </si>
  <si>
    <t>843,1</t>
  </si>
  <si>
    <t>ΛΙΟΥΓΚΑ</t>
  </si>
  <si>
    <t>Χ974204</t>
  </si>
  <si>
    <t>1222-1219-1206-1248-1249</t>
  </si>
  <si>
    <t>ΘΕΟΛΟΓΑΣ</t>
  </si>
  <si>
    <t>ΑΖ343254</t>
  </si>
  <si>
    <t>840,3</t>
  </si>
  <si>
    <t>1203-1202-1206-1204-1205-1217-1256-1255-1247-1248-1249-1250-1251-1252-1218-1219-1220-1221-1222</t>
  </si>
  <si>
    <t>ΧΡΥΣΟΒΑΛΑΝΤΟΥ</t>
  </si>
  <si>
    <t>ΑΕ728325</t>
  </si>
  <si>
    <t>840,1</t>
  </si>
  <si>
    <t>ΤΡΙΑΝΤΟΥ</t>
  </si>
  <si>
    <t>ΑΕ718058</t>
  </si>
  <si>
    <t>1201-1202-1203-1204-1205-1206-1217-1218-1219-1220-1221-1222-1223-1247-1248-1249-1250-1252-1251-1256-1253</t>
  </si>
  <si>
    <t xml:space="preserve">ΜΟΥΣΤΑΚΑΣ </t>
  </si>
  <si>
    <t xml:space="preserve">ΣΤΥΛΙΑΝΟΣ </t>
  </si>
  <si>
    <t xml:space="preserve">ΑΘΑΝΑΣΙΟΣ </t>
  </si>
  <si>
    <t>ΑΜ378779</t>
  </si>
  <si>
    <t>839,8</t>
  </si>
  <si>
    <t>1219-1248-1256-1206-1253-1249-1201-1255-1205-1202-1217-1250-1247-1254-1251</t>
  </si>
  <si>
    <t>ΑΕ511356</t>
  </si>
  <si>
    <t>839,4</t>
  </si>
  <si>
    <t>1247-1254-1250-1202-1255</t>
  </si>
  <si>
    <t>ΜΑΝΩΛΗ</t>
  </si>
  <si>
    <t>ΑΙ487995</t>
  </si>
  <si>
    <t>839,1</t>
  </si>
  <si>
    <t>ΚΑΡΑΝΑΤΣΟΥ</t>
  </si>
  <si>
    <t>ΑΜ855471</t>
  </si>
  <si>
    <t>838,5</t>
  </si>
  <si>
    <t>1249-1248-1253-1201-1206-1247-1250-1254-1255-1202-1256</t>
  </si>
  <si>
    <t>ΝΙΚΟΥΔΗ</t>
  </si>
  <si>
    <t>ΑΖ693213</t>
  </si>
  <si>
    <t>ΑΚ355546</t>
  </si>
  <si>
    <t>1202-1203-1204-1205-1206-1217-1247-1248-1249-1250-1254-1252</t>
  </si>
  <si>
    <t>ΑΝΘΙΜΙΑΔΟΥ</t>
  </si>
  <si>
    <t>ΑΜ887846</t>
  </si>
  <si>
    <t>837,8</t>
  </si>
  <si>
    <t>1267-1219-1255-1222-1221-1205-1204-1202-1256-1220-1217-1250-1203-1218-1206-1223-1227-1229-1254-1253-1252-1251-1201</t>
  </si>
  <si>
    <t>ΑΗ510515</t>
  </si>
  <si>
    <t>1201-1202-1205-1206-1222-1247-1248-1249-1250-1253-1254-1255-1256-1267</t>
  </si>
  <si>
    <t>ΚΟΥΤΣΙΜΑΝΗΣ</t>
  </si>
  <si>
    <t>ΒΙΚΤΩΡΑΣ</t>
  </si>
  <si>
    <t>Χ393428</t>
  </si>
  <si>
    <t>835,5</t>
  </si>
  <si>
    <t>ΑΗ273846</t>
  </si>
  <si>
    <t>834,3</t>
  </si>
  <si>
    <t>1203-1202-1204-1205-1247-1252-1251-1267-1254-1206-1201-1249</t>
  </si>
  <si>
    <t>ΘΕΟΧΑΡΙΔΗ</t>
  </si>
  <si>
    <t>Τ398194</t>
  </si>
  <si>
    <t>834,1</t>
  </si>
  <si>
    <t>1248-1249-1267-1206-1247-1250-1253-1254-1256-1255</t>
  </si>
  <si>
    <t>ΤΣΙΜΗΤΡΗΣ</t>
  </si>
  <si>
    <t>ΑΕ839044</t>
  </si>
  <si>
    <t>1203-1219-1248</t>
  </si>
  <si>
    <t>ΚΟΥΛΙΕΡΑΚΗ</t>
  </si>
  <si>
    <t>ΑΝ481845</t>
  </si>
  <si>
    <t>1255-1205-1204-1221-1202-1248</t>
  </si>
  <si>
    <t>ΔΑΒΙΤΗΣ</t>
  </si>
  <si>
    <t>ΑΝ389548</t>
  </si>
  <si>
    <t>1267-1248-1206-1253-1249-1254-1247-1201-1202-1205-1255-1250</t>
  </si>
  <si>
    <t>ΜΠΛΑΝΑ</t>
  </si>
  <si>
    <t>ΑΜ771832</t>
  </si>
  <si>
    <t>613,8</t>
  </si>
  <si>
    <t>ΠΑΓΟΥΝΗ</t>
  </si>
  <si>
    <t>ΑΗ333120</t>
  </si>
  <si>
    <t>833,4</t>
  </si>
  <si>
    <t>1253-1219-1248-1249-1256-1222-1220-1206-1252-1203-1204-1205-1217-1218-1221-1223-1247-1250-1251-1254-1255</t>
  </si>
  <si>
    <t>ΠΑΓΚΑΛΙΔΟΥ</t>
  </si>
  <si>
    <t>ΑΗ281892</t>
  </si>
  <si>
    <t>832,8</t>
  </si>
  <si>
    <t>1267-1248-1247-1254-1253-1206-1250-1249-1201-1202-1255</t>
  </si>
  <si>
    <t>ΣΤΕΡΓΙΟΠΟΥΛΟΣ</t>
  </si>
  <si>
    <t>ΑΕ363532</t>
  </si>
  <si>
    <t>832,5</t>
  </si>
  <si>
    <t>1253-1249-1248-1251-1254-1255-1256-1218-1219</t>
  </si>
  <si>
    <t>ΚΙΣΤΟΓΛΟΥ</t>
  </si>
  <si>
    <t>ΑΗ310222</t>
  </si>
  <si>
    <t>832,4</t>
  </si>
  <si>
    <t>1256-1253-1249-1248-1206-1201-1247-1202-1205-1255</t>
  </si>
  <si>
    <t>ΣΕΙΜΕΚΗ</t>
  </si>
  <si>
    <t>ΑΜ293882</t>
  </si>
  <si>
    <t>832,2</t>
  </si>
  <si>
    <t>1248-1267-1206-1205-1247-1249-1250-1253-1254-1255</t>
  </si>
  <si>
    <t>ΚΩΤΟΛΑ</t>
  </si>
  <si>
    <t>Χ894359</t>
  </si>
  <si>
    <t>831,9</t>
  </si>
  <si>
    <t>ΑΑ455016</t>
  </si>
  <si>
    <t>831,4</t>
  </si>
  <si>
    <t>1205-1255-1250-1253-1206-1247-1248-1249-1256-1254-1267</t>
  </si>
  <si>
    <t>ΑΛΕΚΟΣ</t>
  </si>
  <si>
    <t>ΑΕ881796</t>
  </si>
  <si>
    <t>1202-1205-1206-1217-1219-1249-1247-1248-1250-1251-1253-1254-1255-1256</t>
  </si>
  <si>
    <t>Π813998</t>
  </si>
  <si>
    <t>1219-1248-1253-1256</t>
  </si>
  <si>
    <t>ΑΒ495662</t>
  </si>
  <si>
    <t>830,8</t>
  </si>
  <si>
    <t>ΑΕ739310</t>
  </si>
  <si>
    <t>1217-1250-1219-1248-1218</t>
  </si>
  <si>
    <t>ΤΣΙΩΛΟΥ</t>
  </si>
  <si>
    <t>Τ394000</t>
  </si>
  <si>
    <t>1248-1267-1219-1249</t>
  </si>
  <si>
    <t>ΕΙΡΗΝΗ ΜΑΡΙΑ</t>
  </si>
  <si>
    <t>ΑΙ332351</t>
  </si>
  <si>
    <t>ΝΟΜΙΚΟΣ</t>
  </si>
  <si>
    <t>ΒΙΚΤΩΡ-ΝΙΚΗΤΑΣ</t>
  </si>
  <si>
    <t>ΑΚ712138</t>
  </si>
  <si>
    <t>828,8</t>
  </si>
  <si>
    <t>1217-1250-1247-1254-1201-1202-1205-1255-1249-1253-1267-1219-1248-1206</t>
  </si>
  <si>
    <t>ΛΑΜΠΡΑΚΗΣ</t>
  </si>
  <si>
    <t>Χ863728</t>
  </si>
  <si>
    <t>828,1</t>
  </si>
  <si>
    <t>1205-1255-1201-1249-1253-1202-1247-1250-1206-1254-1248-1256</t>
  </si>
  <si>
    <t>ΑΝΤΑΛΟΓΛΟΥ</t>
  </si>
  <si>
    <t>ΑΗ094324</t>
  </si>
  <si>
    <t>827,7</t>
  </si>
  <si>
    <t>ΤΣΙΚΕΛΗ</t>
  </si>
  <si>
    <t>ΜΑΡΓΑΡΙΤΑ-ΕΛΕΝΗ</t>
  </si>
  <si>
    <t>ΑΖ273808</t>
  </si>
  <si>
    <t>826,9</t>
  </si>
  <si>
    <t>1201-1203-1249-1252</t>
  </si>
  <si>
    <t>ΔΑΛΚΙΔΟΥ</t>
  </si>
  <si>
    <t>ΠΕΤΡΟΥΛΑ</t>
  </si>
  <si>
    <t>ΑΜ143729</t>
  </si>
  <si>
    <t>826,8</t>
  </si>
  <si>
    <t>1206-1248-1249-1267-1219-1253</t>
  </si>
  <si>
    <t>ΤΣΩΛΑ</t>
  </si>
  <si>
    <t>ΑΙ295197</t>
  </si>
  <si>
    <t>826,4</t>
  </si>
  <si>
    <t>1203-1252-1201-1219-1248-1267-1216-1221-1222-1255-1205-1204-1249-1202</t>
  </si>
  <si>
    <t>ΝΤΖΟΥΒΑΡΑΣ</t>
  </si>
  <si>
    <t>ΑΚ670252</t>
  </si>
  <si>
    <t>825,7</t>
  </si>
  <si>
    <t>1254-1217-1250-1247-1249-1219-1248-1205-1255-1202-1253-1206-1256-1251-1201</t>
  </si>
  <si>
    <t>Χ616411</t>
  </si>
  <si>
    <t>825,4</t>
  </si>
  <si>
    <t>ΧΡΥΣΟΠΟΥΛΟΣ</t>
  </si>
  <si>
    <t>ΑΖ313660</t>
  </si>
  <si>
    <t>825,1</t>
  </si>
  <si>
    <t>1256-1253-1248-1267</t>
  </si>
  <si>
    <t>ΚΟΡΔΑΚΗΣ</t>
  </si>
  <si>
    <t>ΑΕ522615</t>
  </si>
  <si>
    <t>1247-1250-1254-1248-1267-1255-1253-1206-1249</t>
  </si>
  <si>
    <t>Καλυβα</t>
  </si>
  <si>
    <t>Αναστασια</t>
  </si>
  <si>
    <t>Αθανασιος</t>
  </si>
  <si>
    <t>Ξ638815</t>
  </si>
  <si>
    <t>ΑΝΤΩΝΑΚΟΥ</t>
  </si>
  <si>
    <t>ΛΥΔΙΑ ΑΡΕΤΗ</t>
  </si>
  <si>
    <t>ΑΑ127433</t>
  </si>
  <si>
    <t>824,2</t>
  </si>
  <si>
    <t>ΤΥΡΟΠΩΛΗ</t>
  </si>
  <si>
    <t>ΒΕΝΕΤΙΑ</t>
  </si>
  <si>
    <t>ΑΖ930075</t>
  </si>
  <si>
    <t>1206-1248-1247-1250-1254-1253-1255-1249</t>
  </si>
  <si>
    <t>ΚΑΡΥΟΦΙΛΛΗ</t>
  </si>
  <si>
    <t>ΑΒ124129</t>
  </si>
  <si>
    <t>ΑΕ195113</t>
  </si>
  <si>
    <t>1249-1223-1219-1253-1256</t>
  </si>
  <si>
    <t>ΠΑΡΑΣΚΕΥΑ</t>
  </si>
  <si>
    <t>MΑΡΙΑ</t>
  </si>
  <si>
    <t>Χ326938</t>
  </si>
  <si>
    <t>823,3</t>
  </si>
  <si>
    <t>ΒΑΛΣΑΜΗ</t>
  </si>
  <si>
    <t>ΑΝ396079</t>
  </si>
  <si>
    <t>822,4</t>
  </si>
  <si>
    <t>ΑΜΟΙΡΙΔΟΥ</t>
  </si>
  <si>
    <t>Σ437214</t>
  </si>
  <si>
    <t>822,3</t>
  </si>
  <si>
    <t>1248-1267-1253-1206-1249-1201-1254-1247-1205-1255-1202-1250</t>
  </si>
  <si>
    <t>Πανταζοπουλου</t>
  </si>
  <si>
    <t xml:space="preserve">Αικατερίνη </t>
  </si>
  <si>
    <t xml:space="preserve">Νικόλαος </t>
  </si>
  <si>
    <t>AK626426</t>
  </si>
  <si>
    <t>1202-1206-1247-1248-1249-1250-1253-1254-1255-1256</t>
  </si>
  <si>
    <t>ΣΕΙΡΗΝΙΩΤΗ</t>
  </si>
  <si>
    <t>ΑΙ331442</t>
  </si>
  <si>
    <t>1249-1253-1201-1219-1248</t>
  </si>
  <si>
    <t>ΣΤΑΥΡΟΥΛΑΚΗΣ</t>
  </si>
  <si>
    <t>ΑΗ973122</t>
  </si>
  <si>
    <t>1253-1247-1250-1254-1255-1206-1202-1248</t>
  </si>
  <si>
    <t>ΜΑΖΑΡΑΚΙΔΗ</t>
  </si>
  <si>
    <t>ΑΕ482330</t>
  </si>
  <si>
    <t>821,2</t>
  </si>
  <si>
    <t>ΒΑΒΒΑ</t>
  </si>
  <si>
    <t>ΑΑ417676</t>
  </si>
  <si>
    <t>821,1</t>
  </si>
  <si>
    <t>ΝΑΤΑΣΑ-ΜΑΡΙΑ</t>
  </si>
  <si>
    <t>ΑΗ284054</t>
  </si>
  <si>
    <t>820,9</t>
  </si>
  <si>
    <t>1201-1202-1248-1206-1247-1249-1250-1253-1254-1255-1256</t>
  </si>
  <si>
    <t>ΒΕΛΛΑ</t>
  </si>
  <si>
    <t>ΤΕΡΕΖΑ</t>
  </si>
  <si>
    <t>ΑΕ816561</t>
  </si>
  <si>
    <t>820,1</t>
  </si>
  <si>
    <t>1201-1202-1206-1247-1248-1249-1250-1253-1254-1255</t>
  </si>
  <si>
    <t>ΜΟΥΤΣΩΚΟΣ</t>
  </si>
  <si>
    <t>ΒΕΛΙΣΣΑΡΙΟΣ</t>
  </si>
  <si>
    <t>ΑΗ982938</t>
  </si>
  <si>
    <t>1254-1203-1219-1248</t>
  </si>
  <si>
    <t>ΒΑΙΟΥ</t>
  </si>
  <si>
    <t>ΑΒ844417</t>
  </si>
  <si>
    <t>819,8</t>
  </si>
  <si>
    <t>1201-1248-1254-1249-1247-1256-1206-1250-1255</t>
  </si>
  <si>
    <t>ΧΡΑΠΑΛΟΥ</t>
  </si>
  <si>
    <t>ΑΖ774904</t>
  </si>
  <si>
    <t>ΑΕ708311</t>
  </si>
  <si>
    <t>819,7</t>
  </si>
  <si>
    <t>1250-1254-1201-1253-1247-1249-1206-1248-1267-1255-1202</t>
  </si>
  <si>
    <t>ΛΕΟΝΤΙΟΥ</t>
  </si>
  <si>
    <t>Χ420011</t>
  </si>
  <si>
    <t>ΛΕΩΝΙΔΑΣ ΦΩΤΙΟΣ</t>
  </si>
  <si>
    <t>ΑΕ759591</t>
  </si>
  <si>
    <t>819,4</t>
  </si>
  <si>
    <t>1206-1249-1253-1248-1201-1250-1247-1205-1202</t>
  </si>
  <si>
    <t>ΚΑΡΑΛΗΣ</t>
  </si>
  <si>
    <t>Χ102914</t>
  </si>
  <si>
    <t>818,7</t>
  </si>
  <si>
    <t>1254-1247-1248-1267-1250-1255-1206-1249-1253</t>
  </si>
  <si>
    <t>ΣΤΑΜΠΟΥΛΗ</t>
  </si>
  <si>
    <t>ΑΑ480358</t>
  </si>
  <si>
    <t>818,6</t>
  </si>
  <si>
    <t>1201-1202-1206-1247-1248-1249-1250-1253-1254-1255-1256</t>
  </si>
  <si>
    <t xml:space="preserve">ΙΩΣΗΦΙΔΗ </t>
  </si>
  <si>
    <t>ΕΥΘΥΜΙΑ-ΜΑΡΙΑΝΝΑ</t>
  </si>
  <si>
    <t>ΑΝ152750</t>
  </si>
  <si>
    <t>818,3</t>
  </si>
  <si>
    <t>ΤΣΟΥΤΣΟΥΡΑ</t>
  </si>
  <si>
    <t>ΙΣΙΔΩΡΟΣ</t>
  </si>
  <si>
    <t>ΑΕ073098</t>
  </si>
  <si>
    <t>ΜΑΛΕΦΙΤΣΑΚΗΣ</t>
  </si>
  <si>
    <t>ΑΗ559421</t>
  </si>
  <si>
    <t>818,1</t>
  </si>
  <si>
    <t>1250-1248-1252-1217-1202-1247</t>
  </si>
  <si>
    <t>ΜΑΝΟΣ</t>
  </si>
  <si>
    <t>ΑΙ848333</t>
  </si>
  <si>
    <t>817,9</t>
  </si>
  <si>
    <t>ΓΙΟΒΑΝΟΠΟΥΛΟΥ</t>
  </si>
  <si>
    <t>Χ927026</t>
  </si>
  <si>
    <t>817,7</t>
  </si>
  <si>
    <t>1253-1219-1248-1267-1247-1256-1249-1206-1217-1250</t>
  </si>
  <si>
    <t>ΒΕΝΕΤΣΑΝΟΥ</t>
  </si>
  <si>
    <t>ΑΜ333695</t>
  </si>
  <si>
    <t>817,5</t>
  </si>
  <si>
    <t>1250-1217-1267-1248-1202-1205-1219-1206-1247-1249-1252-1253-1254-1255-1201</t>
  </si>
  <si>
    <t>ΧΩΡΕΜΗ</t>
  </si>
  <si>
    <t>ΑΜ762703</t>
  </si>
  <si>
    <t>816,3</t>
  </si>
  <si>
    <t>ΜΠΙΤΖΙΚΟΥΔΗ</t>
  </si>
  <si>
    <t>ΑΗ427780</t>
  </si>
  <si>
    <t>815,6</t>
  </si>
  <si>
    <t>1205-1206-1217-1219-1247-1248-1249-1250-1251-1253</t>
  </si>
  <si>
    <t>ΑΙ235995</t>
  </si>
  <si>
    <t>815,4</t>
  </si>
  <si>
    <t>ΖΟΤΟΣ</t>
  </si>
  <si>
    <t>ΙΑΓΚΟΣ</t>
  </si>
  <si>
    <t>ΑΗ483227</t>
  </si>
  <si>
    <t>1201-1202-1204-1205-1206-1217-1223-1247-1256-1203</t>
  </si>
  <si>
    <t>ΤΖΙΟΥΒΑΝΑΚΟΣ</t>
  </si>
  <si>
    <t>ΑΗ344006</t>
  </si>
  <si>
    <t>814,5</t>
  </si>
  <si>
    <t>1222-1218-1256-1248-1267-1206-1253-1249-1201-1254-1250-1247-1202-1205-1255</t>
  </si>
  <si>
    <t>ΑΖ776602</t>
  </si>
  <si>
    <t>814,3</t>
  </si>
  <si>
    <t>1267-1248-1201-1254-1202-1247-1249-1253-1206-1250</t>
  </si>
  <si>
    <t>Χ910813</t>
  </si>
  <si>
    <t>814,2</t>
  </si>
  <si>
    <t>1267-1248-1254-1206-1253-1249-1250-1255-1247-1201-1202</t>
  </si>
  <si>
    <t>ΓΕΩΡΓΑΚΑΚΗ</t>
  </si>
  <si>
    <t>Ξ805383</t>
  </si>
  <si>
    <t>1267-1248-1253-1256-1206-1249-1254-1247-1250-1255</t>
  </si>
  <si>
    <t>ΚΑΡΑΤΖΟΓΛΟΥ</t>
  </si>
  <si>
    <t>ΑΖ650469</t>
  </si>
  <si>
    <t>813,6</t>
  </si>
  <si>
    <t>1219-1248-1267-1249-1253-1256-1206</t>
  </si>
  <si>
    <t>ΚΙΜΟΓΛΟΥ</t>
  </si>
  <si>
    <t>ΝΙΚΟΛΕΤΑ - ΓΕΡΜΑΝΙΑ</t>
  </si>
  <si>
    <t>ΑΒ124559</t>
  </si>
  <si>
    <t>812,2</t>
  </si>
  <si>
    <t>1248-1206-1201-1249-1253-1256-1267-1254-1218-1247-1250-1255-1202-1204-1205-1217</t>
  </si>
  <si>
    <t>ΧΑΛΙΜΟΥΡΔΑ</t>
  </si>
  <si>
    <t>ΑΑ789831</t>
  </si>
  <si>
    <t>812,1</t>
  </si>
  <si>
    <t>1247-1217-1250-1254-1201-1252-1203-1253-1219-1267-1248-1206-1222-1249-1256-1223-1218-1204-1205-1255-1202-1221-1220-1251</t>
  </si>
  <si>
    <t>Τσαλμά</t>
  </si>
  <si>
    <t>Αργυρούλα</t>
  </si>
  <si>
    <t>Ευάγγελος</t>
  </si>
  <si>
    <t>ΑΗ484688</t>
  </si>
  <si>
    <t>ΦΥΣΙΚΟΥΔΗ</t>
  </si>
  <si>
    <t>ΑΗ164674</t>
  </si>
  <si>
    <t>1248-1267-1252-1249-1206-1253-1256-1254-1250-1247-1255-1251</t>
  </si>
  <si>
    <t>ΤΖΙΒΑΝΗΣ</t>
  </si>
  <si>
    <t>ΑΑ934172</t>
  </si>
  <si>
    <t>811,7</t>
  </si>
  <si>
    <t>1256-1248</t>
  </si>
  <si>
    <t>ΚΡΑΛΗ</t>
  </si>
  <si>
    <t>ΑΗ897814</t>
  </si>
  <si>
    <t>811,3</t>
  </si>
  <si>
    <t>1205-1206-1202-1248-1249-1253-1255</t>
  </si>
  <si>
    <t>ΛΙΑΠΗΣ</t>
  </si>
  <si>
    <t>ΑΚ318608</t>
  </si>
  <si>
    <t>1248-1253-1267</t>
  </si>
  <si>
    <t>ΖΑΡΟΥΧΑΣ</t>
  </si>
  <si>
    <t>Φ469179</t>
  </si>
  <si>
    <t>810,9</t>
  </si>
  <si>
    <t>1249-1253-1248-1267-1206-1201-1254-1247-1202-1255-1250</t>
  </si>
  <si>
    <t>ΡΟΥΣΣΟΠΟΥΛΟΥ</t>
  </si>
  <si>
    <t>ΑΒ044794</t>
  </si>
  <si>
    <t>810,3</t>
  </si>
  <si>
    <t>1202-1203-1204-1205-1206-1217-1218-1219-1220-1221-1222-1223-1247-1248-1249-1250-1251-1253-1252-1254</t>
  </si>
  <si>
    <t>ΚΥΡΙΑΚΟΠΟΥΛΟΥ</t>
  </si>
  <si>
    <t>ΑΒ382323</t>
  </si>
  <si>
    <t>810,1</t>
  </si>
  <si>
    <t>1250-1217-1247-1254-1255-1256</t>
  </si>
  <si>
    <t>ΑΕ730451</t>
  </si>
  <si>
    <t>1201-1202-1203-1204-1205-1206-1217-1218-1219-1220-1221-1222-1223-1247-1248-1249-1250-1251-1252-1253-1267</t>
  </si>
  <si>
    <t>Αφεντούλη</t>
  </si>
  <si>
    <t>ΑΕ 871507</t>
  </si>
  <si>
    <t>1248-1267-1253-1206-1249-1201</t>
  </si>
  <si>
    <t>ΑΝ218087</t>
  </si>
  <si>
    <t>809,2</t>
  </si>
  <si>
    <t>1204-1202-1203-1205-1206-1247-1248-1249-1250-1251-1252-1255-1256</t>
  </si>
  <si>
    <t>ΠΑΛΙΚΡΟΥΣΗΣ</t>
  </si>
  <si>
    <t>Χ487171</t>
  </si>
  <si>
    <t>1267-1249-1248-1219-1206-1202-1204-1205-1217-1218-1221-1255-1253-1203-1250-1252-1254</t>
  </si>
  <si>
    <t>ΛΥΣΣΑΝΔΡΟΣ</t>
  </si>
  <si>
    <t>ΑΒ401330</t>
  </si>
  <si>
    <t>808,6</t>
  </si>
  <si>
    <t>ΖΕΙΤΟΥΝΙΑΝ</t>
  </si>
  <si>
    <t>ΚΟΣΜΑΣ</t>
  </si>
  <si>
    <t>ΑΝ493833</t>
  </si>
  <si>
    <t>808,2</t>
  </si>
  <si>
    <t>ΚΟΥΡΚΟΥΝΗ</t>
  </si>
  <si>
    <t>ΑΖ499456</t>
  </si>
  <si>
    <t>1254-1250-1255-1267-1249-1253-1206</t>
  </si>
  <si>
    <t>Ρ793423</t>
  </si>
  <si>
    <t>ΜΙΝΑΣΙΔΟΥ</t>
  </si>
  <si>
    <t>Φ169174</t>
  </si>
  <si>
    <t>807,7</t>
  </si>
  <si>
    <t>ΑΝΔΡΕΑΔΗ</t>
  </si>
  <si>
    <t>ΑΑ415005</t>
  </si>
  <si>
    <t>ΜΙΧΑΗΛΙΔΗΣ</t>
  </si>
  <si>
    <t>Χ887118</t>
  </si>
  <si>
    <t>1248-1267-1253-1256-1249-1206</t>
  </si>
  <si>
    <t>ΠΑΠΑΝΙΚΗΤΑ</t>
  </si>
  <si>
    <t>Σ911836</t>
  </si>
  <si>
    <t>1250-1247-1254-1255-1206-1248-1253-1256-1249</t>
  </si>
  <si>
    <t>ΓΕΛΑΔΑ</t>
  </si>
  <si>
    <t>ΑΒ499222</t>
  </si>
  <si>
    <t>1201-1202-1205-1206-1217-1247-1248-1249-1250-1251-1253-1254-1255-1256</t>
  </si>
  <si>
    <t xml:space="preserve">Λάιος </t>
  </si>
  <si>
    <t xml:space="preserve">Χρήστος </t>
  </si>
  <si>
    <t xml:space="preserve">Γεώργιος </t>
  </si>
  <si>
    <t>ΑΙ879425</t>
  </si>
  <si>
    <t>806,9</t>
  </si>
  <si>
    <t>1249-1253-1248-1255-1206-1250-1247-1254</t>
  </si>
  <si>
    <t>ΤΑΤΙΑΝΗ</t>
  </si>
  <si>
    <t>ΑΖ779795</t>
  </si>
  <si>
    <t>806,6</t>
  </si>
  <si>
    <t>1202-1205-1204-1255-1206-1217-1223-1218-1219-1222-1220-1221-1247-1248-1249-1250-1251-1252-1253-1254-1256-1201</t>
  </si>
  <si>
    <t>806,4</t>
  </si>
  <si>
    <t>ΖΕΡΖΗ</t>
  </si>
  <si>
    <t>ΑΗ313361</t>
  </si>
  <si>
    <t>806,2</t>
  </si>
  <si>
    <t>1256-1249-1267-1253-1206-1248-1247-1250-1254-1255</t>
  </si>
  <si>
    <t>ΤΑΜΑΜΑ</t>
  </si>
  <si>
    <t>ΑΕ353280</t>
  </si>
  <si>
    <t>805,8</t>
  </si>
  <si>
    <t>1219-1248-1203-1249</t>
  </si>
  <si>
    <t>ΠΕΡΠΕΡΙΔΟΥ</t>
  </si>
  <si>
    <t>ΣΤΥΛΙΑΝΗ ΑΙΚΑΤΕΡΙΝΗ</t>
  </si>
  <si>
    <t>ΑΕ381427</t>
  </si>
  <si>
    <t>805,3</t>
  </si>
  <si>
    <t>1247-1248-1249-1253-1252-1206-1254</t>
  </si>
  <si>
    <t>ΠΕΝΤΖΟΥΡΗΣ</t>
  </si>
  <si>
    <t>ΑΒ767969</t>
  </si>
  <si>
    <t>805,1</t>
  </si>
  <si>
    <t>1247-1250-1267-1248-1206-1255-1254-1253-1249</t>
  </si>
  <si>
    <t>ΜΙΝΤΖΑ</t>
  </si>
  <si>
    <t>ΑΕ261578</t>
  </si>
  <si>
    <t>804,7</t>
  </si>
  <si>
    <t>1247-1250-1248-1254-1249-1256-1255-1205-1204-1253-1202-1251</t>
  </si>
  <si>
    <t>ΚΛΑΟΥΡΑΚΗΣ</t>
  </si>
  <si>
    <t>ΑΙ469243</t>
  </si>
  <si>
    <t>1205-1255-1202-1219-1248-1247-1254-1217-1250</t>
  </si>
  <si>
    <t>803,5</t>
  </si>
  <si>
    <t>ΓΟΥΖΙΟΣ</t>
  </si>
  <si>
    <t>ΑΒ431590</t>
  </si>
  <si>
    <t>803,3</t>
  </si>
  <si>
    <t>1201-1248-1267-1206-1254-1247-1253-1249-1256-1250-1202-1205-1255</t>
  </si>
  <si>
    <t>ΚΕΡΑΣΤΑ</t>
  </si>
  <si>
    <t>ΑΕ491742</t>
  </si>
  <si>
    <t>662,2</t>
  </si>
  <si>
    <t>803,2</t>
  </si>
  <si>
    <t>1247-1254-1217-1250-1218-1219-1267-1248-1202-1205-1255-1206-1253-1249</t>
  </si>
  <si>
    <t>ΑΕ410464</t>
  </si>
  <si>
    <t>803,1</t>
  </si>
  <si>
    <t>1203-1267-1201-1202-1204-1205-1206-1256-1247</t>
  </si>
  <si>
    <t>ΠΑΠΑΛΑΖΑΡΟΥ</t>
  </si>
  <si>
    <t>ΑΜ787607</t>
  </si>
  <si>
    <t>802,6</t>
  </si>
  <si>
    <t>1201-1249-1248-1219-1217-1250-1206-1247-1253-1254-1252-1218</t>
  </si>
  <si>
    <t>ΣΙΔΕΡΙΤΗΣ</t>
  </si>
  <si>
    <t>Τ310757</t>
  </si>
  <si>
    <t>802,5</t>
  </si>
  <si>
    <t>1254-1247-1206-1249-1253-1202-1255-1248-1201-1267-1217-1218-1219-1222-1223-1203</t>
  </si>
  <si>
    <t>ΠΟΛΥΧΡΟΝΟΠΟΥΛΟΥ</t>
  </si>
  <si>
    <t>ΑΑ418530</t>
  </si>
  <si>
    <t>802,2</t>
  </si>
  <si>
    <t>ΑΝΔΡΕΟΠΟΥΛΟΥ</t>
  </si>
  <si>
    <t>ΑΝΑΡΓΥΡΟΣ</t>
  </si>
  <si>
    <t>ΑΑ809413</t>
  </si>
  <si>
    <t>802,1</t>
  </si>
  <si>
    <t>ΜΑΝΙΑ</t>
  </si>
  <si>
    <t>ΑΖ767847</t>
  </si>
  <si>
    <t>801,1</t>
  </si>
  <si>
    <t>1202-1249-1247-1248-1250-1206-1255-1201-1253-1254-1219-1203-1217-1221-1218-1204-1205-1220-1223-1222-1256-1251</t>
  </si>
  <si>
    <t>ΣΤΡΑΤΑΚΗΣ</t>
  </si>
  <si>
    <t>ΑΒ187332</t>
  </si>
  <si>
    <t>1255-1248-1206-1247-1250-1254-1249-1253</t>
  </si>
  <si>
    <t>ΜΕΛΙΑΝΙΤΗΣ</t>
  </si>
  <si>
    <t>ΑΗ249298</t>
  </si>
  <si>
    <t>800,4</t>
  </si>
  <si>
    <t>1217-1219-1206-1248-1267-1254-1253-1250-1249-1247</t>
  </si>
  <si>
    <t>ΚΩΑΝΣΤΑΝΤΙΝΟΣ</t>
  </si>
  <si>
    <t>ΑΕ085902</t>
  </si>
  <si>
    <t>800,3</t>
  </si>
  <si>
    <t>1204-1202-1205-1206-1217-1256-1203-1250</t>
  </si>
  <si>
    <t>ΓΙΑΝΝΟΠΟΥΛΟΣ</t>
  </si>
  <si>
    <t>ΑΒ591103</t>
  </si>
  <si>
    <t>Χ329866</t>
  </si>
  <si>
    <t>ΚΛΑΡΙΔΟΠΟΥΛΟΣ</t>
  </si>
  <si>
    <t>ΑΙ456940</t>
  </si>
  <si>
    <t>799,4</t>
  </si>
  <si>
    <t>1205-1206-1247-1248-1249-1250-1251</t>
  </si>
  <si>
    <t>ΜΗΤΣΙΑΝΗΣ</t>
  </si>
  <si>
    <t>Χ284855</t>
  </si>
  <si>
    <t>798,8</t>
  </si>
  <si>
    <t>ΜΑΛΗ</t>
  </si>
  <si>
    <t>ΑΖ712395</t>
  </si>
  <si>
    <t>798,2</t>
  </si>
  <si>
    <t>1201-1202-1205-1206-1217-1219-1247-1250-1251-1253-1254-1255-1256</t>
  </si>
  <si>
    <t>ΤΣΟΥΚΑΝΤΑΝΑ</t>
  </si>
  <si>
    <t>Χ425213</t>
  </si>
  <si>
    <t>797,8</t>
  </si>
  <si>
    <t>1254-1267-1248-1249-1253-1247-1250-1206</t>
  </si>
  <si>
    <t>ΚΑΡΑΒΑΣ</t>
  </si>
  <si>
    <t>ΑΕ309631</t>
  </si>
  <si>
    <t>1201-1203-1219-1223-1248-1252-1267</t>
  </si>
  <si>
    <t>ΜΠΟΥΦΙΔΟΥ</t>
  </si>
  <si>
    <t>ΑΗ848086</t>
  </si>
  <si>
    <t>1222-1248-1267-1206-1253-1249-1256-1247-1254-1255-1250</t>
  </si>
  <si>
    <t>ΦΟΥΡΛΗ</t>
  </si>
  <si>
    <t>ΑΙ488937</t>
  </si>
  <si>
    <t>796,7</t>
  </si>
  <si>
    <t>ΤΣΑΟΥΣΟΓΛΟΥ</t>
  </si>
  <si>
    <t>ΑΕ830496</t>
  </si>
  <si>
    <t>1256-1219-1267-1248-1253-1220-1206-1203-1222-1201-1252-1249-1221-1255-1205-1204-1202-1250-1223-1247-1254-1217-1251-1218</t>
  </si>
  <si>
    <t>ΔΗΜΑΚΟΠΟΥΛΟΣ</t>
  </si>
  <si>
    <t>ΑΒ117710</t>
  </si>
  <si>
    <t>1205-1248-1253-1256-1249-1252-1219-1220-1206</t>
  </si>
  <si>
    <t>ΛΟΥΚΟΥ</t>
  </si>
  <si>
    <t>ΑΗ726280</t>
  </si>
  <si>
    <t>1250-1248-1267-1255-1205-1202-1254-1257-1201-1247-1206-1249-1253-1217-1219-1221-1204-1252-1218-1203</t>
  </si>
  <si>
    <t>ΡΟΥΜΕΛΙΩΤΗΣ</t>
  </si>
  <si>
    <t>ΑΙ506215</t>
  </si>
  <si>
    <t>795,6</t>
  </si>
  <si>
    <t>ΚΩΣΤΟΥΔΗ</t>
  </si>
  <si>
    <t>Φ264240</t>
  </si>
  <si>
    <t>ΚΑΠΠΑΣ</t>
  </si>
  <si>
    <t>ΑΙ214174</t>
  </si>
  <si>
    <t>1217-1247-1202-1205-1250-1201-1254-1253-1219-1267-1248-1255-1249-1206</t>
  </si>
  <si>
    <t>ΑΖ340211</t>
  </si>
  <si>
    <t>794,5</t>
  </si>
  <si>
    <t>1206-1247-1248-1249-1250-1253-1254-1255-1221</t>
  </si>
  <si>
    <t>ΛΑΓΓΗΣ</t>
  </si>
  <si>
    <t>ΑΖ320361</t>
  </si>
  <si>
    <t>1267-1248-1253-1249-1206-1247</t>
  </si>
  <si>
    <t>ΤΖΕΛΟΣ</t>
  </si>
  <si>
    <t>ΑΚ427851</t>
  </si>
  <si>
    <t>793,9</t>
  </si>
  <si>
    <t>1249-1253-1248-1206-1201-1202-1254-1255-1256</t>
  </si>
  <si>
    <t>ΤΡΟΥΚΗ</t>
  </si>
  <si>
    <t>Φ088585</t>
  </si>
  <si>
    <t>793,6</t>
  </si>
  <si>
    <t>ΦΛΩΤΣΙΟΥ</t>
  </si>
  <si>
    <t>Φ223862</t>
  </si>
  <si>
    <t>1205-1256-1247</t>
  </si>
  <si>
    <t>ΑΖ217073</t>
  </si>
  <si>
    <t>792,7</t>
  </si>
  <si>
    <t>1253-1254-1255-1256-1247-1248-1249-1250-1251-1252-1217-1223-1204-1205-1206-1202-1201</t>
  </si>
  <si>
    <t>ΑΝΤΩΝΙΑΔΟΥ</t>
  </si>
  <si>
    <t>ΑΚ984182</t>
  </si>
  <si>
    <t>791,2</t>
  </si>
  <si>
    <t>1249-1248-1267-1205-1255-1253-1247-1206-1250-1254</t>
  </si>
  <si>
    <t>ΤΣΙΚΑΡΗ</t>
  </si>
  <si>
    <t>ΑΒ104058</t>
  </si>
  <si>
    <t>791,1</t>
  </si>
  <si>
    <t>1201-1203-1252-1267-1219-1248-1254-1247-1253-1256-1250-1223-1217-1249-1206-1235-1255-1202-1205-1204</t>
  </si>
  <si>
    <t>ΚΑΤΕΧΟΥ</t>
  </si>
  <si>
    <t>ΑΗ277757</t>
  </si>
  <si>
    <t>1251-1249-1247-1250-1202-1205-1256-1206-1248-1253-1254-1255-1217-1219-1201-1267</t>
  </si>
  <si>
    <t>Σ818799</t>
  </si>
  <si>
    <t>790,7</t>
  </si>
  <si>
    <t>1249-1253-1256-1248-1206</t>
  </si>
  <si>
    <t>ΑΙ765861</t>
  </si>
  <si>
    <t>790,3</t>
  </si>
  <si>
    <t>1201-1206-1247-1249-1250-1253-1254-1255-1256</t>
  </si>
  <si>
    <t>ΑΙ033717</t>
  </si>
  <si>
    <t>790,1</t>
  </si>
  <si>
    <t>1250-1201-1202-1206-1247-1248-1249-1253-1254-1255-1256</t>
  </si>
  <si>
    <t>ΑΗ810007</t>
  </si>
  <si>
    <t>1256-1253-1248-1254-1249-1206-1201-1247-1250-1202-1255-1267</t>
  </si>
  <si>
    <t>ΠΙΤΣΙΚΟΥ</t>
  </si>
  <si>
    <t>Φ282210</t>
  </si>
  <si>
    <t>789,4</t>
  </si>
  <si>
    <t>Χ412836</t>
  </si>
  <si>
    <t>789,2</t>
  </si>
  <si>
    <t>1201-1202-1205-1217-1206-1267-1256-1247</t>
  </si>
  <si>
    <t>ΚΑΛΑΙΤΖΙΔΟΥ</t>
  </si>
  <si>
    <t>ΣΟΦΙΑ-ΜΑΡΙΝΑ</t>
  </si>
  <si>
    <t>ΑΕ849401</t>
  </si>
  <si>
    <t>1253-1256-1249-1267</t>
  </si>
  <si>
    <t>ΑΕ 286247</t>
  </si>
  <si>
    <t>ΠΑΤΣΙΩΝΑ</t>
  </si>
  <si>
    <t>ΑΚ904621</t>
  </si>
  <si>
    <t>1267-1248-1253-1256-1249-1206-1201-1250-1202-1255-1254-1247</t>
  </si>
  <si>
    <t>ΑΣΗΜΕΝΙΑ</t>
  </si>
  <si>
    <t>ΑΝ416509</t>
  </si>
  <si>
    <t>788,3</t>
  </si>
  <si>
    <t>1206-1253-1249-1254-1250-1255</t>
  </si>
  <si>
    <t>ΠΑΤΣΙΑΛΙΔΗΣ</t>
  </si>
  <si>
    <t>ΑΖ479636</t>
  </si>
  <si>
    <t>788,1</t>
  </si>
  <si>
    <t>1203-1206-1204-1205-1217-1218-1219-1220-1221-1222-1223-1247-1248-1249-1250-1251-1252-1253-1254-1255-1256-1267-1201-1257-1268</t>
  </si>
  <si>
    <t>ΤΖΑΛΑ</t>
  </si>
  <si>
    <t>Χ892744</t>
  </si>
  <si>
    <t>786,8</t>
  </si>
  <si>
    <t>ΜΠΑΣΙΟΥΡΗΣ</t>
  </si>
  <si>
    <t>Φ332169</t>
  </si>
  <si>
    <t>786,6</t>
  </si>
  <si>
    <t>1219-1248-1249-1254-1247-1253-1250</t>
  </si>
  <si>
    <t>ΚΑΚΑΒΑ</t>
  </si>
  <si>
    <t>ΑΑ306860</t>
  </si>
  <si>
    <t>785,7</t>
  </si>
  <si>
    <t>1254-1253-1247-1250-1249-1248-1206-1201</t>
  </si>
  <si>
    <t>ΑΒ813602</t>
  </si>
  <si>
    <t>784,7</t>
  </si>
  <si>
    <t>ΚΥΡΙΑΚΙΔΟΥ</t>
  </si>
  <si>
    <t>ΑΙ703979</t>
  </si>
  <si>
    <t>784,6</t>
  </si>
  <si>
    <t>ΝΙΚΗΦΟΡΟΥ</t>
  </si>
  <si>
    <t>Χ934070</t>
  </si>
  <si>
    <t>784,5</t>
  </si>
  <si>
    <t>1247-1249-1253-1254-1250-1248-1206-1256-1255</t>
  </si>
  <si>
    <t>ΝΤΑΛΙΑΝΗΣ</t>
  </si>
  <si>
    <t>Φ303859</t>
  </si>
  <si>
    <t>1250-1247-1202-1255-1205-1254-1201-1248-1267-1253-1206-1249</t>
  </si>
  <si>
    <t>ΚΟΚΚΩΝΗΣ</t>
  </si>
  <si>
    <t>Σ904324</t>
  </si>
  <si>
    <t>ΑΙ323206</t>
  </si>
  <si>
    <t>783,5</t>
  </si>
  <si>
    <t>1205-1255-1202-1249-1201-1248-1267-1206-1253-1254-1247-1250-1256</t>
  </si>
  <si>
    <t>ΣΟΛΟΠΟΥΛΟΥ</t>
  </si>
  <si>
    <t>ΠΑΝΑΓΙΩΤΗΣ ΠΑΡΑΣΚΕΥΑΣ</t>
  </si>
  <si>
    <t>ΑΕ724138</t>
  </si>
  <si>
    <t>782,8</t>
  </si>
  <si>
    <t>1254-1247-1201-1218-1250-1253-1206-1255</t>
  </si>
  <si>
    <t>ΑΒ583964</t>
  </si>
  <si>
    <t>782,6</t>
  </si>
  <si>
    <t>ΚΑΤΣΑΜΑΓΚΑ</t>
  </si>
  <si>
    <t>Σ410590</t>
  </si>
  <si>
    <t>782,2</t>
  </si>
  <si>
    <t>1256-1253-1267-1248-1205-1255-1206-1201-1254</t>
  </si>
  <si>
    <t>ΠΑΠΑΚΥΡΙΑΚΟΥ</t>
  </si>
  <si>
    <t>ΑΜ933179</t>
  </si>
  <si>
    <t>781,7</t>
  </si>
  <si>
    <t>1201-1202-1205-1206-1217-1247-1249-1250-1253-1254-1255</t>
  </si>
  <si>
    <t>ΠΑΝΤΑΖΟΠΟΥΛΟΣ</t>
  </si>
  <si>
    <t>ΑΚ424062</t>
  </si>
  <si>
    <t>1219-1248-1249-1251-1253-1267-1201-1202-1205-1206-1217-1247-1250</t>
  </si>
  <si>
    <t>ΚΟΚΟΡΕΛΗ</t>
  </si>
  <si>
    <t>Φ281154</t>
  </si>
  <si>
    <t>781,5</t>
  </si>
  <si>
    <t>ΤΣΙΛΙΓΙΑΝΝΗΣ</t>
  </si>
  <si>
    <t>ΑΗ209583</t>
  </si>
  <si>
    <t>1206-1217-1219-1247-1248-1249-1250-1253-1254-1267</t>
  </si>
  <si>
    <t>ΣΥΚΛΟΓΛΟΥ</t>
  </si>
  <si>
    <t>ΑΝ318408</t>
  </si>
  <si>
    <t>1204-1205-1202-1206-1217-1218-1219-1220-1222-1223-1247-1248-1249-1250-1252-1253-1254-1256-1251</t>
  </si>
  <si>
    <t>ΓΕΝΤΖΗ</t>
  </si>
  <si>
    <t>ΑΗ308873</t>
  </si>
  <si>
    <t>781,3</t>
  </si>
  <si>
    <t>1256-1206-1249-1253-1248</t>
  </si>
  <si>
    <t>ΚΑΣΕΛΙΜΗ</t>
  </si>
  <si>
    <t>ΑΒ983357</t>
  </si>
  <si>
    <t>ΓΚΑΡΑΒΕΛΑ</t>
  </si>
  <si>
    <t>ΚΕΡΑΣΙΑ</t>
  </si>
  <si>
    <t>ΑΖ781466</t>
  </si>
  <si>
    <t>781,1</t>
  </si>
  <si>
    <t>ΠΗΞΑΡΑ</t>
  </si>
  <si>
    <t>ΑΕ889216</t>
  </si>
  <si>
    <t>780,7</t>
  </si>
  <si>
    <t>1248-1255-1206-1247-1249-1250-1253-1254-1256</t>
  </si>
  <si>
    <t>ΜΟΣΚΟΥΛΑ</t>
  </si>
  <si>
    <t>ΜΑΡΙΑ ΕΥΡΥΔΙΚΗ</t>
  </si>
  <si>
    <t>ΑΗ154265</t>
  </si>
  <si>
    <t>780,4</t>
  </si>
  <si>
    <t>1201-1206-1247-1248-1249-1250-1253-1254-1267</t>
  </si>
  <si>
    <t>ΠΕΛΕΚΑΝΟΥ</t>
  </si>
  <si>
    <t>Σ880897</t>
  </si>
  <si>
    <t>780,2</t>
  </si>
  <si>
    <t>1206-1202-1255-1247-1248</t>
  </si>
  <si>
    <t>ΦΑΣΟΥΛΑ</t>
  </si>
  <si>
    <t>Χ889401</t>
  </si>
  <si>
    <t>1249-1248-1253-1206-1256-1254-1201-1247-1250-1255-1202-1219-1251-1217</t>
  </si>
  <si>
    <t>ΚΟΥΠΑΝΤΣΗ</t>
  </si>
  <si>
    <t>ΤΡΑΝΤΑΦΥΛΛΙΑ</t>
  </si>
  <si>
    <t>ΑΖ823775</t>
  </si>
  <si>
    <t>1253-1249-1206-1248</t>
  </si>
  <si>
    <t>ΚΑΤΣΙΟΥΛΑΣ</t>
  </si>
  <si>
    <t>ΑΚ976326</t>
  </si>
  <si>
    <t>1201-1248-1254-1206-1249-1253-1247-1250-1255-1205-1202</t>
  </si>
  <si>
    <t>ΠΟΥΛΑΡΑΚΗΣ</t>
  </si>
  <si>
    <t>Χ930414</t>
  </si>
  <si>
    <t>779,1</t>
  </si>
  <si>
    <t>1249-1203-1201-1219-1223-1248-1220-1217-1218-1206-1205-1204-1253-1251-1252-1256-1254</t>
  </si>
  <si>
    <t>ΤΖΟΚΑ</t>
  </si>
  <si>
    <t>Φ259065</t>
  </si>
  <si>
    <t>1201-1202-1206-1247-1248-1249-1250-1253-1254-1255-1267</t>
  </si>
  <si>
    <t>ΜΑΓΑΛΙΟΣ</t>
  </si>
  <si>
    <t>ΑΒ421828</t>
  </si>
  <si>
    <t>1201-1248-1267-1219-1254-1247-1252-1249</t>
  </si>
  <si>
    <t>ΓΟΥΤΣΙΟΥ</t>
  </si>
  <si>
    <t>ΑΜ412309</t>
  </si>
  <si>
    <t>778,4</t>
  </si>
  <si>
    <t>1219-1248-1253-1249-1205-1255-1202-1247-1201-1206-1217-1250-1254</t>
  </si>
  <si>
    <t>ΚΡΟΜΜΥΔΑ</t>
  </si>
  <si>
    <t>ΑΖ270753</t>
  </si>
  <si>
    <t>1201-1202-1204-1205-1206-1247-1248-1249-1250-1253-1254-1255-1256</t>
  </si>
  <si>
    <t>ΗΛΙΑΔΗΣ</t>
  </si>
  <si>
    <t>ΑΜ250770</t>
  </si>
  <si>
    <t>ΤΣΙΑΜΗΣ</t>
  </si>
  <si>
    <t>Χ835330</t>
  </si>
  <si>
    <t>ΑΕ929424</t>
  </si>
  <si>
    <t>1251-1248-1219-1247-1250-1217-1206-1201-1202-1204-1205-1218-1220-1221-1222-1223-1249-1252-1253-1254-1255-1256</t>
  </si>
  <si>
    <t>ΒΛΑΣΑΚΑΚΗ</t>
  </si>
  <si>
    <t>ΠΑΣΧΑΛΙΝΑ ΧΡΙΣΤΙΝΑ</t>
  </si>
  <si>
    <t>ΑΖ921963</t>
  </si>
  <si>
    <t>777,6</t>
  </si>
  <si>
    <t>1247-1248-1249-1250-1253-1254</t>
  </si>
  <si>
    <t>ΑΛΕΞΑΝΔΡΗ</t>
  </si>
  <si>
    <t>Σ984713</t>
  </si>
  <si>
    <t>776,9</t>
  </si>
  <si>
    <t>1254-1252-1201-1247-1249-1206-1203-1205-1219-1220-1221-1222-1223-1217-1218</t>
  </si>
  <si>
    <t>ΩΤΤΑ</t>
  </si>
  <si>
    <t>ΑΖ789996</t>
  </si>
  <si>
    <t>1249-1248-1253-1206-1254-1255-1247-1250</t>
  </si>
  <si>
    <t>ΤΣΙΓΓΟΥΡΑΣ</t>
  </si>
  <si>
    <t>ΑΖ929889</t>
  </si>
  <si>
    <t>1251-1217-1206-1249</t>
  </si>
  <si>
    <t>ΠΑΒΟΥΡΗΣ</t>
  </si>
  <si>
    <t>Χ420470</t>
  </si>
  <si>
    <t>775,1</t>
  </si>
  <si>
    <t>1248-1267-1202-1205-1255-1247-1206-1250-1254-1256-1253-1201-1249</t>
  </si>
  <si>
    <t>Χ395295</t>
  </si>
  <si>
    <t>774,7</t>
  </si>
  <si>
    <t>ΧΡΙΣΤΟΦΟΡΙΔΟΥ</t>
  </si>
  <si>
    <t>Φ268111</t>
  </si>
  <si>
    <t>1256-1249-1206-1248-1253-1254-1250-1255-1247</t>
  </si>
  <si>
    <t>ΜΑΝΙΟΥΡΑΣ</t>
  </si>
  <si>
    <t>ΔΗΜΗΤΡΙΟΣ ΠΑΝΑΓΙΩΤΗΣ</t>
  </si>
  <si>
    <t>ΑΗ853480</t>
  </si>
  <si>
    <t>1220-1219-1206-1253-1255-1202-1248-1201-1254-1247-1249</t>
  </si>
  <si>
    <t>ΚΟΡΝΑΡΟΥ</t>
  </si>
  <si>
    <t>ΑΒ967199</t>
  </si>
  <si>
    <t>773,9</t>
  </si>
  <si>
    <t>ΑΖ214031</t>
  </si>
  <si>
    <t>AI265696</t>
  </si>
  <si>
    <t>773,8</t>
  </si>
  <si>
    <t>1202-1205-1206-1219-1221-1247-1248-1250-1253-1254-1255-1267</t>
  </si>
  <si>
    <t>ΚΟΥΡΒΟΥΛΗ</t>
  </si>
  <si>
    <t>ΑΜ296590</t>
  </si>
  <si>
    <t>1222-1248-1267-1253-1206-1249-1247-1254-1250</t>
  </si>
  <si>
    <t>ΑΖ234742</t>
  </si>
  <si>
    <t>772,9</t>
  </si>
  <si>
    <t>1217-1250-1201-1247-1254-1248-1219-1206-1249-1253-1255-1202</t>
  </si>
  <si>
    <t>ΤΑΧΜΑΤΖΙΔΟΥ</t>
  </si>
  <si>
    <t>ΑΜ286929</t>
  </si>
  <si>
    <t>772,5</t>
  </si>
  <si>
    <t>1248-1255-1204-1205-1221-1202-1253-1249-1206-1203-1201-1247-1254-1250-1218</t>
  </si>
  <si>
    <t>ΣΤΡΑΤΑΚΗ</t>
  </si>
  <si>
    <t>ΑΝ464055</t>
  </si>
  <si>
    <t>1202-1205-1255-1248</t>
  </si>
  <si>
    <t>ΕΛΕΥΘΕΡΙΑΔΗΣ</t>
  </si>
  <si>
    <t>Χ452429</t>
  </si>
  <si>
    <t>1256-1253-1267-1248</t>
  </si>
  <si>
    <t>ΑΕ830004</t>
  </si>
  <si>
    <t>771,8</t>
  </si>
  <si>
    <t>1256-1267-1253-1248-1206-1249-1205-1202-1250-1254-1255-1247</t>
  </si>
  <si>
    <t>ΠΑΠΑΤΖΕΛΟΥ</t>
  </si>
  <si>
    <t>ΣΥΛΒΙΑ</t>
  </si>
  <si>
    <t>ΑΗ265365</t>
  </si>
  <si>
    <t>1201-1248-1219-1267-1249-1254-1253-1247-1256-1206-1250-1217-1255-1205-1202</t>
  </si>
  <si>
    <t>ΖΗΤΣΗΣ</t>
  </si>
  <si>
    <t>Χ364498</t>
  </si>
  <si>
    <t>1201-1248-1249-1206-1217-1202-1267-1253-1254-1250-1247</t>
  </si>
  <si>
    <t>Φ204913</t>
  </si>
  <si>
    <t>771,7</t>
  </si>
  <si>
    <t>ΜΑΝΤΖΙΡΗΣ</t>
  </si>
  <si>
    <t>ΧΑΡΑΛΑΜΠΗΣ</t>
  </si>
  <si>
    <t>Χ422332</t>
  </si>
  <si>
    <t>771,4</t>
  </si>
  <si>
    <t>1201-1202-1254-1204-1205-1255-1248-1249-1250</t>
  </si>
  <si>
    <t>ΠΡΟΒΙΔΑ</t>
  </si>
  <si>
    <t>ΑΖ220047</t>
  </si>
  <si>
    <t>770,8</t>
  </si>
  <si>
    <t>1250-1201-1247-1254-1248-1253-1256-1249-1206-1255-1205-1252-1203-1202</t>
  </si>
  <si>
    <t>ΝΙΚΟΛΑΟΥ</t>
  </si>
  <si>
    <t>Χ376376</t>
  </si>
  <si>
    <t>1253-1256-1248-1267-1249-1206-1254-1247-1250-1255</t>
  </si>
  <si>
    <t>ΓΚΟΥΡΝΕΛΟΥ</t>
  </si>
  <si>
    <t>ΑΖ721846</t>
  </si>
  <si>
    <t>770,5</t>
  </si>
  <si>
    <t>1267-1201-1202-1205-1206-1217-1219-1247-1248-1249-1250-1251-1253-1254-1255-1256</t>
  </si>
  <si>
    <t>ΜΟΥΔΙΟΣ</t>
  </si>
  <si>
    <t>ΑΖ346707</t>
  </si>
  <si>
    <t>1222-1219-1220-1223-1248-1249-1253-1254-1217-1221-1218</t>
  </si>
  <si>
    <t>ΡΑΜΑΔΑΝΗ</t>
  </si>
  <si>
    <t>ΤΑΤΙΑΝΑ</t>
  </si>
  <si>
    <t>ΑΒ356305</t>
  </si>
  <si>
    <t>770,1</t>
  </si>
  <si>
    <t>1205-1255-1202-1248-1201-1206-1247-1249-1250-1253-1254-1256</t>
  </si>
  <si>
    <t>ΣΚΑΡΟΓΛΟΥ</t>
  </si>
  <si>
    <t>ΑΜ691473</t>
  </si>
  <si>
    <t>ΚΕΜΑΝΕΤΖΙΔΟΟΥ</t>
  </si>
  <si>
    <t>ΤΩΑΝΝΗΣ</t>
  </si>
  <si>
    <t>ΑΕ814047</t>
  </si>
  <si>
    <t>1249-1253-1247-1250-1248-1254-1255-1267</t>
  </si>
  <si>
    <t>ΜΗΛΙΟΣ</t>
  </si>
  <si>
    <t>ΑΒ357022</t>
  </si>
  <si>
    <t>769,4</t>
  </si>
  <si>
    <t>1202-1201-1206-1247-1248-1249-1250-1253-1254-1255-1256</t>
  </si>
  <si>
    <t>ΑΗ212866</t>
  </si>
  <si>
    <t>769,2</t>
  </si>
  <si>
    <t>1201-1202-1205-1247-1248-1249-1250-1267</t>
  </si>
  <si>
    <t>ΣΚΟΥΤΑΣ</t>
  </si>
  <si>
    <t>ΝΙΚΟΛΑΟΣ ΔΗΜΗΤΡΙΟΣ</t>
  </si>
  <si>
    <t>ΦΩΚΑΣ</t>
  </si>
  <si>
    <t>ΑΑ317982</t>
  </si>
  <si>
    <t>ΚΙΟΥΣΗΣ</t>
  </si>
  <si>
    <t>ΑΗ484134</t>
  </si>
  <si>
    <t>ΔΑΣΚΑΛΑΚΗΣ</t>
  </si>
  <si>
    <t>Ρ125358</t>
  </si>
  <si>
    <t>768,5</t>
  </si>
  <si>
    <t>1217-1250-1254-1201-1252-1247-1202-1204-1205-1255-1203-1221-1218-1219-1256-1248-1223-1253-1220-1251-1249-1222-1267-1206</t>
  </si>
  <si>
    <t>ΜΠΙΡΜΠΙΛΗ</t>
  </si>
  <si>
    <t>ΑΑ062873</t>
  </si>
  <si>
    <t>768,1</t>
  </si>
  <si>
    <t>1216-1250</t>
  </si>
  <si>
    <t>ΒΑΝΗ</t>
  </si>
  <si>
    <t>ΟΛΓΑ ΜΑΡΙΑ</t>
  </si>
  <si>
    <t>ΑΖ790946</t>
  </si>
  <si>
    <t>ΛΑΜΠΡΟΠΟΥΛΟΥ</t>
  </si>
  <si>
    <t>ΑΣΗΜΑΚΗΣ</t>
  </si>
  <si>
    <t>ΑΖ209187</t>
  </si>
  <si>
    <t>767,6</t>
  </si>
  <si>
    <t>1250-1253-1201-1205-1202-1206-1247-1249-1254-1255-1256-1248-1267</t>
  </si>
  <si>
    <t>767,5</t>
  </si>
  <si>
    <t>ΚΟΤΡΩΤΣΙΟΥ</t>
  </si>
  <si>
    <t>ΑΠΟΣΤΟΛΙΑ</t>
  </si>
  <si>
    <t>ΑΙ318654</t>
  </si>
  <si>
    <t>1201-1254-1253-1267-1248-1250-1247-1249-1206-1205-1255-1202</t>
  </si>
  <si>
    <t>ΜΑΡΑ</t>
  </si>
  <si>
    <t>ΑΕ852349</t>
  </si>
  <si>
    <t>1253-1256-1249-1248-1206-1201-1247</t>
  </si>
  <si>
    <t>ΜΙΧΟΥΛΗΣ</t>
  </si>
  <si>
    <t>ΟΡΕΣΤΗΣ</t>
  </si>
  <si>
    <t>ΑΙ290585</t>
  </si>
  <si>
    <t>1248-1267-1249-1255-1253-1256-1254-1247-1206-1250</t>
  </si>
  <si>
    <t>ΚΑΤΣΑΝΙΚΟΣ</t>
  </si>
  <si>
    <t>ΑΕ820294</t>
  </si>
  <si>
    <t>766,8</t>
  </si>
  <si>
    <t>1249-1248-1247-1253</t>
  </si>
  <si>
    <t>ΤΡΙΜΗΣ</t>
  </si>
  <si>
    <t>ΑΒ764100</t>
  </si>
  <si>
    <t>1250-1217-1201-1202-1203-1204-1205-1206-1218-1219-1220-1221-1222-1223-1247-1248-1249-1251-1252-1253</t>
  </si>
  <si>
    <t>ΝΟΒΑ</t>
  </si>
  <si>
    <t>ΑΖ801478</t>
  </si>
  <si>
    <t>1249-1250-1254-1247-1253-1206-1248-1201-1252-1219-1221-1255-1205-1202</t>
  </si>
  <si>
    <t>ΑΒ832920</t>
  </si>
  <si>
    <t>766,5</t>
  </si>
  <si>
    <t>1201-1248-1267-1254-1249-1253-1206-1247-1250-1204-1255-1205</t>
  </si>
  <si>
    <t>ΑΑ306233</t>
  </si>
  <si>
    <t>766,3</t>
  </si>
  <si>
    <t>1217-1250-1247-1254-1201-1249-1253-1219-1248-1206-1205-1255-1202-1251-1256</t>
  </si>
  <si>
    <t>ΛΕΩΝΙΔΑΣ ΝΙΚΟΛΑΟΣ</t>
  </si>
  <si>
    <t>ΑΕ315345</t>
  </si>
  <si>
    <t>766,2</t>
  </si>
  <si>
    <t>1201-1249-1248-1253-1254</t>
  </si>
  <si>
    <t>ΒΑΙΝΑΣ</t>
  </si>
  <si>
    <t>Χ456414</t>
  </si>
  <si>
    <t>766,1</t>
  </si>
  <si>
    <t>ΠΙΠΙΝΗ</t>
  </si>
  <si>
    <t>ΑΒ397406</t>
  </si>
  <si>
    <t>ΝΙΚΟΠΟΥΛΟΣ</t>
  </si>
  <si>
    <t>ΑΖ776090</t>
  </si>
  <si>
    <t>765,9</t>
  </si>
  <si>
    <t>1217-1253-1254-1203-1247-1250-1204-1218-1249</t>
  </si>
  <si>
    <t>ΑΔΑΜΙΚΟΥ</t>
  </si>
  <si>
    <t>ΒΕΣΝΑ</t>
  </si>
  <si>
    <t>ΑΗ792310</t>
  </si>
  <si>
    <t>765,2</t>
  </si>
  <si>
    <t>1201-1202-1205-1206-1217-1219-1247-1248-1249-1250-1251-1253-1254-1255-1256-1267</t>
  </si>
  <si>
    <t>ΚΙΤΣΙΑΚΗΣ</t>
  </si>
  <si>
    <t>ΑΖ478897</t>
  </si>
  <si>
    <t>1254-1201-1247-1267-1206-1253-1250-1248-1255-1202</t>
  </si>
  <si>
    <t>ΤΟΥΜΠΑ</t>
  </si>
  <si>
    <t>ΑΙ074347</t>
  </si>
  <si>
    <t>764,8</t>
  </si>
  <si>
    <t>ΒΑΣΙΛΙΚΟΣ</t>
  </si>
  <si>
    <t>ΑΖ850297</t>
  </si>
  <si>
    <t>1248-1253-1206-1256-1249-1201-1254-1247-1250-1202-1205-1255</t>
  </si>
  <si>
    <t>TSINA</t>
  </si>
  <si>
    <t>AIKATERINH</t>
  </si>
  <si>
    <t>ARISTEIDHS</t>
  </si>
  <si>
    <t>AM541437</t>
  </si>
  <si>
    <t>763,8</t>
  </si>
  <si>
    <t>1217-1218-1247-1250</t>
  </si>
  <si>
    <t>ΑΗ986053</t>
  </si>
  <si>
    <t>763,7</t>
  </si>
  <si>
    <t>1247-1254-1250-1267-1248-1249-1206-1202-1255-1253-1201</t>
  </si>
  <si>
    <t>ΤΡΙΑΝΤΑΦΥΛΛΟΠΟΥΛΟΣ</t>
  </si>
  <si>
    <t>ΑΗ205249</t>
  </si>
  <si>
    <t>763,5</t>
  </si>
  <si>
    <t>1201-1206-1247-1248-1249-1250-1253-1254-1255-1256-1267</t>
  </si>
  <si>
    <t>ΣΠΥΡΙΔΟΥ</t>
  </si>
  <si>
    <t>ΑΖ298109</t>
  </si>
  <si>
    <t>762,8</t>
  </si>
  <si>
    <t>ΚΑΜΠΟΥΡΗΣ</t>
  </si>
  <si>
    <t>ΣΤΕΛΙΟΣ</t>
  </si>
  <si>
    <t>ΑΕ659836</t>
  </si>
  <si>
    <t>1267-1248-1219-1206-1256-1253-1220-1222-1203-1201-1223-1249-1218-1254-1217-1247-1250-1204-1202-1205-1221-1255</t>
  </si>
  <si>
    <t>ΠΑΠΑΤΑΤΣΙΟΥ</t>
  </si>
  <si>
    <t>ΑΖ787734</t>
  </si>
  <si>
    <t>1247-1253-1201-1206-1248-1250-1254-1255</t>
  </si>
  <si>
    <t>ΚΑΤΣΑΜΑΚΗΣ</t>
  </si>
  <si>
    <t>Χ897749</t>
  </si>
  <si>
    <t>ΑΕ343968</t>
  </si>
  <si>
    <t>1248-1256-1249-1255-1253-1206-1254-1247-1250</t>
  </si>
  <si>
    <t>ΑΕ781097</t>
  </si>
  <si>
    <t>1206-1256-1249-1248-1247-1250-1255-1253-1254</t>
  </si>
  <si>
    <t>ΚΑΡΑΝΤΖΟΥΛΗ</t>
  </si>
  <si>
    <t>Φ329979</t>
  </si>
  <si>
    <t>1267-1222-1248-1206-1253-1219-1220-1256</t>
  </si>
  <si>
    <t>ΣΤΑΘΟΥΛΗΣ</t>
  </si>
  <si>
    <t>ΑΕ346358</t>
  </si>
  <si>
    <t>1256-1206-1253-1248-1249-1219-1220-1222</t>
  </si>
  <si>
    <t>ΒΑΧΤΣΙΑΒΑΝΟΣ</t>
  </si>
  <si>
    <t>ΑΖ787534</t>
  </si>
  <si>
    <t>761,9</t>
  </si>
  <si>
    <t>1201-1202-1205-1206-1217-1219-1248-1249-1250-1251-1252-1253-1254-1255</t>
  </si>
  <si>
    <t>ΦΛΩΡΙΟΣ</t>
  </si>
  <si>
    <t>ΑΑ967108</t>
  </si>
  <si>
    <t>761,7</t>
  </si>
  <si>
    <t>1201-1249-1267-1248-1202-1205-1206-1253-1250-1254-1255-1247</t>
  </si>
  <si>
    <t>ΧΡΥΣΟΣΤΟΜΙΔΟΥ</t>
  </si>
  <si>
    <t>ΑΒ114250</t>
  </si>
  <si>
    <t>1256-1249-1248-1255-1250</t>
  </si>
  <si>
    <t>ΚΛΑΟΥΔΑΤΟΥ</t>
  </si>
  <si>
    <t>ΑΑ318741</t>
  </si>
  <si>
    <t>761,5</t>
  </si>
  <si>
    <t>1206-1253-1254-1250-1247-1248-1255-1202-1217-1219-1249-1201</t>
  </si>
  <si>
    <t>ΝΤΑΙΚΟΥ</t>
  </si>
  <si>
    <t>ΑΑ304531</t>
  </si>
  <si>
    <t>1218-1217-1221-1203-1219-1222-1220-1223-1204-1205-1202-1247-1250-1254-1248-1249-1251-1206-1252-1253-1255-1256-1201</t>
  </si>
  <si>
    <t>ΑΚ261651</t>
  </si>
  <si>
    <t>761,3</t>
  </si>
  <si>
    <t>1248-1206-1201-1249-1253-1254-1247-1202-1205-1250-1255-1256</t>
  </si>
  <si>
    <t>ΠΑΠΑΡΗ</t>
  </si>
  <si>
    <t>ΑΚ918331</t>
  </si>
  <si>
    <t>760,4</t>
  </si>
  <si>
    <t>1202-1206-1247-1248-1249-1250-1253-1254-1255-1267</t>
  </si>
  <si>
    <t>ΛΥΣΙΩΒΑ</t>
  </si>
  <si>
    <t>ΑΖ271497</t>
  </si>
  <si>
    <t>1201-1267-1248-1206-1247-1253-1256-1254-1249-1250-1205-1255-1202</t>
  </si>
  <si>
    <t>ΨΑΘΑ</t>
  </si>
  <si>
    <t>Χ911684</t>
  </si>
  <si>
    <t>1201-1267-1248-1254-1206-1249-1253-1256-1250-1247-1202-1255</t>
  </si>
  <si>
    <t>ΤΖΑΔΗΜΑΣ</t>
  </si>
  <si>
    <t>ΑΛΕΞΑΝΔΡΟΣ ΚΟΣΜΑΣ</t>
  </si>
  <si>
    <t>Χ396404</t>
  </si>
  <si>
    <t>ΧΡΙΣΤΟΓΙΑΝΝΗ</t>
  </si>
  <si>
    <t>ΘΕΟΦΑΝΩ</t>
  </si>
  <si>
    <t>ΑΕ243720</t>
  </si>
  <si>
    <t>1206-1249-1250-1253-1254-1255-1256</t>
  </si>
  <si>
    <t>ΣΓΟΥΡΟΣ</t>
  </si>
  <si>
    <t>Τ255036</t>
  </si>
  <si>
    <t>759,7</t>
  </si>
  <si>
    <t>1250-1247-1248-1255-1249-1206-1254-1253-1202</t>
  </si>
  <si>
    <t>ΚΑΡΠΟΥΖΗΣ</t>
  </si>
  <si>
    <t>ΓΑΒΡΙΗΛ</t>
  </si>
  <si>
    <t>Χ756479</t>
  </si>
  <si>
    <t>759,3</t>
  </si>
  <si>
    <t>1248-1206-1202-1201-1247-1253-1255-1249-1250-1254-1256</t>
  </si>
  <si>
    <t>ΑΖ243922</t>
  </si>
  <si>
    <t>1249-1248-1250-1247</t>
  </si>
  <si>
    <t>ΑΖ701181</t>
  </si>
  <si>
    <t>757,2</t>
  </si>
  <si>
    <t>1202-1203-1204-1205-1206-1247-1248-1249-1250-1251-1252-1256</t>
  </si>
  <si>
    <t>ΕΥΑΓΓΕΛΙΝΟΣ</t>
  </si>
  <si>
    <t>ΑΜ246703</t>
  </si>
  <si>
    <t>756,4</t>
  </si>
  <si>
    <t>ΤΡΙΚΑΣ</t>
  </si>
  <si>
    <t xml:space="preserve">ΑΠΟΣΤΟΛΟΣ </t>
  </si>
  <si>
    <t>ΑΚ432727</t>
  </si>
  <si>
    <t>ΡΕΚΟΥΜΗ</t>
  </si>
  <si>
    <t>Χ286530</t>
  </si>
  <si>
    <t>755,1</t>
  </si>
  <si>
    <t>1217-1250-1202-1204-1205-1206-1219-1247-1248-1249-1253-1254-1255-1256-1251</t>
  </si>
  <si>
    <t>ΚΑΛΥΒΑΣ</t>
  </si>
  <si>
    <t>Τ453029</t>
  </si>
  <si>
    <t>754,1</t>
  </si>
  <si>
    <t>1201-1202-1205-1206-1255-1247-1248-1249-1250-1253-1254</t>
  </si>
  <si>
    <t>ΣΤΑΥΡΑΚΑΣ</t>
  </si>
  <si>
    <t>Χ626841</t>
  </si>
  <si>
    <t>ΚΟΥΡΟΥΜΠΑΤΖΑΚΗΣ</t>
  </si>
  <si>
    <t>ΑΑ962010</t>
  </si>
  <si>
    <t>753,8</t>
  </si>
  <si>
    <t>1248-1267-1249-1201-1202-1205-1255-1247-1250-1206-1253-1254</t>
  </si>
  <si>
    <t>ΚΑΝΤΑΡΕΛΗΣ</t>
  </si>
  <si>
    <t>ΑΒ813674</t>
  </si>
  <si>
    <t>753,2</t>
  </si>
  <si>
    <t>1218-1201-1252-1203-1206-1217-1219-1248-1250-1249-1222-1253-1254-1255-1202-1204-1205-1221-1220-1223-1247-1256-1251</t>
  </si>
  <si>
    <t>ΤΣΑΛΙΚΗΣ</t>
  </si>
  <si>
    <t>ΑΝ489185</t>
  </si>
  <si>
    <t>752,9</t>
  </si>
  <si>
    <t>ΑΒ003156</t>
  </si>
  <si>
    <t>752,7</t>
  </si>
  <si>
    <t>1254-1250-1217</t>
  </si>
  <si>
    <t>ΜΕΚΙΚΤΣΗ</t>
  </si>
  <si>
    <t>ΑΑ794093</t>
  </si>
  <si>
    <t>751,2</t>
  </si>
  <si>
    <t>1206-1248-1219-1253-1249-1201-1252-1254-1217-1247-1218-1250-1205-1255-1202</t>
  </si>
  <si>
    <t>Αβραμίδης</t>
  </si>
  <si>
    <t>Αβραάμ</t>
  </si>
  <si>
    <t>Σάββας</t>
  </si>
  <si>
    <t>Χ950818</t>
  </si>
  <si>
    <t>750,5</t>
  </si>
  <si>
    <t>1256-1248-1253-1249-1206-1201-1202-1247-1250-1255-1254</t>
  </si>
  <si>
    <t>ΚΟΝΤΟΠΟΥΛΟΣ</t>
  </si>
  <si>
    <t>Τ942852</t>
  </si>
  <si>
    <t>750,3</t>
  </si>
  <si>
    <t>1248-1206-1253-1249-1254-1247-1250-1255</t>
  </si>
  <si>
    <t>ΜΑΤΣΑΡΟΚΗΣ</t>
  </si>
  <si>
    <t>ΑΗ171932</t>
  </si>
  <si>
    <t>749,9</t>
  </si>
  <si>
    <t>1248-1206-1253-1256-1249-1254-1247-1250-1255</t>
  </si>
  <si>
    <t>ΤΖΙΚΟΥ</t>
  </si>
  <si>
    <t>ΑΗ268758</t>
  </si>
  <si>
    <t>749,4</t>
  </si>
  <si>
    <t>1267-1248-1254-1253-1247-1249-1205-1255-1250-1256-1206</t>
  </si>
  <si>
    <t>ΝΤΟΥΝΤΟΥΛΑΚΗ</t>
  </si>
  <si>
    <t>ΑΕ474749</t>
  </si>
  <si>
    <t>748,9</t>
  </si>
  <si>
    <t>1205-1255-1202-1250-1254-1247-1248-1206-1253</t>
  </si>
  <si>
    <t>ΑΝ328410</t>
  </si>
  <si>
    <t>748,8</t>
  </si>
  <si>
    <t>1201-1248-1267-1249-1253-1206-1254-1247-1256-1255-1205-1202-1250</t>
  </si>
  <si>
    <t>ΑΕ 871676</t>
  </si>
  <si>
    <t>748,1</t>
  </si>
  <si>
    <t>1256-1248-1206-1249-1253-1250-1254-1255-1247</t>
  </si>
  <si>
    <t>ΚΟΥΓΙΟΥΜΤΖΗ</t>
  </si>
  <si>
    <t>ΧΥΤΟΥΛΑ</t>
  </si>
  <si>
    <t>ΣΙΔΕΡΗΣ</t>
  </si>
  <si>
    <t>ΑΕ200418</t>
  </si>
  <si>
    <t>1255-1206-1248-1253-1249-1247-1250-1267</t>
  </si>
  <si>
    <t>Χ449613</t>
  </si>
  <si>
    <t>1206-1248-1249-1253-1256</t>
  </si>
  <si>
    <t>ΜΠΑΛΤΑ</t>
  </si>
  <si>
    <t>ΙΣΜΗΝΗ</t>
  </si>
  <si>
    <t>ΑΜ391004</t>
  </si>
  <si>
    <t>1205-1206-1253-1248-1267-1247-1249-1250-1255-1256</t>
  </si>
  <si>
    <t>ΓΚΑΛΟΓΙΑΝΝΗ</t>
  </si>
  <si>
    <t>ΕΛΕΝΗ-ΑΝΔΡΙΑΝΑ</t>
  </si>
  <si>
    <t xml:space="preserve">ΝΙΚΟΛΑΟΣ </t>
  </si>
  <si>
    <t>ΑΗ296124</t>
  </si>
  <si>
    <t>1249-1219-1252</t>
  </si>
  <si>
    <t>Χ542442</t>
  </si>
  <si>
    <t>ΦΡΑΓΚΟΥΛΗΣ</t>
  </si>
  <si>
    <t>Φ297200</t>
  </si>
  <si>
    <t>747,5</t>
  </si>
  <si>
    <t>1251-1267-1206-1247-1248-1249-1250-1253-1254-1255</t>
  </si>
  <si>
    <t>ΑΜ440050</t>
  </si>
  <si>
    <t>747,4</t>
  </si>
  <si>
    <t>1206-1202-1204-1205-1217-1218-1219-1220-1221-1222-1223-1247-1248-1249-1250-1251-1252-1253-1254-1255-1256</t>
  </si>
  <si>
    <t>Παπαδαμάκη</t>
  </si>
  <si>
    <t>Αθηνά</t>
  </si>
  <si>
    <t>ΑΗ026774</t>
  </si>
  <si>
    <t>747,2</t>
  </si>
  <si>
    <t>1248-1247-1250-1253-1201-1203-1202-1204-1205-1206-1218-1220-1221-1222-1254-1256-1255</t>
  </si>
  <si>
    <t>ΜΟΤΣΙΟΥ</t>
  </si>
  <si>
    <t>ΝΑΤΑΣΑ</t>
  </si>
  <si>
    <t>ΑΒ862822</t>
  </si>
  <si>
    <t>1249-1201-1248-1252-1267-1253-1256-1206-1254-1250-1217-1255-1247-1219-1202-1204-1205-1221</t>
  </si>
  <si>
    <t>ΣΙΓΗΡΟΠΟΥΛΟΣ</t>
  </si>
  <si>
    <t>Ρ757294</t>
  </si>
  <si>
    <t>1248-1267-1206-1253-1256-1249-1254-1247-1250-1255</t>
  </si>
  <si>
    <t>ΛΕΟΝΤΗ</t>
  </si>
  <si>
    <t>ΑΖ 384347</t>
  </si>
  <si>
    <t>746,5</t>
  </si>
  <si>
    <t>1206-1219-1248-1253-1249-1254-1247-1217-1250</t>
  </si>
  <si>
    <t>ΑΕ127588</t>
  </si>
  <si>
    <t>746,1</t>
  </si>
  <si>
    <t>ΚΑΡΛΑΓΑΝΝΗ</t>
  </si>
  <si>
    <t>ΑΑ438091</t>
  </si>
  <si>
    <t>1255-1206-1248-1249-1254-1247</t>
  </si>
  <si>
    <t>ΚΙΖΑΝΤΙΔΗΣ</t>
  </si>
  <si>
    <t>ΜΕΝΕΛΑΟΣ</t>
  </si>
  <si>
    <t>Φ477620</t>
  </si>
  <si>
    <t>745,4</t>
  </si>
  <si>
    <t>1247-1206</t>
  </si>
  <si>
    <t>ΠΑΠΑΝΩΤΑΣ</t>
  </si>
  <si>
    <t>ΑΖ317402</t>
  </si>
  <si>
    <t>745,2</t>
  </si>
  <si>
    <t>1253-1267-1248-1249-1201-1254-1247-1202-1255-1205-1250</t>
  </si>
  <si>
    <t>ΚΟΒΕ</t>
  </si>
  <si>
    <t>ΕΥΔΟΞΙΑ - ΑΝΝΑ</t>
  </si>
  <si>
    <t>Χ472917</t>
  </si>
  <si>
    <t>1202-1205-1255-1256-1253-1254-1250-1249-1201-1206</t>
  </si>
  <si>
    <t>Τ790249</t>
  </si>
  <si>
    <t>743,9</t>
  </si>
  <si>
    <t>1248-1267-1206-1253-1256-1249-1254-1247-1250-1255-1202-1205-1201-1251</t>
  </si>
  <si>
    <t>ΜΑΤΟΠΟΥΛΟΥ</t>
  </si>
  <si>
    <t>Χ848533</t>
  </si>
  <si>
    <t>1249-1253-1201-1206-1248-1247-1254-1202-1205-1255-1250</t>
  </si>
  <si>
    <t>ΦΩΤΗΣ</t>
  </si>
  <si>
    <t>ΚΩΝΣΤΑΝΤΙΝΟΣ ΑΣΤΕΡΙΟΣ</t>
  </si>
  <si>
    <t>ΑΒ351639</t>
  </si>
  <si>
    <t>1206-1248-1253-1249-1256</t>
  </si>
  <si>
    <t>ΤΣΟΤΣΟΥ</t>
  </si>
  <si>
    <t>ΑΕ407007</t>
  </si>
  <si>
    <t>1206-1222-1253-1201-1252-1249-1256-1220-1203</t>
  </si>
  <si>
    <t>ΚΑΡΑΚΑΛΟΥ</t>
  </si>
  <si>
    <t>ΑΖ548181</t>
  </si>
  <si>
    <t>741,7</t>
  </si>
  <si>
    <t>ΣΟΥΛΤΟΥΚΗΣ</t>
  </si>
  <si>
    <t>ΑΒ100048</t>
  </si>
  <si>
    <t>1248-1249-1254-1247-1206-1250-1253</t>
  </si>
  <si>
    <t>ΤΙΤΟΠΟΥΛΟΥ</t>
  </si>
  <si>
    <t>ΦΙΛΟΣΤΡΑΤΟΣ</t>
  </si>
  <si>
    <t>ΑΗ048271</t>
  </si>
  <si>
    <t>1249-1253-1267-1254-1248-1247-1250-1206-1256</t>
  </si>
  <si>
    <t>ΣΙΔΗΡΟΠΟΥΛΟΣ</t>
  </si>
  <si>
    <t>Τ445181</t>
  </si>
  <si>
    <t>ΚΙΤΣΟΣ</t>
  </si>
  <si>
    <t>ΡΑΦΑΗΛ - ΝΙΚΟΛΑΟΣ</t>
  </si>
  <si>
    <t>ΑΗ900048</t>
  </si>
  <si>
    <t>740,8</t>
  </si>
  <si>
    <t>1249-1247-1203-1248-1250-1251-1252-1206-1201-1204-1202</t>
  </si>
  <si>
    <t>ΧΑΣΕΚΙΔΟΥ</t>
  </si>
  <si>
    <t>Σ446344</t>
  </si>
  <si>
    <t>740,6</t>
  </si>
  <si>
    <t>ΚΟΡΟΜΗΛΑ</t>
  </si>
  <si>
    <t>ΑΒ334571</t>
  </si>
  <si>
    <t>1202-1204-1247-1255</t>
  </si>
  <si>
    <t>ΔΗΜΗΤΡΙΑΔΗΣ</t>
  </si>
  <si>
    <t>Χ746679</t>
  </si>
  <si>
    <t>1267-1248-1253-1206</t>
  </si>
  <si>
    <t>ΔΙΝΚΑ</t>
  </si>
  <si>
    <t>ΑΜ652030</t>
  </si>
  <si>
    <t>740,1</t>
  </si>
  <si>
    <t>1267-1206-1248-1253-1247-1249-1250-1254-1255</t>
  </si>
  <si>
    <t>ΑΗ984375</t>
  </si>
  <si>
    <t>738,8</t>
  </si>
  <si>
    <t>ΖΑΝΑΝΔΡΙΤΣΟΣ</t>
  </si>
  <si>
    <t>ΑΝ483113</t>
  </si>
  <si>
    <t>1254-1247-1217-1250-1253-1206-1248-1219-1249-1205-1255-1202-1201</t>
  </si>
  <si>
    <t>ΣΓΑΓΙΑ</t>
  </si>
  <si>
    <t>ΑΑ978668</t>
  </si>
  <si>
    <t>738,6</t>
  </si>
  <si>
    <t>1254-1202-1204-1205-1206-1217-1218-1219-1220-1221-1222-1223-1248-1247-1249-1250-1252-1253-1201-1255-1251-1256</t>
  </si>
  <si>
    <t>ΑΚ360137</t>
  </si>
  <si>
    <t>738,4</t>
  </si>
  <si>
    <t>1217-1250-1247-1254-1206-1248-1249-1255</t>
  </si>
  <si>
    <t>ΓΙΟΥΡΓΑ</t>
  </si>
  <si>
    <t>ΑΕ266407</t>
  </si>
  <si>
    <t>1250-1248-1206-1255-1247-1249-1256</t>
  </si>
  <si>
    <t>ΑΙΒΑΤΖΙΔΟΥ</t>
  </si>
  <si>
    <t>ΑΒ021975</t>
  </si>
  <si>
    <t>737,3</t>
  </si>
  <si>
    <t>1247-1248-1250-1267-1217-1218-1219</t>
  </si>
  <si>
    <t>ΑΜ685348</t>
  </si>
  <si>
    <t>1253-1256-1206-1248-1249-1252-1247-1250</t>
  </si>
  <si>
    <t>ΓΑΡΥΦΑΛΟΠΟΥΛΟΥ</t>
  </si>
  <si>
    <t>ΙΦΙΓΕΝΕΙΑ ΜΑΡΙΑ</t>
  </si>
  <si>
    <t>ΑΙ280725</t>
  </si>
  <si>
    <t>1206-1253-1254-1249-1247-1248-1250-1255</t>
  </si>
  <si>
    <t>ΚΟΤΣΙΡΗ</t>
  </si>
  <si>
    <t>ΑΒ070304</t>
  </si>
  <si>
    <t>736,7</t>
  </si>
  <si>
    <t>1201-1202-1205-1206-1217-1247-1248-1250-1254-1255</t>
  </si>
  <si>
    <t>ΚΛΑΨΗΣ</t>
  </si>
  <si>
    <t>ΑΒ113026</t>
  </si>
  <si>
    <t>736,4</t>
  </si>
  <si>
    <t>1205-1201-1202-1204-1206-1217-1218-1219-1220-1221-1222-1223-1247-1248-1249-1250-1251-1252-1253-1254-1255-1256</t>
  </si>
  <si>
    <t>ΚΟΝΤΟΓΙΑΝΝΙΔΗΣ</t>
  </si>
  <si>
    <t>ΑΙ629028</t>
  </si>
  <si>
    <t>1201-1202-1205-1206-1217-1219-1247-1248-1249-1250-1251-1253-1244-1255-1256</t>
  </si>
  <si>
    <t>ΝΗΣΕΛΙΤΗΣ</t>
  </si>
  <si>
    <t>Χ342826</t>
  </si>
  <si>
    <t>736,2</t>
  </si>
  <si>
    <t>1249-1253-1219-1248-1206-1217-1220-1222-1221-1223</t>
  </si>
  <si>
    <t>ΚΟΚΚΑΣ</t>
  </si>
  <si>
    <t>ΑΖ779479</t>
  </si>
  <si>
    <t>1248-1249-1254-1256-1206-1253-1247-1250-1255</t>
  </si>
  <si>
    <t>Χ276142</t>
  </si>
  <si>
    <t>736,1</t>
  </si>
  <si>
    <t>1219-1248-1217-1201-1250-1206-1247-1202-1205-1249-1253-1254-1255-1256</t>
  </si>
  <si>
    <t>ΜΗΤΡΩΚΑΣ</t>
  </si>
  <si>
    <t>ΑΔΑΜΑΝΤΙΟΣ</t>
  </si>
  <si>
    <t>Σ725061</t>
  </si>
  <si>
    <t>ΚΑΛΛΙΑΣ</t>
  </si>
  <si>
    <t>ΠΑΣΧΑΛΛΗΣ</t>
  </si>
  <si>
    <t>ΑΕ403910</t>
  </si>
  <si>
    <t>735,3</t>
  </si>
  <si>
    <t>1206-1267-1248-1255-1247-1253-1249-1254-1250</t>
  </si>
  <si>
    <t>Βεσύρης</t>
  </si>
  <si>
    <t>Χ230439</t>
  </si>
  <si>
    <t>1219-1248-1267-1253-1249-1206-1201-1254-1247-1217-1250-1205-1255-1202</t>
  </si>
  <si>
    <t>ΙΟΥΛΙΑ</t>
  </si>
  <si>
    <t>ΑΝ266152</t>
  </si>
  <si>
    <t>735,1</t>
  </si>
  <si>
    <t>1250-1247-1201-1202-1205-1255-1248-1267-1206-1249-1253-1254-1256</t>
  </si>
  <si>
    <t>ΚΑΡΑΒΙΔΑ</t>
  </si>
  <si>
    <t>Χ765393</t>
  </si>
  <si>
    <t>1267-1205-1233-1234-1257-1202-1249-1247-1248-1250-1251-1252</t>
  </si>
  <si>
    <t>1204-1205-1202-1206-1256-1247-1248-1249-1250-1251-1252-1253-1254-1255-1201-1217-1218-1219-1220-1221-1222-1223</t>
  </si>
  <si>
    <t>ΛΕΡΙΚΟΣ</t>
  </si>
  <si>
    <t>ΑΕ754072</t>
  </si>
  <si>
    <t>734,3</t>
  </si>
  <si>
    <t>1250-1248-1201-1206-1247-1254-1253-1249-1202-1255</t>
  </si>
  <si>
    <t>ΚΑΤΣΙΦΑ</t>
  </si>
  <si>
    <t>ΑΒ490358</t>
  </si>
  <si>
    <t>734,2</t>
  </si>
  <si>
    <t>1254-1247-1201-1267-1248-1249-1253-1250-1255-1202</t>
  </si>
  <si>
    <t>ΑΝΩΓΙΤΗΣ</t>
  </si>
  <si>
    <t>Χ374175</t>
  </si>
  <si>
    <t>734,1</t>
  </si>
  <si>
    <t>1217-1219-1251-1201-1202-1205-1206-1247-1248-1249-1250-1253-1254-1255-1256-1267</t>
  </si>
  <si>
    <t>ΤΖΙΑΖΙΟΥ</t>
  </si>
  <si>
    <t>ΚΑΛΛΛΙΟΠΗ</t>
  </si>
  <si>
    <t>ΑΖ666728</t>
  </si>
  <si>
    <t>Κυπραίου</t>
  </si>
  <si>
    <t>Παρασκευή</t>
  </si>
  <si>
    <t>Σ861182</t>
  </si>
  <si>
    <t>1249-1267-1201-1202-1206-1205-1248-1256-1253-1254-1255-1250-1247</t>
  </si>
  <si>
    <t>ΜΑΝΘΙΔΟΥ</t>
  </si>
  <si>
    <t>ΑΒ708201</t>
  </si>
  <si>
    <t>1267-1248-1253-1201-1206-1256-1249-1254-1247-1202-1255-1205-1250</t>
  </si>
  <si>
    <t>ΑΗ296754</t>
  </si>
  <si>
    <t>733,3</t>
  </si>
  <si>
    <t>1202-1205-1255-1248-1219-1249-1253-1217-1250-1247-1254</t>
  </si>
  <si>
    <t>ΚΟΝΤΟΕ</t>
  </si>
  <si>
    <t>ΑΝ259317</t>
  </si>
  <si>
    <t>ΚΑΝΤΟΠΟΥΛΟΣ</t>
  </si>
  <si>
    <t>ΑΑ409126</t>
  </si>
  <si>
    <t>620,4</t>
  </si>
  <si>
    <t>732,4</t>
  </si>
  <si>
    <t>1249-1253-1248-1206-1254-1250-1255</t>
  </si>
  <si>
    <t>ΛΑΓΔΟΣ</t>
  </si>
  <si>
    <t>ΑΗ780881</t>
  </si>
  <si>
    <t>732,2</t>
  </si>
  <si>
    <t>1202-1204-1205-1206-1217-1218-1219-1220-1221-1222-1223-1253-1255-1203-1247-1248-1249-1250-1251-1252-1256-1267</t>
  </si>
  <si>
    <t>ΚΑΤΣΑΡΕΛΙΑ</t>
  </si>
  <si>
    <t>ΑΖ208965</t>
  </si>
  <si>
    <t>732,1</t>
  </si>
  <si>
    <t>1247-1254-1250-1248-1267-1201-1252-1218-1223-1217-1219</t>
  </si>
  <si>
    <t>ΧΑΤΣΗΣΥΜΕΩΝΙΔΗΣ</t>
  </si>
  <si>
    <t>Χ 974215</t>
  </si>
  <si>
    <t>1206-1248-1249-1253-1255-1256-1254</t>
  </si>
  <si>
    <t>ΑΙ792758</t>
  </si>
  <si>
    <t>ΡΙΓΑΝΑΣ</t>
  </si>
  <si>
    <t>Χ071724</t>
  </si>
  <si>
    <t>1249-1250-1253-1254-1255-1206-1247-1248</t>
  </si>
  <si>
    <t>ΦΩΤΟΚΕΧΑΓΙΑ</t>
  </si>
  <si>
    <t>Ρ869683</t>
  </si>
  <si>
    <t>731,8</t>
  </si>
  <si>
    <t>1249-1253-1248-1267-1254-1201-1206-1247-1250-1202-1205-1255</t>
  </si>
  <si>
    <t>ΣΚΑΦΙΔΑΣ</t>
  </si>
  <si>
    <t>ΠΑΤΡΟΚΛΟΣ</t>
  </si>
  <si>
    <t>Χ889836</t>
  </si>
  <si>
    <t>1249-1253-1256-1267-1248-1206-1201-1247-1250-1254-1255-1205-1202</t>
  </si>
  <si>
    <t>ΠΑΝΤΕΛΑΚΗΣ</t>
  </si>
  <si>
    <t>Χ395580</t>
  </si>
  <si>
    <t>731,3</t>
  </si>
  <si>
    <t>ΑΑ869711</t>
  </si>
  <si>
    <t>731,1</t>
  </si>
  <si>
    <t>1203-1217-1218-1202-1219-1220-1221-1204-1205-1206-1223-1247-1248-1249</t>
  </si>
  <si>
    <t>Ζιώγας</t>
  </si>
  <si>
    <t>Αλκιβιαδης</t>
  </si>
  <si>
    <t>ΑΕ845070</t>
  </si>
  <si>
    <t>730,7</t>
  </si>
  <si>
    <t>1219-1248-1253-1256-1249-1222-1220-1254-1223-1204-1205-1202-1255-1252-1247-1217-1218-1251</t>
  </si>
  <si>
    <t>ΑΚ353084</t>
  </si>
  <si>
    <t>1250-1248-1274-1252-1206-1249-1253-1254-1255-1202-1267</t>
  </si>
  <si>
    <t>ΤΡΙΑΝΤΟΠΟΥΛΟΥ</t>
  </si>
  <si>
    <t>ΑΝΤΩΝΙΑ-ΕΥΑΓΓΕΛΙΑ</t>
  </si>
  <si>
    <t>Χ128913</t>
  </si>
  <si>
    <t>ΑΣΛΑΝΙΔΟΥ</t>
  </si>
  <si>
    <t>ΑΚ934009</t>
  </si>
  <si>
    <t>730,2</t>
  </si>
  <si>
    <t>1248-1267-1253-1249-1254-1255-1247-1250</t>
  </si>
  <si>
    <t>Ντινα</t>
  </si>
  <si>
    <t>Γεωργια Μαρια</t>
  </si>
  <si>
    <t>Κωνσταντινος</t>
  </si>
  <si>
    <t>Χ422937</t>
  </si>
  <si>
    <t>1203-1201-1223-1252-1204-1205-1206-1217-1218-1220-1219-1221-1222-1247-1248-1249-1250-1251-1253-1254-1255-1256</t>
  </si>
  <si>
    <t>ΠΕΡΙΒΟΛΑΡΗΣ</t>
  </si>
  <si>
    <t>Χ397223</t>
  </si>
  <si>
    <t>ΑΗ771185</t>
  </si>
  <si>
    <t>729,8</t>
  </si>
  <si>
    <t>ΛΥΜΠΕΡΗ</t>
  </si>
  <si>
    <t>ΑΙ058982</t>
  </si>
  <si>
    <t>729,6</t>
  </si>
  <si>
    <t>1250-1247-1254-1248-1202-1205-1255-1253-1201-1249-1206-1256</t>
  </si>
  <si>
    <t>ΣΓΟΥΡΟΠΟΥΛΟΥ</t>
  </si>
  <si>
    <t>Χ893652</t>
  </si>
  <si>
    <t>729,4</t>
  </si>
  <si>
    <t>1249-1248-1253-1206-1205-1255-1247-1202-1250-1254</t>
  </si>
  <si>
    <t>Τ924122</t>
  </si>
  <si>
    <t>728,7</t>
  </si>
  <si>
    <t>ΤΡΙΑΝΤΑΦΥΛΛΑ</t>
  </si>
  <si>
    <t>ΑΒ141481</t>
  </si>
  <si>
    <t>728,5</t>
  </si>
  <si>
    <t>ΚΟΤΙΚΑΣ</t>
  </si>
  <si>
    <t>ΑΙ260929</t>
  </si>
  <si>
    <t>727,6</t>
  </si>
  <si>
    <t>1206-1217-1218-1219-1220-1222-1223-1221-1201-1203-1202-1204-1205-1267-1257-1247-1248-1249-1250-1251-1252-1253-1254-1255-1256</t>
  </si>
  <si>
    <t>ΣΠΥΡΟΠΟΥΛΟΣ</t>
  </si>
  <si>
    <t>Χ934071</t>
  </si>
  <si>
    <t>727,5</t>
  </si>
  <si>
    <t>1250-1247-1254-1201-1206-1256-1253-1249-1248-1202-1255-1205</t>
  </si>
  <si>
    <t>ΚΑΡΑΠΑΝΤΑΣ</t>
  </si>
  <si>
    <t>ΑΒ893539</t>
  </si>
  <si>
    <t>727,4</t>
  </si>
  <si>
    <t>1206-1219-1220-1222-1248-1249-1253</t>
  </si>
  <si>
    <t xml:space="preserve">ΚΑΡΑΓΙΑΝΝΗ </t>
  </si>
  <si>
    <t>Σ353773</t>
  </si>
  <si>
    <t>1250-1247-1254-1255-1248-1219-1256-1253-1206-1249-1251</t>
  </si>
  <si>
    <t>ΤΕΡΖΗ</t>
  </si>
  <si>
    <t>ΘΕΟΝΥΜΦΗ</t>
  </si>
  <si>
    <t>ΑΒ265514</t>
  </si>
  <si>
    <t>1205-1255-1202-1250-1248-1267-1254-1206-1253-1247-1249-1256-1201</t>
  </si>
  <si>
    <t>ΚΥΜΙΩΝΗΣ</t>
  </si>
  <si>
    <t>ΑΖ725231</t>
  </si>
  <si>
    <t>1250-1247-1254-1248-1267-1255-1253-1256-1249-1206</t>
  </si>
  <si>
    <t>Καραλη</t>
  </si>
  <si>
    <t>Χρυσουλαα</t>
  </si>
  <si>
    <t>Δημητριος</t>
  </si>
  <si>
    <t>ΑΙ514058</t>
  </si>
  <si>
    <t>726,3</t>
  </si>
  <si>
    <t>ΡΙΖΟΣ</t>
  </si>
  <si>
    <t>ΑΒ859829</t>
  </si>
  <si>
    <t>1201-1202-1206-1221-1247-1248-1249-1250-1253-1254-1255</t>
  </si>
  <si>
    <t>ΔΕΛΛΗ</t>
  </si>
  <si>
    <t>Φ268160</t>
  </si>
  <si>
    <t>726,1</t>
  </si>
  <si>
    <t>ΒΑΧΤΣΕΒΑΝΟΥ</t>
  </si>
  <si>
    <t>ΑΜ358566</t>
  </si>
  <si>
    <t>1249-1253-1248-1267-1206-1247-1254-1250-1255</t>
  </si>
  <si>
    <t>ΡΗΓΑ</t>
  </si>
  <si>
    <t>ΑΒ646302</t>
  </si>
  <si>
    <t>ΣΙΑΜΠΑΝΟΠΟΥΛΟΣ</t>
  </si>
  <si>
    <t>ΑΜ396812</t>
  </si>
  <si>
    <t>1206-1247-1249-1250-1253-1254-1255-1256-1267</t>
  </si>
  <si>
    <t>ΔΑΜΑΛΑ</t>
  </si>
  <si>
    <t>Χ285009</t>
  </si>
  <si>
    <t>725,2</t>
  </si>
  <si>
    <t>1217-1250-1218-1247-1254</t>
  </si>
  <si>
    <t>ΚΟΚΚΑΛΗ</t>
  </si>
  <si>
    <t>ΑΒ434183</t>
  </si>
  <si>
    <t>ΑΚ340189</t>
  </si>
  <si>
    <t>1205-1206-1253-1254-1255-1256-1247-1248-1249-1250</t>
  </si>
  <si>
    <t>ΓΟΥΛΑΣ</t>
  </si>
  <si>
    <t>Χ922400</t>
  </si>
  <si>
    <t>724,3</t>
  </si>
  <si>
    <t>1202-1204-1205-1206-1217-1218-1219-1221-1247-1248-1249-1250-1252-1253-1254-1256-1255</t>
  </si>
  <si>
    <t>ΕΥΘΥΜΙΟΣ-ΜΑΡΙΟΣ</t>
  </si>
  <si>
    <t>ΑΖ776504</t>
  </si>
  <si>
    <t>1254-1201-1253-1247-1248-1250</t>
  </si>
  <si>
    <t>ΚΟΡΔΑΣ</t>
  </si>
  <si>
    <t>Χ798948</t>
  </si>
  <si>
    <t>1201-1202-1206-1247-1248-1249-1250-1251-1252-1253-1254-1255-1256</t>
  </si>
  <si>
    <t>ΑΕ938742</t>
  </si>
  <si>
    <t>723,6</t>
  </si>
  <si>
    <t>1248-1267-1256-1249-1206-1201-1253-1254-1247-1202-1255-1250</t>
  </si>
  <si>
    <t>ΠΑΠΑΣΗΜΑΚΟΠΟΥΛΟΥ</t>
  </si>
  <si>
    <t>Τ261754</t>
  </si>
  <si>
    <t>723,2</t>
  </si>
  <si>
    <t>1250-1201-1205-1221-1202-1247-1248-1206-1249-1253</t>
  </si>
  <si>
    <t>ΜΠΟΥΡΟΥΖΙΚΑΣ</t>
  </si>
  <si>
    <t>ΑΝ316212</t>
  </si>
  <si>
    <t>1203-1201-1249-1254-1219-1267-1248-1253</t>
  </si>
  <si>
    <t>ΧΑΝΤΖΟΥΛΗ</t>
  </si>
  <si>
    <t>ΜΑΡΙΑ ΕΛΕΝΗ</t>
  </si>
  <si>
    <t>Φ339775</t>
  </si>
  <si>
    <t>1254-1248-1249-1250-1267-1201-1202-1205-1206-1247-1253-1255</t>
  </si>
  <si>
    <t>ΜΑΜΟΥΤΟΠΟΥΛΟΥ</t>
  </si>
  <si>
    <t>Χ746414</t>
  </si>
  <si>
    <t>1219-1247-1248-1267</t>
  </si>
  <si>
    <t>ΤΖΑΝΟΥ</t>
  </si>
  <si>
    <t>ΑΒ114541</t>
  </si>
  <si>
    <t>1256-1248-1206</t>
  </si>
  <si>
    <t>ΤΣΑΓΚΑΡΑΚΗ</t>
  </si>
  <si>
    <t>Χ215781</t>
  </si>
  <si>
    <t>ΜΕΛΑΔΙΝΗΣ</t>
  </si>
  <si>
    <t>Χ871722</t>
  </si>
  <si>
    <t>1206-1253-1254-1249-1248-1247-1250-1255-1202-1219-1201-1222-1217-1221-1223-1220-1203-1204-1218-1256-1251</t>
  </si>
  <si>
    <t>ΜΑΛΛΙΩΡΑΣ</t>
  </si>
  <si>
    <t>ΑΕ810663</t>
  </si>
  <si>
    <t>722,3</t>
  </si>
  <si>
    <t>1219-1248-1256-1217-1249-1247-1250-1254-1206-1202</t>
  </si>
  <si>
    <t>ΜΠΑΝΑΚΟΣ</t>
  </si>
  <si>
    <t>ΑΙ454132</t>
  </si>
  <si>
    <t>721,9</t>
  </si>
  <si>
    <t>1202-1204-1219-1221-1247-1248-1249-1250-1255-1267-1217</t>
  </si>
  <si>
    <t>ΜΠΟΥΓΑΣ</t>
  </si>
  <si>
    <t>ΑΘΑΝΑΣΙΟΣ ΠΡΟΚΟΠΙΟΣ</t>
  </si>
  <si>
    <t>ΑΖ639464</t>
  </si>
  <si>
    <t>1247-1250-1248-1249-1254-1253-1255</t>
  </si>
  <si>
    <t>ΠΕΤΣΟΥ</t>
  </si>
  <si>
    <t>Χ947647</t>
  </si>
  <si>
    <t>721,7</t>
  </si>
  <si>
    <t>1256-1253-1248-1267-1249-1201-1202-1206-1219</t>
  </si>
  <si>
    <t>Τ908100</t>
  </si>
  <si>
    <t>720,8</t>
  </si>
  <si>
    <t>1202-1205-1206-1217-1219-1247-1248-1249-1250-1253-1254-1255-1267</t>
  </si>
  <si>
    <t>ΖΑΡΚΑΛΗ</t>
  </si>
  <si>
    <t>ΑΙ511546</t>
  </si>
  <si>
    <t>ΓΚΟΚΤΣΗ</t>
  </si>
  <si>
    <t>ΑΗ805458</t>
  </si>
  <si>
    <t>1256-1253-1249-1248-1206-1254-1247-1250-1267</t>
  </si>
  <si>
    <t>ΑΒ775814</t>
  </si>
  <si>
    <t>719,7</t>
  </si>
  <si>
    <t>1202-1203-1204-1205-1206-1217-1218-1219-1221-1247-1248-1249-1250-1253-1252-1254-1255</t>
  </si>
  <si>
    <t>ΣΥΡΜΟΥΛΑ</t>
  </si>
  <si>
    <t>ΑΗ921681</t>
  </si>
  <si>
    <t>1206-1248-1247-1249</t>
  </si>
  <si>
    <t>ΠΑΝΟΠΟΥΛΟΥ</t>
  </si>
  <si>
    <t>ΑΑ323697</t>
  </si>
  <si>
    <t>718,8</t>
  </si>
  <si>
    <t>1257-1202-1203-1204-1205-1233-1234-1267-1250</t>
  </si>
  <si>
    <t>ΣΙΑΡΚΟΣ</t>
  </si>
  <si>
    <t>Χ971886</t>
  </si>
  <si>
    <t>718,6</t>
  </si>
  <si>
    <t>1219-1222-1267-1256-1248-1220-1206-1249</t>
  </si>
  <si>
    <t>ΑΖ237160</t>
  </si>
  <si>
    <t>1218-1206-1203-1254-1253-1223-1221-1204-1205-1256-1249-1250-1247-1202-1255-1201-1248-1267-1222-1220</t>
  </si>
  <si>
    <t>ΜΙΤΣΙΚΟΓΛΟΥ</t>
  </si>
  <si>
    <t>ΟΜΗΡΟΣ</t>
  </si>
  <si>
    <t>ΑΖ879002</t>
  </si>
  <si>
    <t>1206-1248-1253-1256-1249-1250-1255-1247-1254</t>
  </si>
  <si>
    <t>ΜΠΑΚΟΓΙΑΝΝΗ</t>
  </si>
  <si>
    <t>ΑΕ798311</t>
  </si>
  <si>
    <t>717,5</t>
  </si>
  <si>
    <t>1201-1254-1202-1247-1248-1249-1250-1253-1255-1256</t>
  </si>
  <si>
    <t>ΚΥΡΙΤΣΗ</t>
  </si>
  <si>
    <t>ΑΗ719997</t>
  </si>
  <si>
    <t>717,4</t>
  </si>
  <si>
    <t>1250-1248-1247-1253-1255-1254-1249-1256-1206</t>
  </si>
  <si>
    <t>ΠΡΕΖΑΣ</t>
  </si>
  <si>
    <t>ΑΕ249589</t>
  </si>
  <si>
    <t>716,4</t>
  </si>
  <si>
    <t>1255-1205-1202-1248-1247-1201-1267-1253-1250-1254-1206-1256-1249</t>
  </si>
  <si>
    <t>ΑΛΕΓΚΑΚΗ</t>
  </si>
  <si>
    <t>Χ351818</t>
  </si>
  <si>
    <t>715,3</t>
  </si>
  <si>
    <t>1202-1204-1205-1217-1219-1218-1220-1221-1222-1223-1248-1250-1252-1253-1255-1256-1254-1247-1206-1249-1251</t>
  </si>
  <si>
    <t>ΝΟΝΑ</t>
  </si>
  <si>
    <t>ΑΖ485699</t>
  </si>
  <si>
    <t>ΤΣΙΜΠΙΡΙΜΠΗΣ</t>
  </si>
  <si>
    <t>ΑΜ327077</t>
  </si>
  <si>
    <t>1206-1267-1203-1247-1248-1249-1250-1253-1254-1255-1256</t>
  </si>
  <si>
    <t>ΛΟΥΚΟΥΜΗ</t>
  </si>
  <si>
    <t>Σ485003</t>
  </si>
  <si>
    <t>714,2</t>
  </si>
  <si>
    <t>1250-1206-1201-1247-1248-1202-1249-1253-1254-1267-1255</t>
  </si>
  <si>
    <t>ΖΟΥΡΤΟΥΜΙΔΗΣ</t>
  </si>
  <si>
    <t>Χ731468</t>
  </si>
  <si>
    <t>1267-1248-1253-1249-1206-1256</t>
  </si>
  <si>
    <t>ΒΑΒΛΙΑΡΑΣ</t>
  </si>
  <si>
    <t>ΑΒ109568</t>
  </si>
  <si>
    <t>1249-1267-1219-1248-1222-1206-1218-1201-1252-1253-1202-1254-1255-1256-1204-1205-1203-1247-1250-1217-1221-1220-1223-1251</t>
  </si>
  <si>
    <t>ΜΙΣΚΟΣ</t>
  </si>
  <si>
    <t>ΑΒ115474</t>
  </si>
  <si>
    <t>714,1</t>
  </si>
  <si>
    <t>1256-1201-1202-1204-1205-1206-1217-1218-1219-1220-1221-1222-1223-1247-1248-1249-1250-1251-1252-1253-1254-1255</t>
  </si>
  <si>
    <t>ΒΙΑΝΝΗ</t>
  </si>
  <si>
    <t>ΑΝΑΤΟΛΗ</t>
  </si>
  <si>
    <t>ΑΗ349276</t>
  </si>
  <si>
    <t>1206-1248-1267-1253-1249-1254-1247-1250-1255-1256</t>
  </si>
  <si>
    <t>ΜΑΣΤΟΡΑΣ</t>
  </si>
  <si>
    <t>ΑΗ239149</t>
  </si>
  <si>
    <t>1221-1203-1202-1204-1205-1206-1201-1217-1218-1219-1220-1222-1223-1247-1248-1249-1250-1251-1252-1253-1254-1255-1256-1267</t>
  </si>
  <si>
    <t>Χ759510</t>
  </si>
  <si>
    <t>1248-1256-1247-1255-1202-1204-1205-1251</t>
  </si>
  <si>
    <t>ΓΕΩΡΓΑΛΗ</t>
  </si>
  <si>
    <t>ΑΖ292845</t>
  </si>
  <si>
    <t>713,1</t>
  </si>
  <si>
    <t>1249-1256-1253-1267-1248-1206-1201-1255-1202-1247-1250-1254</t>
  </si>
  <si>
    <t>ΜΑΝΤΑΤΖΙΔΟΥ</t>
  </si>
  <si>
    <t>Χ445317</t>
  </si>
  <si>
    <t>1249-1253-1206-1247-1256-1248-1254-1250-1255</t>
  </si>
  <si>
    <t>ΑΝΑΓΝΩΣΤΟΠΟΥΛΟΥ</t>
  </si>
  <si>
    <t>ΑΗ401532</t>
  </si>
  <si>
    <t>1206-1248-1254</t>
  </si>
  <si>
    <t>710,9</t>
  </si>
  <si>
    <t>ΜΗΤΡΟΛΙΟΣ</t>
  </si>
  <si>
    <t>ΘΕΟΔΩΡΟΣ ΠΑΡΑΣΚΕΥΑΣ</t>
  </si>
  <si>
    <t>ΑΒ420438</t>
  </si>
  <si>
    <t>1219-1248-1249-1254-1253-1247-1206-1217-1250-1255-1205-1202</t>
  </si>
  <si>
    <t>ΑΝ183533</t>
  </si>
  <si>
    <t>ΚΑΤΣΙΜΑΝΤΑΚΟΣ</t>
  </si>
  <si>
    <t>ΠΙΕΡΡΟΣ</t>
  </si>
  <si>
    <t>ΑΙ145960</t>
  </si>
  <si>
    <t>ΝΑΠΟΛΕΩΝ</t>
  </si>
  <si>
    <t>ΑΕ684757</t>
  </si>
  <si>
    <t>708,7</t>
  </si>
  <si>
    <t>1219-1220-1248-1249-1253-1267</t>
  </si>
  <si>
    <t>ΦΑΙΤΟΥ</t>
  </si>
  <si>
    <t>ΑΜ469320</t>
  </si>
  <si>
    <t>708,6</t>
  </si>
  <si>
    <t>1202-1205-1255-1267-1250-1247-1206-1254-1253-1248-1249</t>
  </si>
  <si>
    <t>ΣΤΑΘΑΤΟΣ</t>
  </si>
  <si>
    <t>ΑΗ830902</t>
  </si>
  <si>
    <t>1253-1202-1205-1206-1247-1248-1249-1250-1254</t>
  </si>
  <si>
    <t>ΑΒ113013</t>
  </si>
  <si>
    <t>1248-1256-1253-1267</t>
  </si>
  <si>
    <t>ΚΑΡΑΜΑΝΗΣ</t>
  </si>
  <si>
    <t>ΑΙ209678</t>
  </si>
  <si>
    <t>ΑΗ353233</t>
  </si>
  <si>
    <t>1222-1206-1219-1220-1248-1249</t>
  </si>
  <si>
    <t>ΑΖ876270</t>
  </si>
  <si>
    <t>707,6</t>
  </si>
  <si>
    <t>1206-1248-1267-1249-1253-1256-1254-1205-1255-1247-1202-1250</t>
  </si>
  <si>
    <t>ΑΛΕΞΙΑΔΗΣ</t>
  </si>
  <si>
    <t>ΑΖ305224</t>
  </si>
  <si>
    <t>1248-1219-1222-1249-1203-1252-1220-1253-1204-1202-1205-1206-1217-1218-1247-1250-1254-1251-1221-1223</t>
  </si>
  <si>
    <t>ΑΙ482175</t>
  </si>
  <si>
    <t>706,8</t>
  </si>
  <si>
    <t>ΓΑΙΤΑΝΙΔΗ</t>
  </si>
  <si>
    <t>ΖΑΧΑΡΟΥΛΑ-ΑΡΓΥΡΟΥΛΑ</t>
  </si>
  <si>
    <t>ΑΒ429933</t>
  </si>
  <si>
    <t>706,7</t>
  </si>
  <si>
    <t>1201-1206-1254-1256-1247-1249-1248-1253-1267</t>
  </si>
  <si>
    <t>ΠΑΠΑΔΟΛΙΟΠΟΥΛΟΥ</t>
  </si>
  <si>
    <t>ΑΙ241416</t>
  </si>
  <si>
    <t>706,5</t>
  </si>
  <si>
    <t>1250-1247-1248-1267-1254-1255-1205-1206-1249-1253-1256</t>
  </si>
  <si>
    <t>ΣΤΑΥΡΟΥΔΗ</t>
  </si>
  <si>
    <t>ΑΚ943560</t>
  </si>
  <si>
    <t>1248-1219-1253-1267</t>
  </si>
  <si>
    <t>ΑΗ769330</t>
  </si>
  <si>
    <t>705,5</t>
  </si>
  <si>
    <t>1201-1203-1205-1206-1247-1248-1249-1250-1253-1254-1255-1256</t>
  </si>
  <si>
    <t>ΓΚΟΥΝΤΑΣ</t>
  </si>
  <si>
    <t>ΑΒ113383</t>
  </si>
  <si>
    <t>705,4</t>
  </si>
  <si>
    <t>1248-1267-1205-1255-1249-1206-1247-1250-1253-1254-1256</t>
  </si>
  <si>
    <t>ΑΗ664320</t>
  </si>
  <si>
    <t>ΜΠΟΥΝΤΑ</t>
  </si>
  <si>
    <t>ΔΩΡΟΘΕΑ</t>
  </si>
  <si>
    <t>ΑΗ477297</t>
  </si>
  <si>
    <t>ΑΗ640077</t>
  </si>
  <si>
    <t>704,3</t>
  </si>
  <si>
    <t>1202-1205-1247-1248-1250-1255-1267-1254</t>
  </si>
  <si>
    <t>ΑΒ993151</t>
  </si>
  <si>
    <t>703,3</t>
  </si>
  <si>
    <t>ΚΙΤΣΗ</t>
  </si>
  <si>
    <t xml:space="preserve">ΚΑΛΛΙΟΠΗ </t>
  </si>
  <si>
    <t xml:space="preserve">ΙΩΑΝΝΗΣ </t>
  </si>
  <si>
    <t>Χ030982</t>
  </si>
  <si>
    <t>702,1</t>
  </si>
  <si>
    <t>1247-1250-1254-1201-1249-1253-1256-1248-1206-1202-1255-1205</t>
  </si>
  <si>
    <t>Χ835145</t>
  </si>
  <si>
    <t>1202-1204-1205-1206-1217-1201-1218-1219-1220-1221-1222-1223-1247-1248-1249-1250-1251-1252-1253-1254-1255-1256</t>
  </si>
  <si>
    <t>ΝΑΛΜΠΑΝΤΗ</t>
  </si>
  <si>
    <t>ΜΑΡΙΑ ΚΥΠΑΡΙΣΣΙΑ</t>
  </si>
  <si>
    <t>ΑΕ402712</t>
  </si>
  <si>
    <t>1251-1223-1221-1202-1204-1205-1206-1254-1253-1252-1249-1255</t>
  </si>
  <si>
    <t>ΣΑΡΑΚΗΣ</t>
  </si>
  <si>
    <t>ΑΜ755412</t>
  </si>
  <si>
    <t>Χ376855</t>
  </si>
  <si>
    <t>699,9</t>
  </si>
  <si>
    <t>1201-1206-1202-1255-1254-1253-1247-1249-1250-1256-1248-1267</t>
  </si>
  <si>
    <t>ΣΑΚΚΑΣ</t>
  </si>
  <si>
    <t>ΑΕ283975</t>
  </si>
  <si>
    <t>1248-1206-1202-1201-1247</t>
  </si>
  <si>
    <t>ΓΚΑΜΠΡΑΝΗ</t>
  </si>
  <si>
    <t>ΑΑ277772</t>
  </si>
  <si>
    <t>ΒΕΝΙΖΕΛΟΥ</t>
  </si>
  <si>
    <t>ΑΑ350785</t>
  </si>
  <si>
    <t>699,3</t>
  </si>
  <si>
    <t>ΚΑΡΕΤΣΟΥ</t>
  </si>
  <si>
    <t>ΑΖ781359</t>
  </si>
  <si>
    <t>698,8</t>
  </si>
  <si>
    <t>1267-1206-1249-1255-1253-1254-1247-1250-1248-1256-1222-1201-1202-1205-1204-1252-1203-1219-1221-1218-1223-1220</t>
  </si>
  <si>
    <t>ΣΒΕΡΩΝΗΣ</t>
  </si>
  <si>
    <t>ΑΚ957345</t>
  </si>
  <si>
    <t>1201-1202-1204-1205-1206-1217-1218-1219-1220-1221-1222-1223-1247-1248-1249-1250-1251-1252-1253-1254-1255-1256-1203</t>
  </si>
  <si>
    <t>ΠΟΥΡΓΟΥΤΖΙΔΟΥ</t>
  </si>
  <si>
    <t>ΑΒ711874</t>
  </si>
  <si>
    <t>1219-1267-1248-1206-1222-1249-1253-1256-1201</t>
  </si>
  <si>
    <t>ΒΑΡΒΑΤΖΙΚΗ</t>
  </si>
  <si>
    <t>ΑΒ056839</t>
  </si>
  <si>
    <t>1206-1247-1248-1267-1249-1256-1253-1254-1250-1255</t>
  </si>
  <si>
    <t>ΖΑΦΕΙΡΙΟΥ</t>
  </si>
  <si>
    <t>ΑΗ284601</t>
  </si>
  <si>
    <t>1201-1252-1247-1248-1249-1254-1255-1205-1223-1251-1202-1221-1250-1253-1256</t>
  </si>
  <si>
    <t>ΛΑΓΚΑΔΙΝΟΣ</t>
  </si>
  <si>
    <t>ΑΜ748516</t>
  </si>
  <si>
    <t>625,9</t>
  </si>
  <si>
    <t>697,9</t>
  </si>
  <si>
    <t>1201-1202-1206-1247-1248-1249-1250-1253</t>
  </si>
  <si>
    <t>ΖΙΩΓΑ</t>
  </si>
  <si>
    <t>Χ811561</t>
  </si>
  <si>
    <t>1205-1247-1248-1249-1250</t>
  </si>
  <si>
    <t>ΑΡΜΕΝΗ</t>
  </si>
  <si>
    <t>ΑΗ085663</t>
  </si>
  <si>
    <t>696,6</t>
  </si>
  <si>
    <t>1247-1250-1201-1267-1254</t>
  </si>
  <si>
    <t>ΚΑΡΙΚΟΣ</t>
  </si>
  <si>
    <t>ΑΙ635669</t>
  </si>
  <si>
    <t>695,5</t>
  </si>
  <si>
    <t>1247-1250-1254-1201-1267-1248-1256-1253-1249</t>
  </si>
  <si>
    <t>ΔΗΜΟΠΟΥΛΟΣ</t>
  </si>
  <si>
    <t>ΑΚ339127</t>
  </si>
  <si>
    <t>695,3</t>
  </si>
  <si>
    <t>Χ894685</t>
  </si>
  <si>
    <t>1249-1253-1256-1267-1248</t>
  </si>
  <si>
    <t>ΠΑΝΩΡΓΙΑ</t>
  </si>
  <si>
    <t>ΑΕ832342</t>
  </si>
  <si>
    <t>1256-1253-1249</t>
  </si>
  <si>
    <t>ΑΚ547697</t>
  </si>
  <si>
    <t>694,2</t>
  </si>
  <si>
    <t>1201-1206-1247-1248-1249-1250-1253-1254-1256-1255-1202</t>
  </si>
  <si>
    <t>ΜΟΥΓΚΡΗ</t>
  </si>
  <si>
    <t>Χ452252</t>
  </si>
  <si>
    <t>1256-1253-1249-1248-1267-1206-1254-1255-1250-1247-1218-1219-1220-1222-1223-1221-1217-1203-1204-1201-1202-1205-1252</t>
  </si>
  <si>
    <t>ΠΡΟΣΜΙΤΗΣ</t>
  </si>
  <si>
    <t>ΑΒ838375</t>
  </si>
  <si>
    <t>1254-1256-1253-1249-1247-1248-1206-1250</t>
  </si>
  <si>
    <t>ΑΒ147490</t>
  </si>
  <si>
    <t>1248-1267-1253-1256</t>
  </si>
  <si>
    <t>ΣΤΑΘΟΥΛΟΠΟΥΛΟΣ</t>
  </si>
  <si>
    <t>Π198096</t>
  </si>
  <si>
    <t>ΑΣΜΑΝΙΔΗΣ</t>
  </si>
  <si>
    <t>Φ314059</t>
  </si>
  <si>
    <t>692,4</t>
  </si>
  <si>
    <t>1267-1248-1253-1256</t>
  </si>
  <si>
    <t>ΚΟΝΤΟΥΡΗΣ</t>
  </si>
  <si>
    <t>ΠΑΝΑΓΙΩΤΗΣ-ΒΑΣΙΛΕΙΟΣ</t>
  </si>
  <si>
    <t>Χ928522</t>
  </si>
  <si>
    <t>1201-1202-1205-1247-1270-1267-1249-1250-1253-1255-1256</t>
  </si>
  <si>
    <t>ΒΑΡΤΖΩΚΑΣ</t>
  </si>
  <si>
    <t>ΑΕ820489</t>
  </si>
  <si>
    <t>ΚΕΡΑΜΙΔΑΣ</t>
  </si>
  <si>
    <t>ΒΑΣΙΛΕΙΟΣ ΠΕΤΡΟΣ</t>
  </si>
  <si>
    <t>ΑΗ276577</t>
  </si>
  <si>
    <t>691,1</t>
  </si>
  <si>
    <t>1223-1201-1252-1219-1249-1267-1248-1254-1206-1247-1256</t>
  </si>
  <si>
    <t>ΑΚΥΛΑΣ</t>
  </si>
  <si>
    <t>Π831164</t>
  </si>
  <si>
    <t>ΜΑΛΑΧΙΑ</t>
  </si>
  <si>
    <t>ΑΙ788926</t>
  </si>
  <si>
    <t>689,9</t>
  </si>
  <si>
    <t>Φ469890</t>
  </si>
  <si>
    <t>1249-1206</t>
  </si>
  <si>
    <t>ΑΒ788207</t>
  </si>
  <si>
    <t>689,1</t>
  </si>
  <si>
    <t>ΧΡΙΣΤΟΔΟΥΛΟΠΟΥΛΟΣ</t>
  </si>
  <si>
    <t>ΠΑΝΑΓΗΣ</t>
  </si>
  <si>
    <t>ΛΥΣΑΝΔΡΟΣ</t>
  </si>
  <si>
    <t>ΑΒ076049</t>
  </si>
  <si>
    <t>688,9</t>
  </si>
  <si>
    <t>1217-1250-1218-1219-1220-1222-1247-1248-1249-1252-1253-1254-1256-1221-1223-1251-1255</t>
  </si>
  <si>
    <t>ΣΤΑΜΟΥ</t>
  </si>
  <si>
    <t>ΑΑ476636</t>
  </si>
  <si>
    <t>1222-1219-1206-1253-1254-1249-1247-1250-1252</t>
  </si>
  <si>
    <t>ΑΙ234198</t>
  </si>
  <si>
    <t>1250-1217-1247-1254-1206-1249-1253-1256-1255-1248-1251-1203-1267-1201-1202-1204-1205-1218-1219-1221-1222-1252</t>
  </si>
  <si>
    <t>ΛΑΜΠΑΣ</t>
  </si>
  <si>
    <t>ΑΒ426241</t>
  </si>
  <si>
    <t>1201-1252</t>
  </si>
  <si>
    <t>ΑΑ315530</t>
  </si>
  <si>
    <t>687,8</t>
  </si>
  <si>
    <t>ΜΠΡΟΥΛΙΑ</t>
  </si>
  <si>
    <t>Τ267389</t>
  </si>
  <si>
    <t>686,7</t>
  </si>
  <si>
    <t>1250-1247-1248-1249-1201-1253-1254-1255-1202-1256</t>
  </si>
  <si>
    <t>ΠΡΑΤΙΚΑΚΗΣ</t>
  </si>
  <si>
    <t>ΝΙΚΑΝΔΡΟΣ</t>
  </si>
  <si>
    <t>ΑΝ431921</t>
  </si>
  <si>
    <t>1202-1255-1253-1248-1206-1247-1267</t>
  </si>
  <si>
    <t>ΒΕΤΟΥΛΑΚΗΣ</t>
  </si>
  <si>
    <t>ΑΑ369391</t>
  </si>
  <si>
    <t>685,6</t>
  </si>
  <si>
    <t>1202-1205-1255-1267-1206-1248-1247-1249-1250-1253-1254-1256-1201</t>
  </si>
  <si>
    <t>ΣΤΟΓΙΑΝΝΗ</t>
  </si>
  <si>
    <t>ΑΕ813719</t>
  </si>
  <si>
    <t>600,6</t>
  </si>
  <si>
    <t>1249-1253-1256-1248-1206-1247-1250-1255-1254-1267</t>
  </si>
  <si>
    <t>ΜΑΡΗ</t>
  </si>
  <si>
    <t>Χ959832</t>
  </si>
  <si>
    <t>685,1</t>
  </si>
  <si>
    <t>1248-1250-1255-1249-1201-1254-1253-1252-1251-1256-1247-1218-1219-1220-1221-1222-1223-1202-1204-1205-1206</t>
  </si>
  <si>
    <t>ΚΑΡΑΓΙΑΝΝΑΚΗΣ</t>
  </si>
  <si>
    <t>ΑΕ234338</t>
  </si>
  <si>
    <t>1247-1248-1249-1250-1252-1254-1255</t>
  </si>
  <si>
    <t>ΜΗΝΤΕΛΗΣ</t>
  </si>
  <si>
    <t>ΑΗ293847</t>
  </si>
  <si>
    <t>1249-1253-1248-1267-1206-1254-1250-1247-1255-1219-1201-1202-1205-1217</t>
  </si>
  <si>
    <t>ΒΑΡΣΑΜΗΣ</t>
  </si>
  <si>
    <t>ΑΓΗΣΙΛΑΟΣ</t>
  </si>
  <si>
    <t>ΑΕ 286248</t>
  </si>
  <si>
    <t>1203-1202-1205-1206-1217-1218-1219-1220-1221-1222-1223-1247-1249-1248-1250-1252-1253-1254-1255-1256</t>
  </si>
  <si>
    <t>ΠΑΠΑΤΣΟΥΝΗ</t>
  </si>
  <si>
    <t>ΑΙ323637</t>
  </si>
  <si>
    <t>682,3</t>
  </si>
  <si>
    <t>1267-1248-1249-1201-1206-1247-1253-1250-1254-1255-1205-1202</t>
  </si>
  <si>
    <t>ΚΥΤΕΑΣ</t>
  </si>
  <si>
    <t>ΑΒ381119</t>
  </si>
  <si>
    <t>1250-1254-1247-1201-1248-1202-1205-1255-1267-1249-1253-1206-1256</t>
  </si>
  <si>
    <t>ΠΑΝΑΓΙΩΤΕΛΙΔΗΣ</t>
  </si>
  <si>
    <t>ΑΙ348185</t>
  </si>
  <si>
    <t>1256-1267-1248-1253-1249-1206-1255-1250-1247-1254</t>
  </si>
  <si>
    <t>ΧΑΛΑΡΗ</t>
  </si>
  <si>
    <t>ΑΙ568638</t>
  </si>
  <si>
    <t>ΚΟΣΜΙΔΟΥ</t>
  </si>
  <si>
    <t>ΑΙ327446</t>
  </si>
  <si>
    <t>1249-1256-1253-1248-1267-1206-1254-1250-1247-1255</t>
  </si>
  <si>
    <t>ΝΤΙΝΑΣ</t>
  </si>
  <si>
    <t>ΑΖ787973</t>
  </si>
  <si>
    <t>1249-1248-1253-1256-1206-1250-1254-1255</t>
  </si>
  <si>
    <t>ΤΖΑΝΑΒΑΡΑΣ</t>
  </si>
  <si>
    <t>ΑΑ419216</t>
  </si>
  <si>
    <t>679,2</t>
  </si>
  <si>
    <t>ΔΑΡΓΙΝΙΔΗΣ</t>
  </si>
  <si>
    <t>ΑΝ358123</t>
  </si>
  <si>
    <t>1256-1253-1267-1249-1248-1206-1201-1254-1247-1205-1255-1250-1202</t>
  </si>
  <si>
    <t>ΜΠΕΤΑ</t>
  </si>
  <si>
    <t>ΣΟΝΙΛΑ</t>
  </si>
  <si>
    <t>ΑΝΔΡΕΑ</t>
  </si>
  <si>
    <t>ΑΝ271102</t>
  </si>
  <si>
    <t>ΙΩΑΚΕΙΜ</t>
  </si>
  <si>
    <t>ΑΒ115715</t>
  </si>
  <si>
    <t>1256-1253-1248-1206-1249-1254-1247-1250-1255</t>
  </si>
  <si>
    <t>ΑΝ483112</t>
  </si>
  <si>
    <t>676,8</t>
  </si>
  <si>
    <t>1254-1247-1250-1252-1255-1205</t>
  </si>
  <si>
    <t>ΝΤΖΙΑΒΙΔΑΣ</t>
  </si>
  <si>
    <t>ΑΒ490414</t>
  </si>
  <si>
    <t>675,7</t>
  </si>
  <si>
    <t>ΔΑΝΤΣΗ</t>
  </si>
  <si>
    <t>Χ252088</t>
  </si>
  <si>
    <t>1267-1248-1219-1253</t>
  </si>
  <si>
    <t>ΜΠΛΕΤΣΑΣ</t>
  </si>
  <si>
    <t>ΑΒ089892</t>
  </si>
  <si>
    <t>1249-1253-1256-1248-1267-1250-1254-1247-1206</t>
  </si>
  <si>
    <t>Χ806403</t>
  </si>
  <si>
    <t>ΚΟΥΤΣΟΥΡΑΚΗ</t>
  </si>
  <si>
    <t>ΑΑ951394</t>
  </si>
  <si>
    <t>1202-1203-1206-1217-1218-1219-1220-1221-1222-1223-1247-1248-1249-1250-1251-1252-1253-1254-1255-1256-1205</t>
  </si>
  <si>
    <t>ΤΣΩΡΟΥ</t>
  </si>
  <si>
    <t>Χ891824</t>
  </si>
  <si>
    <t>ΓΕΩΡΓΑΚΟΠΟΥΛΟΥ</t>
  </si>
  <si>
    <t>Χ337005</t>
  </si>
  <si>
    <t>1250-1247-1248-1249-1255-1254-1253-1206</t>
  </si>
  <si>
    <t>ΠΑΠΑΝΑΣΤΑΣΙΟΥ</t>
  </si>
  <si>
    <t>ΑΑ975285</t>
  </si>
  <si>
    <t>1254-1247-1250-1248-1267-1253-1249-1206</t>
  </si>
  <si>
    <t>ΚΑΡΡΑΣ</t>
  </si>
  <si>
    <t>ΑΑ391797</t>
  </si>
  <si>
    <t>1254-1247-1249-1248-1206-1253-1255-1250-1256</t>
  </si>
  <si>
    <t>ΓΙΟΚΟΤΟΣ</t>
  </si>
  <si>
    <t>ΑΖ693764</t>
  </si>
  <si>
    <t>669,1</t>
  </si>
  <si>
    <t>1248-1206-1217-1218-1219-1221-1222-1223-1247-1249-1250-1251-1252-1253-1254-1255-1256</t>
  </si>
  <si>
    <t>ΔΗΜΉΤΡΙΟΣ</t>
  </si>
  <si>
    <t>ΑΕ727219</t>
  </si>
  <si>
    <t>1267-1248-1255-1247-1206-1249-1250-1254-1256-1253</t>
  </si>
  <si>
    <t>ΓΕΩΡΓΑΚΟΠΟΥΛΟΣ</t>
  </si>
  <si>
    <t>Χ338356</t>
  </si>
  <si>
    <t>ΙΠΠΕΚΗΣ</t>
  </si>
  <si>
    <t>ΓΙΑΝΝΗΣ</t>
  </si>
  <si>
    <t>Χ991508</t>
  </si>
  <si>
    <t>666,9</t>
  </si>
  <si>
    <t>1217-1203-1204-1205-1206-1218-1219-1220-1221-1222-1223-1253-1254-1202-1201-1247-1248-1249-1250-1251-1252-1255-1256-1267</t>
  </si>
  <si>
    <t>ΜΠΙΤΖΙΝΗΣ</t>
  </si>
  <si>
    <t>ΑΒ788086</t>
  </si>
  <si>
    <t>1250-1202-1204-1205-1248-1249-1201-1206-1247-1253-1254</t>
  </si>
  <si>
    <t>ΤΣΙΛΟΠΟΥΛΟΣ</t>
  </si>
  <si>
    <t>ΑΙ362068</t>
  </si>
  <si>
    <t>1248-1267-1206-1256-1201-1202-1205-1255-1250-1249-1247</t>
  </si>
  <si>
    <t>ΑΕ230882</t>
  </si>
  <si>
    <t>1250-1247-1248-1267-1254-1206-1253-1249-1256-1255</t>
  </si>
  <si>
    <t>ΑΡΜΑΤΑ</t>
  </si>
  <si>
    <t>ΑΖ218030</t>
  </si>
  <si>
    <t>ΜΑΝΤΕΣΗΣ</t>
  </si>
  <si>
    <t>ΜΑΡΙΟΣ ΙΩΑΝΝΗΣ</t>
  </si>
  <si>
    <t>ΑΕ716124</t>
  </si>
  <si>
    <t>663,6</t>
  </si>
  <si>
    <t>1217-1250-1218</t>
  </si>
  <si>
    <t>ΑΒ441681</t>
  </si>
  <si>
    <t>1256-1249-1248-1247-1250-1253-1254-1255-1219-1206</t>
  </si>
  <si>
    <t>ΧΡΥΣΑΦΙΔΗΣ</t>
  </si>
  <si>
    <t>ΑΙ392351</t>
  </si>
  <si>
    <t>1256-1253-1249-1248-1206-1247-1254-1250-1255</t>
  </si>
  <si>
    <t>ΤΣΕΚΟΥΡΑΣ</t>
  </si>
  <si>
    <t>ΑΚ334852</t>
  </si>
  <si>
    <t>631,4</t>
  </si>
  <si>
    <t>661,4</t>
  </si>
  <si>
    <t>1201-1249-1267-1206-1247-1250-1253-1254-1248</t>
  </si>
  <si>
    <t>ΚΑΡΥΠΙΔΟΥ</t>
  </si>
  <si>
    <t>ΑΗ807907</t>
  </si>
  <si>
    <t>660,5</t>
  </si>
  <si>
    <t>1256-1248-1206-1253-1249-1247-1250-1254-1255</t>
  </si>
  <si>
    <t>ΜΠΕΚΑΤΩΡΟΣ</t>
  </si>
  <si>
    <t>ΑΕ730503</t>
  </si>
  <si>
    <t>660,3</t>
  </si>
  <si>
    <t>1250-1247-1254-1201-1248-1253-1206-1249-1256-1202-1255</t>
  </si>
  <si>
    <t>ΚΑΙΜΑΚΑΜΗ</t>
  </si>
  <si>
    <t>ΑΗ821943</t>
  </si>
  <si>
    <t>ΜΠΑΛΛΗΣ</t>
  </si>
  <si>
    <t>ΘΕΟΧΑΡΗΣ</t>
  </si>
  <si>
    <t>ΑΕ823923</t>
  </si>
  <si>
    <t>ΒΑΙΡΑΜΙΔΟΥ</t>
  </si>
  <si>
    <t>ΡΟΔΗ</t>
  </si>
  <si>
    <t>Χ449132</t>
  </si>
  <si>
    <t>1256-1253-1219-1267-1220-1248-1206-1254</t>
  </si>
  <si>
    <t>ΚΑΤΑΡΑ</t>
  </si>
  <si>
    <t>ΑΚ091687</t>
  </si>
  <si>
    <t>ΜΠΑΛΑΝΤΑΝΗΣ</t>
  </si>
  <si>
    <t>ΑΗ243432</t>
  </si>
  <si>
    <t>1217-1218-1219-1220-1221-1222-1223-1247-1248-1249-1250-1251-1252-1253-1254-1201-1202-1204</t>
  </si>
  <si>
    <t>ΓΙΑΜΑΡΕΛΟΣ</t>
  </si>
  <si>
    <t>Χ830035</t>
  </si>
  <si>
    <t>ΑΖ271385</t>
  </si>
  <si>
    <t>1201-1252-1203-1219-1248-1267-1254-1220-1222</t>
  </si>
  <si>
    <t>ΑΑ411731</t>
  </si>
  <si>
    <t>1249-1253-1256-1248-1267-1201-1206-1254-1247-1250-1205-1255-1202</t>
  </si>
  <si>
    <t>ΑΕ994729</t>
  </si>
  <si>
    <t>1247-1254-1201-1248-1267-1255-1202-1249-1250-1253-1206</t>
  </si>
  <si>
    <t>ΚΑΤΣΟΥΔΑΣ</t>
  </si>
  <si>
    <t>ΑΖ221715</t>
  </si>
  <si>
    <t>1250-1247-1253-1249-1201-1254-1206-1205-1255-1202-1248</t>
  </si>
  <si>
    <t>ΒΑΣΙΛΗ</t>
  </si>
  <si>
    <t>ΑΡΤΑ</t>
  </si>
  <si>
    <t>ΑΚ646679</t>
  </si>
  <si>
    <t>ΠΙΑΓΚΑ</t>
  </si>
  <si>
    <t>ΑΒ113337</t>
  </si>
  <si>
    <t>1267-1249-1253-1256-1248-1206-1247-1250-1254-1255</t>
  </si>
  <si>
    <t>ΦΟΥΣΚΑΝΤΕΡΗΣ</t>
  </si>
  <si>
    <t>ΑΙ770672</t>
  </si>
  <si>
    <t>1250-1247-1254-1255-1248-1249-1253</t>
  </si>
  <si>
    <t>Χ777207</t>
  </si>
  <si>
    <t>1248-1267-1255-1250-1206-1247-1249-1253-1254-1256</t>
  </si>
  <si>
    <t>ΑΒ092666</t>
  </si>
  <si>
    <t>1253-1249-1248-1267-1256-1254-1250-1206-1247-1255</t>
  </si>
  <si>
    <t>ΣΓΟΥΡΟΜΑΛΛΗ</t>
  </si>
  <si>
    <t>ΜΑΡΙΑ-ΙΩΑΝΝΑ</t>
  </si>
  <si>
    <t>Φ346493</t>
  </si>
  <si>
    <t>647,1</t>
  </si>
  <si>
    <t>1255-1205-1202-1250-1247-1206-1253-1254-1249-1201-1248</t>
  </si>
  <si>
    <t>ΣΙΩΖΟΣ</t>
  </si>
  <si>
    <t>ΑΖ246452</t>
  </si>
  <si>
    <t>1201-1206-1256-1267-1202-1205-1249-1250-1253-1254-1255-1247-1248</t>
  </si>
  <si>
    <t>ΠΛΑΤΑΝΙΆ</t>
  </si>
  <si>
    <t>ΑΝΑΣΤΑΣΊΑ</t>
  </si>
  <si>
    <t>ΑΠΌΣΤΟΛΟΣ</t>
  </si>
  <si>
    <t>ΑΚ334799</t>
  </si>
  <si>
    <t>1250-1247-1254-1253-1249-1248-1267-1256-1206-1255</t>
  </si>
  <si>
    <t>Σιαπλαούρας</t>
  </si>
  <si>
    <t>Κωνσταντίνος</t>
  </si>
  <si>
    <t>ΑΙ816212</t>
  </si>
  <si>
    <t>644,9</t>
  </si>
  <si>
    <t>1201-1247-1250-1248-1254-1202-1205-1255-1253-1206-1249</t>
  </si>
  <si>
    <t>ΜΑΤΘΑΙΑΚΗΣ</t>
  </si>
  <si>
    <t>ΜΥΡΩΝ</t>
  </si>
  <si>
    <t>ΑΚ475190</t>
  </si>
  <si>
    <t>1202-1205-1255-1248-1267-1250-1247-1201-1254-1253-1249-1206-1256</t>
  </si>
  <si>
    <t>Χ336967</t>
  </si>
  <si>
    <t>1247-1250-1248-1254-1249-1206-1253-1255</t>
  </si>
  <si>
    <t>ΑΕ380155</t>
  </si>
  <si>
    <t>1248-1253-1206-1249</t>
  </si>
  <si>
    <t>Χ409200</t>
  </si>
  <si>
    <t>1203-1248-1219-1267-1222-1220-1206-1201-1252</t>
  </si>
  <si>
    <t>ΜΗΝΤΣΙΟΥ</t>
  </si>
  <si>
    <t>ΑΚ860001</t>
  </si>
  <si>
    <t>1206-1201-1247-1256-1202</t>
  </si>
  <si>
    <t>Χ286620</t>
  </si>
  <si>
    <t>1247-1248-1249-1250-1206-1253-1254-1255</t>
  </si>
  <si>
    <t>ΚΙΟΥΡΤΣΗΣ</t>
  </si>
  <si>
    <t>ΑΒ156558</t>
  </si>
  <si>
    <t>1248-1206-1253-1249</t>
  </si>
  <si>
    <t>Τ242687</t>
  </si>
  <si>
    <t>1250-1249-1253-1254-1206-1247-1248</t>
  </si>
  <si>
    <t>Χ842685</t>
  </si>
  <si>
    <t>1247-1248-1249-1250-1253-1255-1217-1219-1201-1202-1206-1205</t>
  </si>
  <si>
    <t>ΨΟΥΡΟΥΚΗΣ</t>
  </si>
  <si>
    <t>ΑΙ540729</t>
  </si>
  <si>
    <t>1203-1204-1205-1206-1217-1218-1219-1220-1221-1222-1223-1247-1248-1249-1250-1251-1252-1253-1254-1255-1256</t>
  </si>
  <si>
    <t xml:space="preserve">ΡOYSOYLH </t>
  </si>
  <si>
    <t xml:space="preserve">MARILENA  </t>
  </si>
  <si>
    <t xml:space="preserve">ΝIKOLAOS </t>
  </si>
  <si>
    <t>Χ330348</t>
  </si>
  <si>
    <t>ΚΟΥΤΣΩΝΑΣ</t>
  </si>
  <si>
    <t>ΑΗ286131</t>
  </si>
  <si>
    <t>1254-1205-1206-1249-1248-1247-1250-1253-1255-1256-1267</t>
  </si>
  <si>
    <t>ΓΑΚΗΣ</t>
  </si>
  <si>
    <t>ΑΗ846463</t>
  </si>
  <si>
    <t>603,9</t>
  </si>
  <si>
    <t>1267-1248-1253-1249-1254-1255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</si>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</sst>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850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6200</v>
      </c>
      <c r="C8" t="s">
        <v>13</v>
      </c>
      <c r="D8" t="s">
        <v>14</v>
      </c>
      <c r="E8" t="s">
        <v>15</v>
      </c>
      <c r="F8" t="s">
        <v>16</v>
      </c>
      <c r="G8" t="str">
        <f>"201406007707"</f>
        <v>201406007707</v>
      </c>
      <c r="H8" t="s">
        <v>17</v>
      </c>
      <c r="I8">
        <v>150</v>
      </c>
      <c r="J8">
        <v>0</v>
      </c>
      <c r="K8">
        <v>0</v>
      </c>
      <c r="L8">
        <v>260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1</v>
      </c>
      <c r="AA8">
        <v>0</v>
      </c>
      <c r="AB8">
        <v>24</v>
      </c>
      <c r="AC8">
        <v>408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3121</v>
      </c>
      <c r="C10" t="s">
        <v>20</v>
      </c>
      <c r="D10" t="s">
        <v>21</v>
      </c>
      <c r="E10" t="s">
        <v>22</v>
      </c>
      <c r="F10">
        <v>81697</v>
      </c>
      <c r="G10" t="str">
        <f>"201405001278"</f>
        <v>201405001278</v>
      </c>
      <c r="H10" t="s">
        <v>23</v>
      </c>
      <c r="I10">
        <v>150</v>
      </c>
      <c r="J10">
        <v>0</v>
      </c>
      <c r="K10">
        <v>0</v>
      </c>
      <c r="L10">
        <v>260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1</v>
      </c>
      <c r="AA10">
        <v>0</v>
      </c>
      <c r="AB10">
        <v>0</v>
      </c>
      <c r="AC10">
        <v>0</v>
      </c>
      <c r="AD10" t="s">
        <v>24</v>
      </c>
    </row>
    <row r="11" spans="1:30" x14ac:dyDescent="0.25">
      <c r="H11" t="s">
        <v>25</v>
      </c>
    </row>
    <row r="12" spans="1:30" x14ac:dyDescent="0.25">
      <c r="A12">
        <v>3</v>
      </c>
      <c r="B12">
        <v>2429</v>
      </c>
      <c r="C12" t="s">
        <v>26</v>
      </c>
      <c r="D12" t="s">
        <v>27</v>
      </c>
      <c r="E12" t="s">
        <v>28</v>
      </c>
      <c r="F12" t="s">
        <v>29</v>
      </c>
      <c r="G12" t="str">
        <f>"200806000199"</f>
        <v>200806000199</v>
      </c>
      <c r="H12">
        <v>913</v>
      </c>
      <c r="I12">
        <v>0</v>
      </c>
      <c r="J12">
        <v>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>
        <v>2011</v>
      </c>
    </row>
    <row r="13" spans="1:30" x14ac:dyDescent="0.25">
      <c r="H13" t="s">
        <v>30</v>
      </c>
    </row>
    <row r="14" spans="1:30" x14ac:dyDescent="0.25">
      <c r="A14">
        <v>4</v>
      </c>
      <c r="B14">
        <v>5698</v>
      </c>
      <c r="C14" t="s">
        <v>31</v>
      </c>
      <c r="D14" t="s">
        <v>32</v>
      </c>
      <c r="E14" t="s">
        <v>33</v>
      </c>
      <c r="F14" t="s">
        <v>34</v>
      </c>
      <c r="G14" t="str">
        <f>"201406017764"</f>
        <v>201406017764</v>
      </c>
      <c r="H14">
        <v>847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30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>
        <v>1975</v>
      </c>
    </row>
    <row r="15" spans="1:30" x14ac:dyDescent="0.25">
      <c r="H15" t="s">
        <v>35</v>
      </c>
    </row>
    <row r="16" spans="1:30" x14ac:dyDescent="0.25">
      <c r="A16">
        <v>5</v>
      </c>
      <c r="B16">
        <v>1845</v>
      </c>
      <c r="C16" t="s">
        <v>20</v>
      </c>
      <c r="D16" t="s">
        <v>36</v>
      </c>
      <c r="E16" t="s">
        <v>22</v>
      </c>
      <c r="F16">
        <v>83070</v>
      </c>
      <c r="G16" t="str">
        <f>"201412005171"</f>
        <v>201412005171</v>
      </c>
      <c r="H16">
        <v>957</v>
      </c>
      <c r="I16">
        <v>150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>
        <v>1965</v>
      </c>
    </row>
    <row r="17" spans="1:30" x14ac:dyDescent="0.25">
      <c r="H17" t="s">
        <v>37</v>
      </c>
    </row>
    <row r="18" spans="1:30" x14ac:dyDescent="0.25">
      <c r="A18">
        <v>6</v>
      </c>
      <c r="B18">
        <v>907</v>
      </c>
      <c r="C18" t="s">
        <v>38</v>
      </c>
      <c r="D18" t="s">
        <v>39</v>
      </c>
      <c r="E18" t="s">
        <v>40</v>
      </c>
      <c r="F18" t="s">
        <v>41</v>
      </c>
      <c r="G18" t="str">
        <f>"200712003220"</f>
        <v>200712003220</v>
      </c>
      <c r="H18" t="s">
        <v>42</v>
      </c>
      <c r="I18">
        <v>150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 t="s">
        <v>43</v>
      </c>
    </row>
    <row r="19" spans="1:30" x14ac:dyDescent="0.25">
      <c r="H19" t="s">
        <v>44</v>
      </c>
    </row>
    <row r="20" spans="1:30" x14ac:dyDescent="0.25">
      <c r="A20">
        <v>7</v>
      </c>
      <c r="B20">
        <v>47</v>
      </c>
      <c r="C20" t="s">
        <v>45</v>
      </c>
      <c r="D20" t="s">
        <v>46</v>
      </c>
      <c r="E20" t="s">
        <v>47</v>
      </c>
      <c r="F20" t="s">
        <v>48</v>
      </c>
      <c r="G20" t="str">
        <f>"200802001649"</f>
        <v>200802001649</v>
      </c>
      <c r="H20">
        <v>891</v>
      </c>
      <c r="I20">
        <v>150</v>
      </c>
      <c r="J20">
        <v>0</v>
      </c>
      <c r="K20">
        <v>0</v>
      </c>
      <c r="L20">
        <v>0</v>
      </c>
      <c r="M20">
        <v>0</v>
      </c>
      <c r="N20">
        <v>30</v>
      </c>
      <c r="O20">
        <v>0</v>
      </c>
      <c r="P20">
        <v>30</v>
      </c>
      <c r="Q20">
        <v>0</v>
      </c>
      <c r="R20">
        <v>0</v>
      </c>
      <c r="S20">
        <v>0</v>
      </c>
      <c r="T20">
        <v>0</v>
      </c>
      <c r="U20">
        <v>0</v>
      </c>
      <c r="V20">
        <v>60</v>
      </c>
      <c r="W20">
        <v>420</v>
      </c>
      <c r="X20">
        <v>0</v>
      </c>
      <c r="Z20">
        <v>0</v>
      </c>
      <c r="AA20">
        <v>0</v>
      </c>
      <c r="AB20">
        <v>24</v>
      </c>
      <c r="AC20">
        <v>408</v>
      </c>
      <c r="AD20">
        <v>1929</v>
      </c>
    </row>
    <row r="21" spans="1:30" x14ac:dyDescent="0.25">
      <c r="H21" t="s">
        <v>49</v>
      </c>
    </row>
    <row r="22" spans="1:30" x14ac:dyDescent="0.25">
      <c r="A22">
        <v>8</v>
      </c>
      <c r="B22">
        <v>5589</v>
      </c>
      <c r="C22" t="s">
        <v>50</v>
      </c>
      <c r="D22" t="s">
        <v>51</v>
      </c>
      <c r="E22" t="s">
        <v>15</v>
      </c>
      <c r="F22" t="s">
        <v>52</v>
      </c>
      <c r="G22" t="str">
        <f>"201406008859"</f>
        <v>201406008859</v>
      </c>
      <c r="H22">
        <v>836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30</v>
      </c>
      <c r="Q22">
        <v>0</v>
      </c>
      <c r="R22">
        <v>50</v>
      </c>
      <c r="S22">
        <v>0</v>
      </c>
      <c r="T22">
        <v>0</v>
      </c>
      <c r="U22">
        <v>0</v>
      </c>
      <c r="V22">
        <v>46</v>
      </c>
      <c r="W22">
        <v>322</v>
      </c>
      <c r="X22">
        <v>0</v>
      </c>
      <c r="Z22">
        <v>0</v>
      </c>
      <c r="AA22">
        <v>0</v>
      </c>
      <c r="AB22">
        <v>24</v>
      </c>
      <c r="AC22">
        <v>408</v>
      </c>
      <c r="AD22">
        <v>1916</v>
      </c>
    </row>
    <row r="23" spans="1:30" x14ac:dyDescent="0.25">
      <c r="H23" t="s">
        <v>53</v>
      </c>
    </row>
    <row r="24" spans="1:30" x14ac:dyDescent="0.25">
      <c r="A24">
        <v>9</v>
      </c>
      <c r="B24">
        <v>3213</v>
      </c>
      <c r="C24" t="s">
        <v>54</v>
      </c>
      <c r="D24" t="s">
        <v>14</v>
      </c>
      <c r="E24" t="s">
        <v>47</v>
      </c>
      <c r="F24" t="s">
        <v>55</v>
      </c>
      <c r="G24" t="str">
        <f>"00302264"</f>
        <v>00302264</v>
      </c>
      <c r="H24" t="s">
        <v>56</v>
      </c>
      <c r="I24">
        <v>0</v>
      </c>
      <c r="J24">
        <v>0</v>
      </c>
      <c r="K24">
        <v>0</v>
      </c>
      <c r="L24">
        <v>0</v>
      </c>
      <c r="M24">
        <v>100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57</v>
      </c>
    </row>
    <row r="25" spans="1:30" x14ac:dyDescent="0.25">
      <c r="H25">
        <v>1247</v>
      </c>
    </row>
    <row r="26" spans="1:30" x14ac:dyDescent="0.25">
      <c r="A26">
        <v>10</v>
      </c>
      <c r="B26">
        <v>2738</v>
      </c>
      <c r="C26" t="s">
        <v>58</v>
      </c>
      <c r="D26" t="s">
        <v>59</v>
      </c>
      <c r="E26" t="s">
        <v>40</v>
      </c>
      <c r="F26" t="s">
        <v>60</v>
      </c>
      <c r="G26" t="str">
        <f>"00250935"</f>
        <v>00250935</v>
      </c>
      <c r="H26">
        <v>803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>
        <v>1901</v>
      </c>
    </row>
    <row r="27" spans="1:30" x14ac:dyDescent="0.25">
      <c r="H27" t="s">
        <v>61</v>
      </c>
    </row>
    <row r="28" spans="1:30" x14ac:dyDescent="0.25">
      <c r="A28">
        <v>11</v>
      </c>
      <c r="B28">
        <v>869</v>
      </c>
      <c r="C28" t="s">
        <v>62</v>
      </c>
      <c r="D28" t="s">
        <v>63</v>
      </c>
      <c r="E28" t="s">
        <v>47</v>
      </c>
      <c r="F28" t="s">
        <v>64</v>
      </c>
      <c r="G28" t="str">
        <f>"201405001345"</f>
        <v>201405001345</v>
      </c>
      <c r="H28" t="s">
        <v>65</v>
      </c>
      <c r="I28">
        <v>0</v>
      </c>
      <c r="J28">
        <v>0</v>
      </c>
      <c r="K28">
        <v>0</v>
      </c>
      <c r="L28">
        <v>260</v>
      </c>
      <c r="M28">
        <v>0</v>
      </c>
      <c r="N28">
        <v>70</v>
      </c>
      <c r="O28">
        <v>70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66</v>
      </c>
    </row>
    <row r="29" spans="1:30" x14ac:dyDescent="0.25">
      <c r="H29" t="s">
        <v>67</v>
      </c>
    </row>
    <row r="30" spans="1:30" x14ac:dyDescent="0.25">
      <c r="A30">
        <v>12</v>
      </c>
      <c r="B30">
        <v>2126</v>
      </c>
      <c r="C30" t="s">
        <v>68</v>
      </c>
      <c r="D30" t="s">
        <v>39</v>
      </c>
      <c r="E30" t="s">
        <v>69</v>
      </c>
      <c r="F30" t="s">
        <v>70</v>
      </c>
      <c r="G30" t="str">
        <f>"201001000193"</f>
        <v>201001000193</v>
      </c>
      <c r="H30" t="s">
        <v>71</v>
      </c>
      <c r="I30">
        <v>0</v>
      </c>
      <c r="J30">
        <v>0</v>
      </c>
      <c r="K30">
        <v>0</v>
      </c>
      <c r="L30">
        <v>200</v>
      </c>
      <c r="M30">
        <v>0</v>
      </c>
      <c r="N30">
        <v>70</v>
      </c>
      <c r="O30">
        <v>0</v>
      </c>
      <c r="P30">
        <v>30</v>
      </c>
      <c r="Q30">
        <v>0</v>
      </c>
      <c r="R30">
        <v>0</v>
      </c>
      <c r="S30">
        <v>0</v>
      </c>
      <c r="T30">
        <v>0</v>
      </c>
      <c r="U30">
        <v>0</v>
      </c>
      <c r="V30">
        <v>52</v>
      </c>
      <c r="W30">
        <v>364</v>
      </c>
      <c r="X30">
        <v>0</v>
      </c>
      <c r="Z30">
        <v>0</v>
      </c>
      <c r="AA30">
        <v>0</v>
      </c>
      <c r="AB30">
        <v>23</v>
      </c>
      <c r="AC30">
        <v>391</v>
      </c>
      <c r="AD30" t="s">
        <v>72</v>
      </c>
    </row>
    <row r="31" spans="1:30" x14ac:dyDescent="0.25">
      <c r="H31" t="s">
        <v>73</v>
      </c>
    </row>
    <row r="32" spans="1:30" x14ac:dyDescent="0.25">
      <c r="A32">
        <v>13</v>
      </c>
      <c r="B32">
        <v>3115</v>
      </c>
      <c r="C32" t="s">
        <v>74</v>
      </c>
      <c r="D32" t="s">
        <v>75</v>
      </c>
      <c r="E32" t="s">
        <v>69</v>
      </c>
      <c r="F32" t="s">
        <v>76</v>
      </c>
      <c r="G32" t="str">
        <f>"201406000284"</f>
        <v>201406000284</v>
      </c>
      <c r="H32">
        <v>792</v>
      </c>
      <c r="I32">
        <v>0</v>
      </c>
      <c r="J32">
        <v>0</v>
      </c>
      <c r="K32">
        <v>0</v>
      </c>
      <c r="L32">
        <v>200</v>
      </c>
      <c r="M32">
        <v>0</v>
      </c>
      <c r="N32">
        <v>30</v>
      </c>
      <c r="O32">
        <v>0</v>
      </c>
      <c r="P32">
        <v>30</v>
      </c>
      <c r="Q32">
        <v>0</v>
      </c>
      <c r="R32">
        <v>0</v>
      </c>
      <c r="S32">
        <v>0</v>
      </c>
      <c r="T32">
        <v>0</v>
      </c>
      <c r="U32">
        <v>0</v>
      </c>
      <c r="V32">
        <v>60</v>
      </c>
      <c r="W32">
        <v>420</v>
      </c>
      <c r="X32">
        <v>0</v>
      </c>
      <c r="Z32">
        <v>0</v>
      </c>
      <c r="AA32">
        <v>0</v>
      </c>
      <c r="AB32">
        <v>24</v>
      </c>
      <c r="AC32">
        <v>408</v>
      </c>
      <c r="AD32">
        <v>1880</v>
      </c>
    </row>
    <row r="33" spans="1:30" x14ac:dyDescent="0.25">
      <c r="H33" t="s">
        <v>77</v>
      </c>
    </row>
    <row r="34" spans="1:30" x14ac:dyDescent="0.25">
      <c r="A34">
        <v>14</v>
      </c>
      <c r="B34">
        <v>5370</v>
      </c>
      <c r="C34" t="s">
        <v>78</v>
      </c>
      <c r="D34" t="s">
        <v>79</v>
      </c>
      <c r="E34" t="s">
        <v>80</v>
      </c>
      <c r="F34" t="s">
        <v>81</v>
      </c>
      <c r="G34" t="str">
        <f>"201604001593"</f>
        <v>201604001593</v>
      </c>
      <c r="H34" t="s">
        <v>82</v>
      </c>
      <c r="I34">
        <v>150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30</v>
      </c>
      <c r="T34">
        <v>0</v>
      </c>
      <c r="U34">
        <v>0</v>
      </c>
      <c r="V34">
        <v>73</v>
      </c>
      <c r="W34">
        <v>511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83</v>
      </c>
    </row>
    <row r="35" spans="1:30" x14ac:dyDescent="0.25">
      <c r="H35" t="s">
        <v>84</v>
      </c>
    </row>
    <row r="36" spans="1:30" x14ac:dyDescent="0.25">
      <c r="A36">
        <v>15</v>
      </c>
      <c r="B36">
        <v>1546</v>
      </c>
      <c r="C36" t="s">
        <v>85</v>
      </c>
      <c r="D36" t="s">
        <v>86</v>
      </c>
      <c r="E36" t="s">
        <v>87</v>
      </c>
      <c r="F36" t="s">
        <v>88</v>
      </c>
      <c r="G36" t="str">
        <f>"201412006814"</f>
        <v>201412006814</v>
      </c>
      <c r="H36">
        <v>792</v>
      </c>
      <c r="I36">
        <v>0</v>
      </c>
      <c r="J36">
        <v>0</v>
      </c>
      <c r="K36">
        <v>0</v>
      </c>
      <c r="L36">
        <v>200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60</v>
      </c>
      <c r="W36">
        <v>420</v>
      </c>
      <c r="X36">
        <v>0</v>
      </c>
      <c r="Z36">
        <v>0</v>
      </c>
      <c r="AA36">
        <v>0</v>
      </c>
      <c r="AB36">
        <v>24</v>
      </c>
      <c r="AC36">
        <v>408</v>
      </c>
      <c r="AD36">
        <v>1850</v>
      </c>
    </row>
    <row r="37" spans="1:30" x14ac:dyDescent="0.25">
      <c r="H37" t="s">
        <v>89</v>
      </c>
    </row>
    <row r="38" spans="1:30" x14ac:dyDescent="0.25">
      <c r="A38">
        <v>16</v>
      </c>
      <c r="B38">
        <v>4711</v>
      </c>
      <c r="C38" t="s">
        <v>90</v>
      </c>
      <c r="D38" t="s">
        <v>91</v>
      </c>
      <c r="E38" t="s">
        <v>92</v>
      </c>
      <c r="F38" t="s">
        <v>93</v>
      </c>
      <c r="G38" t="str">
        <f>"201406017451"</f>
        <v>201406017451</v>
      </c>
      <c r="H38" t="s">
        <v>94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60</v>
      </c>
      <c r="W38">
        <v>420</v>
      </c>
      <c r="X38">
        <v>0</v>
      </c>
      <c r="Z38">
        <v>0</v>
      </c>
      <c r="AA38">
        <v>0</v>
      </c>
      <c r="AB38">
        <v>24</v>
      </c>
      <c r="AC38">
        <v>408</v>
      </c>
      <c r="AD38" t="s">
        <v>95</v>
      </c>
    </row>
    <row r="39" spans="1:30" x14ac:dyDescent="0.25">
      <c r="H39" t="s">
        <v>96</v>
      </c>
    </row>
    <row r="40" spans="1:30" x14ac:dyDescent="0.25">
      <c r="A40">
        <v>17</v>
      </c>
      <c r="B40">
        <v>4583</v>
      </c>
      <c r="C40" t="s">
        <v>97</v>
      </c>
      <c r="D40" t="s">
        <v>98</v>
      </c>
      <c r="E40" t="s">
        <v>99</v>
      </c>
      <c r="F40" t="s">
        <v>100</v>
      </c>
      <c r="G40" t="str">
        <f>"201406018228"</f>
        <v>201406018228</v>
      </c>
      <c r="H40">
        <v>759</v>
      </c>
      <c r="I40">
        <v>0</v>
      </c>
      <c r="J40">
        <v>0</v>
      </c>
      <c r="K40">
        <v>0</v>
      </c>
      <c r="L40">
        <v>200</v>
      </c>
      <c r="M40">
        <v>0</v>
      </c>
      <c r="N40">
        <v>30</v>
      </c>
      <c r="O40">
        <v>30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60</v>
      </c>
      <c r="W40">
        <v>420</v>
      </c>
      <c r="X40">
        <v>0</v>
      </c>
      <c r="Z40">
        <v>0</v>
      </c>
      <c r="AA40">
        <v>0</v>
      </c>
      <c r="AB40">
        <v>24</v>
      </c>
      <c r="AC40">
        <v>408</v>
      </c>
      <c r="AD40">
        <v>1847</v>
      </c>
    </row>
    <row r="41" spans="1:30" x14ac:dyDescent="0.25">
      <c r="H41" t="s">
        <v>101</v>
      </c>
    </row>
    <row r="42" spans="1:30" x14ac:dyDescent="0.25">
      <c r="A42">
        <v>18</v>
      </c>
      <c r="B42">
        <v>1134</v>
      </c>
      <c r="C42" t="s">
        <v>102</v>
      </c>
      <c r="D42" t="s">
        <v>103</v>
      </c>
      <c r="E42" t="s">
        <v>40</v>
      </c>
      <c r="F42" t="s">
        <v>104</v>
      </c>
      <c r="G42" t="str">
        <f>"200801002257"</f>
        <v>200801002257</v>
      </c>
      <c r="H42">
        <v>836</v>
      </c>
      <c r="I42">
        <v>150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>
        <v>1844</v>
      </c>
    </row>
    <row r="43" spans="1:30" x14ac:dyDescent="0.25">
      <c r="H43" t="s">
        <v>105</v>
      </c>
    </row>
    <row r="44" spans="1:30" x14ac:dyDescent="0.25">
      <c r="A44">
        <v>19</v>
      </c>
      <c r="B44">
        <v>4560</v>
      </c>
      <c r="C44" t="s">
        <v>106</v>
      </c>
      <c r="D44" t="s">
        <v>107</v>
      </c>
      <c r="E44" t="s">
        <v>108</v>
      </c>
      <c r="F44" t="s">
        <v>109</v>
      </c>
      <c r="G44" t="str">
        <f>"200802012171"</f>
        <v>200802012171</v>
      </c>
      <c r="H44" t="s">
        <v>110</v>
      </c>
      <c r="I44">
        <v>0</v>
      </c>
      <c r="J44">
        <v>0</v>
      </c>
      <c r="K44">
        <v>0</v>
      </c>
      <c r="L44">
        <v>200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60</v>
      </c>
      <c r="W44">
        <v>420</v>
      </c>
      <c r="X44">
        <v>0</v>
      </c>
      <c r="Z44">
        <v>2</v>
      </c>
      <c r="AA44">
        <v>0</v>
      </c>
      <c r="AB44">
        <v>24</v>
      </c>
      <c r="AC44">
        <v>408</v>
      </c>
      <c r="AD44" t="s">
        <v>111</v>
      </c>
    </row>
    <row r="45" spans="1:30" x14ac:dyDescent="0.25">
      <c r="H45" t="s">
        <v>112</v>
      </c>
    </row>
    <row r="46" spans="1:30" x14ac:dyDescent="0.25">
      <c r="A46">
        <v>20</v>
      </c>
      <c r="B46">
        <v>2607</v>
      </c>
      <c r="C46" t="s">
        <v>113</v>
      </c>
      <c r="D46" t="s">
        <v>114</v>
      </c>
      <c r="E46" t="s">
        <v>115</v>
      </c>
      <c r="F46" t="s">
        <v>116</v>
      </c>
      <c r="G46" t="str">
        <f>"00232039"</f>
        <v>00232039</v>
      </c>
      <c r="H46" t="s">
        <v>117</v>
      </c>
      <c r="I46">
        <v>150</v>
      </c>
      <c r="J46">
        <v>0</v>
      </c>
      <c r="K46">
        <v>0</v>
      </c>
      <c r="L46">
        <v>0</v>
      </c>
      <c r="M46">
        <v>100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60</v>
      </c>
      <c r="W46">
        <v>420</v>
      </c>
      <c r="X46">
        <v>0</v>
      </c>
      <c r="Z46">
        <v>0</v>
      </c>
      <c r="AA46">
        <v>0</v>
      </c>
      <c r="AB46">
        <v>24</v>
      </c>
      <c r="AC46">
        <v>408</v>
      </c>
      <c r="AD46" t="s">
        <v>118</v>
      </c>
    </row>
    <row r="47" spans="1:30" x14ac:dyDescent="0.25">
      <c r="H47" t="s">
        <v>119</v>
      </c>
    </row>
    <row r="48" spans="1:30" x14ac:dyDescent="0.25">
      <c r="A48">
        <v>21</v>
      </c>
      <c r="B48">
        <v>2979</v>
      </c>
      <c r="C48" t="s">
        <v>120</v>
      </c>
      <c r="D48" t="s">
        <v>121</v>
      </c>
      <c r="E48" t="s">
        <v>33</v>
      </c>
      <c r="F48" t="s">
        <v>122</v>
      </c>
      <c r="G48" t="str">
        <f>"00282259"</f>
        <v>00282259</v>
      </c>
      <c r="H48" t="s">
        <v>123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60</v>
      </c>
      <c r="W48">
        <v>420</v>
      </c>
      <c r="X48">
        <v>0</v>
      </c>
      <c r="Z48">
        <v>0</v>
      </c>
      <c r="AA48">
        <v>0</v>
      </c>
      <c r="AB48">
        <v>24</v>
      </c>
      <c r="AC48">
        <v>408</v>
      </c>
      <c r="AD48" t="s">
        <v>124</v>
      </c>
    </row>
    <row r="49" spans="1:30" x14ac:dyDescent="0.25">
      <c r="H49" t="s">
        <v>125</v>
      </c>
    </row>
    <row r="50" spans="1:30" x14ac:dyDescent="0.25">
      <c r="A50">
        <v>22</v>
      </c>
      <c r="B50">
        <v>343</v>
      </c>
      <c r="C50" t="s">
        <v>126</v>
      </c>
      <c r="D50" t="s">
        <v>127</v>
      </c>
      <c r="E50" t="s">
        <v>128</v>
      </c>
      <c r="F50" t="s">
        <v>129</v>
      </c>
      <c r="G50" t="str">
        <f>"00172843"</f>
        <v>00172843</v>
      </c>
      <c r="H50" t="s">
        <v>130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30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131</v>
      </c>
    </row>
    <row r="51" spans="1:30" x14ac:dyDescent="0.25">
      <c r="H51" t="s">
        <v>132</v>
      </c>
    </row>
    <row r="52" spans="1:30" x14ac:dyDescent="0.25">
      <c r="A52">
        <v>23</v>
      </c>
      <c r="B52">
        <v>4399</v>
      </c>
      <c r="C52" t="s">
        <v>133</v>
      </c>
      <c r="D52" t="s">
        <v>134</v>
      </c>
      <c r="E52" t="s">
        <v>33</v>
      </c>
      <c r="F52" t="s">
        <v>135</v>
      </c>
      <c r="G52" t="str">
        <f>"201511042455"</f>
        <v>201511042455</v>
      </c>
      <c r="H52" t="s">
        <v>136</v>
      </c>
      <c r="I52">
        <v>150</v>
      </c>
      <c r="J52">
        <v>0</v>
      </c>
      <c r="K52">
        <v>0</v>
      </c>
      <c r="L52">
        <v>200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137</v>
      </c>
    </row>
    <row r="53" spans="1:30" x14ac:dyDescent="0.25">
      <c r="H53" t="s">
        <v>138</v>
      </c>
    </row>
    <row r="54" spans="1:30" x14ac:dyDescent="0.25">
      <c r="A54">
        <v>24</v>
      </c>
      <c r="B54">
        <v>1148</v>
      </c>
      <c r="C54" t="s">
        <v>139</v>
      </c>
      <c r="D54" t="s">
        <v>140</v>
      </c>
      <c r="E54" t="s">
        <v>15</v>
      </c>
      <c r="F54" t="s">
        <v>141</v>
      </c>
      <c r="G54" t="str">
        <f>"00214468"</f>
        <v>00214468</v>
      </c>
      <c r="H54">
        <v>693</v>
      </c>
      <c r="I54">
        <v>150</v>
      </c>
      <c r="J54">
        <v>0</v>
      </c>
      <c r="K54">
        <v>0</v>
      </c>
      <c r="L54">
        <v>200</v>
      </c>
      <c r="M54">
        <v>0</v>
      </c>
      <c r="N54">
        <v>70</v>
      </c>
      <c r="O54">
        <v>0</v>
      </c>
      <c r="P54">
        <v>50</v>
      </c>
      <c r="Q54">
        <v>0</v>
      </c>
      <c r="R54">
        <v>0</v>
      </c>
      <c r="S54">
        <v>0</v>
      </c>
      <c r="T54">
        <v>70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>
        <v>1821</v>
      </c>
    </row>
    <row r="55" spans="1:30" x14ac:dyDescent="0.25">
      <c r="H55" t="s">
        <v>132</v>
      </c>
    </row>
    <row r="56" spans="1:30" x14ac:dyDescent="0.25">
      <c r="A56">
        <v>25</v>
      </c>
      <c r="B56">
        <v>4923</v>
      </c>
      <c r="C56" t="s">
        <v>142</v>
      </c>
      <c r="D56" t="s">
        <v>143</v>
      </c>
      <c r="E56" t="s">
        <v>144</v>
      </c>
      <c r="F56" t="s">
        <v>145</v>
      </c>
      <c r="G56" t="str">
        <f>"00197417"</f>
        <v>00197417</v>
      </c>
      <c r="H56" t="s">
        <v>146</v>
      </c>
      <c r="I56">
        <v>0</v>
      </c>
      <c r="J56">
        <v>0</v>
      </c>
      <c r="K56">
        <v>0</v>
      </c>
      <c r="L56">
        <v>200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60</v>
      </c>
      <c r="W56">
        <v>420</v>
      </c>
      <c r="X56">
        <v>0</v>
      </c>
      <c r="Z56">
        <v>0</v>
      </c>
      <c r="AA56">
        <v>0</v>
      </c>
      <c r="AB56">
        <v>24</v>
      </c>
      <c r="AC56">
        <v>408</v>
      </c>
      <c r="AD56" t="s">
        <v>147</v>
      </c>
    </row>
    <row r="57" spans="1:30" x14ac:dyDescent="0.25">
      <c r="H57" t="s">
        <v>148</v>
      </c>
    </row>
    <row r="58" spans="1:30" x14ac:dyDescent="0.25">
      <c r="A58">
        <v>26</v>
      </c>
      <c r="B58">
        <v>1367</v>
      </c>
      <c r="C58" t="s">
        <v>149</v>
      </c>
      <c r="D58" t="s">
        <v>150</v>
      </c>
      <c r="E58" t="s">
        <v>151</v>
      </c>
      <c r="F58" t="s">
        <v>152</v>
      </c>
      <c r="G58" t="str">
        <f>"00188497"</f>
        <v>00188497</v>
      </c>
      <c r="H58" t="s">
        <v>153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60</v>
      </c>
      <c r="W58">
        <v>420</v>
      </c>
      <c r="X58">
        <v>0</v>
      </c>
      <c r="Z58">
        <v>0</v>
      </c>
      <c r="AA58">
        <v>0</v>
      </c>
      <c r="AB58">
        <v>24</v>
      </c>
      <c r="AC58">
        <v>408</v>
      </c>
      <c r="AD58" t="s">
        <v>154</v>
      </c>
    </row>
    <row r="59" spans="1:30" x14ac:dyDescent="0.25">
      <c r="H59" t="s">
        <v>155</v>
      </c>
    </row>
    <row r="60" spans="1:30" x14ac:dyDescent="0.25">
      <c r="A60">
        <v>27</v>
      </c>
      <c r="B60">
        <v>3209</v>
      </c>
      <c r="C60" t="s">
        <v>156</v>
      </c>
      <c r="D60" t="s">
        <v>39</v>
      </c>
      <c r="E60" t="s">
        <v>107</v>
      </c>
      <c r="F60" t="s">
        <v>157</v>
      </c>
      <c r="G60" t="str">
        <f>"00219566"</f>
        <v>00219566</v>
      </c>
      <c r="H60" t="s">
        <v>158</v>
      </c>
      <c r="I60">
        <v>150</v>
      </c>
      <c r="J60">
        <v>0</v>
      </c>
      <c r="K60">
        <v>0</v>
      </c>
      <c r="L60">
        <v>0</v>
      </c>
      <c r="M60">
        <v>130</v>
      </c>
      <c r="N60">
        <v>70</v>
      </c>
      <c r="O60">
        <v>0</v>
      </c>
      <c r="P60">
        <v>30</v>
      </c>
      <c r="Q60">
        <v>0</v>
      </c>
      <c r="R60">
        <v>0</v>
      </c>
      <c r="S60">
        <v>0</v>
      </c>
      <c r="T60">
        <v>0</v>
      </c>
      <c r="U60">
        <v>0</v>
      </c>
      <c r="V60">
        <v>77</v>
      </c>
      <c r="W60">
        <v>539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159</v>
      </c>
    </row>
    <row r="61" spans="1:30" x14ac:dyDescent="0.25">
      <c r="H61" t="s">
        <v>160</v>
      </c>
    </row>
    <row r="62" spans="1:30" x14ac:dyDescent="0.25">
      <c r="A62">
        <v>28</v>
      </c>
      <c r="B62">
        <v>5942</v>
      </c>
      <c r="C62" t="s">
        <v>161</v>
      </c>
      <c r="D62" t="s">
        <v>107</v>
      </c>
      <c r="E62" t="s">
        <v>162</v>
      </c>
      <c r="F62" t="s">
        <v>163</v>
      </c>
      <c r="G62" t="str">
        <f>"200801007744"</f>
        <v>200801007744</v>
      </c>
      <c r="H62">
        <v>924</v>
      </c>
      <c r="I62">
        <v>0</v>
      </c>
      <c r="J62">
        <v>0</v>
      </c>
      <c r="K62">
        <v>0</v>
      </c>
      <c r="L62">
        <v>200</v>
      </c>
      <c r="M62">
        <v>30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>
        <v>1812</v>
      </c>
    </row>
    <row r="63" spans="1:30" x14ac:dyDescent="0.25">
      <c r="H63" t="s">
        <v>164</v>
      </c>
    </row>
    <row r="64" spans="1:30" x14ac:dyDescent="0.25">
      <c r="A64">
        <v>29</v>
      </c>
      <c r="B64">
        <v>1703</v>
      </c>
      <c r="C64" t="s">
        <v>165</v>
      </c>
      <c r="D64" t="s">
        <v>166</v>
      </c>
      <c r="E64" t="s">
        <v>107</v>
      </c>
      <c r="F64" t="s">
        <v>167</v>
      </c>
      <c r="G64" t="str">
        <f>"201409002540"</f>
        <v>201409002540</v>
      </c>
      <c r="H64" t="s">
        <v>168</v>
      </c>
      <c r="I64">
        <v>150</v>
      </c>
      <c r="J64">
        <v>0</v>
      </c>
      <c r="K64">
        <v>0</v>
      </c>
      <c r="L64">
        <v>200</v>
      </c>
      <c r="M64">
        <v>0</v>
      </c>
      <c r="N64">
        <v>30</v>
      </c>
      <c r="O64">
        <v>50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169</v>
      </c>
    </row>
    <row r="65" spans="1:30" x14ac:dyDescent="0.25">
      <c r="H65" t="s">
        <v>170</v>
      </c>
    </row>
    <row r="66" spans="1:30" x14ac:dyDescent="0.25">
      <c r="A66">
        <v>30</v>
      </c>
      <c r="B66">
        <v>5609</v>
      </c>
      <c r="C66" t="s">
        <v>171</v>
      </c>
      <c r="D66" t="s">
        <v>172</v>
      </c>
      <c r="E66" t="s">
        <v>40</v>
      </c>
      <c r="F66" t="s">
        <v>173</v>
      </c>
      <c r="G66" t="str">
        <f>"00129609"</f>
        <v>00129609</v>
      </c>
      <c r="H66">
        <v>880</v>
      </c>
      <c r="I66">
        <v>150</v>
      </c>
      <c r="J66">
        <v>0</v>
      </c>
      <c r="K66">
        <v>0</v>
      </c>
      <c r="L66">
        <v>0</v>
      </c>
      <c r="M66">
        <v>100</v>
      </c>
      <c r="N66">
        <v>30</v>
      </c>
      <c r="O66">
        <v>0</v>
      </c>
      <c r="P66">
        <v>0</v>
      </c>
      <c r="Q66">
        <v>50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>
        <v>1798</v>
      </c>
    </row>
    <row r="67" spans="1:30" x14ac:dyDescent="0.25">
      <c r="H67" t="s">
        <v>174</v>
      </c>
    </row>
    <row r="68" spans="1:30" x14ac:dyDescent="0.25">
      <c r="A68">
        <v>31</v>
      </c>
      <c r="B68">
        <v>131</v>
      </c>
      <c r="C68" t="s">
        <v>175</v>
      </c>
      <c r="D68" t="s">
        <v>176</v>
      </c>
      <c r="E68" t="s">
        <v>47</v>
      </c>
      <c r="F68" t="s">
        <v>177</v>
      </c>
      <c r="G68" t="str">
        <f>"00009277"</f>
        <v>00009277</v>
      </c>
      <c r="H68" t="s">
        <v>178</v>
      </c>
      <c r="I68">
        <v>150</v>
      </c>
      <c r="J68">
        <v>0</v>
      </c>
      <c r="K68">
        <v>0</v>
      </c>
      <c r="L68">
        <v>200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68</v>
      </c>
      <c r="W68">
        <v>476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179</v>
      </c>
    </row>
    <row r="69" spans="1:30" x14ac:dyDescent="0.25">
      <c r="H69" t="s">
        <v>180</v>
      </c>
    </row>
    <row r="70" spans="1:30" x14ac:dyDescent="0.25">
      <c r="A70">
        <v>32</v>
      </c>
      <c r="B70">
        <v>1509</v>
      </c>
      <c r="C70" t="s">
        <v>181</v>
      </c>
      <c r="D70" t="s">
        <v>182</v>
      </c>
      <c r="E70" t="s">
        <v>183</v>
      </c>
      <c r="F70" t="s">
        <v>184</v>
      </c>
      <c r="G70" t="str">
        <f>"201511032705"</f>
        <v>201511032705</v>
      </c>
      <c r="H70" t="s">
        <v>185</v>
      </c>
      <c r="I70">
        <v>150</v>
      </c>
      <c r="J70">
        <v>0</v>
      </c>
      <c r="K70">
        <v>0</v>
      </c>
      <c r="L70">
        <v>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64</v>
      </c>
      <c r="W70">
        <v>448</v>
      </c>
      <c r="X70">
        <v>0</v>
      </c>
      <c r="Z70">
        <v>0</v>
      </c>
      <c r="AA70">
        <v>0</v>
      </c>
      <c r="AB70">
        <v>16</v>
      </c>
      <c r="AC70">
        <v>272</v>
      </c>
      <c r="AD70" t="s">
        <v>186</v>
      </c>
    </row>
    <row r="71" spans="1:30" x14ac:dyDescent="0.25">
      <c r="H71" t="s">
        <v>187</v>
      </c>
    </row>
    <row r="72" spans="1:30" x14ac:dyDescent="0.25">
      <c r="A72">
        <v>33</v>
      </c>
      <c r="B72">
        <v>1223</v>
      </c>
      <c r="C72" t="s">
        <v>188</v>
      </c>
      <c r="D72" t="s">
        <v>189</v>
      </c>
      <c r="E72" t="s">
        <v>190</v>
      </c>
      <c r="F72" t="s">
        <v>191</v>
      </c>
      <c r="G72" t="str">
        <f>"201412001880"</f>
        <v>201412001880</v>
      </c>
      <c r="H72" t="s">
        <v>192</v>
      </c>
      <c r="I72">
        <v>150</v>
      </c>
      <c r="J72">
        <v>0</v>
      </c>
      <c r="K72">
        <v>0</v>
      </c>
      <c r="L72">
        <v>200</v>
      </c>
      <c r="M72">
        <v>0</v>
      </c>
      <c r="N72">
        <v>30</v>
      </c>
      <c r="O72">
        <v>30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193</v>
      </c>
    </row>
    <row r="73" spans="1:30" x14ac:dyDescent="0.25">
      <c r="H73" t="s">
        <v>194</v>
      </c>
    </row>
    <row r="74" spans="1:30" x14ac:dyDescent="0.25">
      <c r="A74">
        <v>34</v>
      </c>
      <c r="B74">
        <v>2210</v>
      </c>
      <c r="C74" t="s">
        <v>195</v>
      </c>
      <c r="D74" t="s">
        <v>196</v>
      </c>
      <c r="E74" t="s">
        <v>162</v>
      </c>
      <c r="F74" t="s">
        <v>197</v>
      </c>
      <c r="G74" t="str">
        <f>"201304004667"</f>
        <v>201304004667</v>
      </c>
      <c r="H74" t="s">
        <v>198</v>
      </c>
      <c r="I74">
        <v>150</v>
      </c>
      <c r="J74">
        <v>0</v>
      </c>
      <c r="K74">
        <v>0</v>
      </c>
      <c r="L74">
        <v>200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2</v>
      </c>
      <c r="AA74">
        <v>0</v>
      </c>
      <c r="AB74">
        <v>0</v>
      </c>
      <c r="AC74">
        <v>0</v>
      </c>
      <c r="AD74" t="s">
        <v>199</v>
      </c>
    </row>
    <row r="75" spans="1:30" x14ac:dyDescent="0.25">
      <c r="H75" t="s">
        <v>200</v>
      </c>
    </row>
    <row r="76" spans="1:30" x14ac:dyDescent="0.25">
      <c r="A76">
        <v>35</v>
      </c>
      <c r="B76">
        <v>5489</v>
      </c>
      <c r="C76" t="s">
        <v>201</v>
      </c>
      <c r="D76" t="s">
        <v>46</v>
      </c>
      <c r="E76" t="s">
        <v>202</v>
      </c>
      <c r="F76" t="s">
        <v>203</v>
      </c>
      <c r="G76" t="str">
        <f>"200902000455"</f>
        <v>200902000455</v>
      </c>
      <c r="H76" t="s">
        <v>204</v>
      </c>
      <c r="I76">
        <v>0</v>
      </c>
      <c r="J76">
        <v>0</v>
      </c>
      <c r="K76">
        <v>0</v>
      </c>
      <c r="L76">
        <v>200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60</v>
      </c>
      <c r="W76">
        <v>420</v>
      </c>
      <c r="X76">
        <v>0</v>
      </c>
      <c r="Z76">
        <v>0</v>
      </c>
      <c r="AA76">
        <v>0</v>
      </c>
      <c r="AB76">
        <v>24</v>
      </c>
      <c r="AC76">
        <v>408</v>
      </c>
      <c r="AD76" t="s">
        <v>205</v>
      </c>
    </row>
    <row r="77" spans="1:30" x14ac:dyDescent="0.25">
      <c r="H77" t="s">
        <v>206</v>
      </c>
    </row>
    <row r="78" spans="1:30" x14ac:dyDescent="0.25">
      <c r="A78">
        <v>36</v>
      </c>
      <c r="B78">
        <v>583</v>
      </c>
      <c r="C78" t="s">
        <v>207</v>
      </c>
      <c r="D78" t="s">
        <v>208</v>
      </c>
      <c r="E78" t="s">
        <v>162</v>
      </c>
      <c r="F78" t="s">
        <v>209</v>
      </c>
      <c r="G78" t="str">
        <f>"201406014655"</f>
        <v>201406014655</v>
      </c>
      <c r="H78">
        <v>737</v>
      </c>
      <c r="I78">
        <v>0</v>
      </c>
      <c r="J78">
        <v>0</v>
      </c>
      <c r="K78">
        <v>0</v>
      </c>
      <c r="L78">
        <v>200</v>
      </c>
      <c r="M78">
        <v>0</v>
      </c>
      <c r="N78">
        <v>50</v>
      </c>
      <c r="O78">
        <v>30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66</v>
      </c>
      <c r="W78">
        <v>462</v>
      </c>
      <c r="X78">
        <v>0</v>
      </c>
      <c r="Z78">
        <v>0</v>
      </c>
      <c r="AA78">
        <v>0</v>
      </c>
      <c r="AB78">
        <v>18</v>
      </c>
      <c r="AC78">
        <v>306</v>
      </c>
      <c r="AD78">
        <v>1785</v>
      </c>
    </row>
    <row r="79" spans="1:30" x14ac:dyDescent="0.25">
      <c r="H79" t="s">
        <v>210</v>
      </c>
    </row>
    <row r="80" spans="1:30" x14ac:dyDescent="0.25">
      <c r="A80">
        <v>37</v>
      </c>
      <c r="B80">
        <v>3271</v>
      </c>
      <c r="C80" t="s">
        <v>211</v>
      </c>
      <c r="D80" t="s">
        <v>114</v>
      </c>
      <c r="E80" t="s">
        <v>212</v>
      </c>
      <c r="F80" t="s">
        <v>213</v>
      </c>
      <c r="G80" t="str">
        <f>"00345803"</f>
        <v>00345803</v>
      </c>
      <c r="H80">
        <v>726</v>
      </c>
      <c r="I80">
        <v>0</v>
      </c>
      <c r="J80">
        <v>0</v>
      </c>
      <c r="K80">
        <v>0</v>
      </c>
      <c r="L80">
        <v>200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60</v>
      </c>
      <c r="W80">
        <v>420</v>
      </c>
      <c r="X80">
        <v>0</v>
      </c>
      <c r="Z80">
        <v>0</v>
      </c>
      <c r="AA80">
        <v>0</v>
      </c>
      <c r="AB80">
        <v>24</v>
      </c>
      <c r="AC80">
        <v>408</v>
      </c>
      <c r="AD80">
        <v>1784</v>
      </c>
    </row>
    <row r="81" spans="1:30" x14ac:dyDescent="0.25">
      <c r="H81" t="s">
        <v>214</v>
      </c>
    </row>
    <row r="82" spans="1:30" x14ac:dyDescent="0.25">
      <c r="A82">
        <v>38</v>
      </c>
      <c r="B82">
        <v>2406</v>
      </c>
      <c r="C82" t="s">
        <v>215</v>
      </c>
      <c r="D82" t="s">
        <v>216</v>
      </c>
      <c r="E82" t="s">
        <v>217</v>
      </c>
      <c r="F82" t="s">
        <v>218</v>
      </c>
      <c r="G82" t="str">
        <f>"200802007726"</f>
        <v>200802007726</v>
      </c>
      <c r="H82" t="s">
        <v>219</v>
      </c>
      <c r="I82">
        <v>150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1</v>
      </c>
      <c r="AA82">
        <v>0</v>
      </c>
      <c r="AB82">
        <v>0</v>
      </c>
      <c r="AC82">
        <v>0</v>
      </c>
      <c r="AD82" t="s">
        <v>220</v>
      </c>
    </row>
    <row r="83" spans="1:30" x14ac:dyDescent="0.25">
      <c r="H83" t="s">
        <v>221</v>
      </c>
    </row>
    <row r="84" spans="1:30" x14ac:dyDescent="0.25">
      <c r="A84">
        <v>39</v>
      </c>
      <c r="B84">
        <v>738</v>
      </c>
      <c r="C84" t="s">
        <v>222</v>
      </c>
      <c r="D84" t="s">
        <v>223</v>
      </c>
      <c r="E84" t="s">
        <v>224</v>
      </c>
      <c r="F84" t="s">
        <v>225</v>
      </c>
      <c r="G84" t="str">
        <f>"00111325"</f>
        <v>00111325</v>
      </c>
      <c r="H84" t="s">
        <v>226</v>
      </c>
      <c r="I84">
        <v>150</v>
      </c>
      <c r="J84">
        <v>0</v>
      </c>
      <c r="K84">
        <v>0</v>
      </c>
      <c r="L84">
        <v>200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227</v>
      </c>
    </row>
    <row r="85" spans="1:30" x14ac:dyDescent="0.25">
      <c r="H85">
        <v>1249</v>
      </c>
    </row>
    <row r="86" spans="1:30" x14ac:dyDescent="0.25">
      <c r="A86">
        <v>40</v>
      </c>
      <c r="B86">
        <v>2355</v>
      </c>
      <c r="C86" t="s">
        <v>228</v>
      </c>
      <c r="D86" t="s">
        <v>229</v>
      </c>
      <c r="E86" t="s">
        <v>40</v>
      </c>
      <c r="F86" t="s">
        <v>230</v>
      </c>
      <c r="G86" t="str">
        <f>"200712001186"</f>
        <v>200712001186</v>
      </c>
      <c r="H86" t="s">
        <v>231</v>
      </c>
      <c r="I86">
        <v>0</v>
      </c>
      <c r="J86">
        <v>0</v>
      </c>
      <c r="K86">
        <v>0</v>
      </c>
      <c r="L86">
        <v>200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60</v>
      </c>
      <c r="W86">
        <v>420</v>
      </c>
      <c r="X86">
        <v>0</v>
      </c>
      <c r="Z86">
        <v>1</v>
      </c>
      <c r="AA86">
        <v>0</v>
      </c>
      <c r="AB86">
        <v>24</v>
      </c>
      <c r="AC86">
        <v>408</v>
      </c>
      <c r="AD86" t="s">
        <v>232</v>
      </c>
    </row>
    <row r="87" spans="1:30" x14ac:dyDescent="0.25">
      <c r="H87" t="s">
        <v>233</v>
      </c>
    </row>
    <row r="88" spans="1:30" x14ac:dyDescent="0.25">
      <c r="A88">
        <v>41</v>
      </c>
      <c r="B88">
        <v>1173</v>
      </c>
      <c r="C88" t="s">
        <v>234</v>
      </c>
      <c r="D88" t="s">
        <v>86</v>
      </c>
      <c r="E88" t="s">
        <v>183</v>
      </c>
      <c r="F88" t="s">
        <v>235</v>
      </c>
      <c r="G88" t="str">
        <f>"201406013831"</f>
        <v>201406013831</v>
      </c>
      <c r="H88">
        <v>770</v>
      </c>
      <c r="I88">
        <v>150</v>
      </c>
      <c r="J88">
        <v>0</v>
      </c>
      <c r="K88">
        <v>0</v>
      </c>
      <c r="L88">
        <v>200</v>
      </c>
      <c r="M88">
        <v>0</v>
      </c>
      <c r="N88">
        <v>70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>
        <v>0</v>
      </c>
      <c r="AB88">
        <v>0</v>
      </c>
      <c r="AC88">
        <v>0</v>
      </c>
      <c r="AD88">
        <v>1778</v>
      </c>
    </row>
    <row r="89" spans="1:30" x14ac:dyDescent="0.25">
      <c r="H89" t="s">
        <v>236</v>
      </c>
    </row>
    <row r="90" spans="1:30" x14ac:dyDescent="0.25">
      <c r="A90">
        <v>42</v>
      </c>
      <c r="B90">
        <v>1496</v>
      </c>
      <c r="C90" t="s">
        <v>237</v>
      </c>
      <c r="D90" t="s">
        <v>238</v>
      </c>
      <c r="E90" t="s">
        <v>239</v>
      </c>
      <c r="F90" t="s">
        <v>240</v>
      </c>
      <c r="G90" t="str">
        <f>"200802008114"</f>
        <v>200802008114</v>
      </c>
      <c r="H90" t="s">
        <v>241</v>
      </c>
      <c r="I90">
        <v>0</v>
      </c>
      <c r="J90">
        <v>0</v>
      </c>
      <c r="K90">
        <v>0</v>
      </c>
      <c r="L90">
        <v>200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60</v>
      </c>
      <c r="W90">
        <v>420</v>
      </c>
      <c r="X90">
        <v>0</v>
      </c>
      <c r="Z90">
        <v>0</v>
      </c>
      <c r="AA90">
        <v>0</v>
      </c>
      <c r="AB90">
        <v>24</v>
      </c>
      <c r="AC90">
        <v>408</v>
      </c>
      <c r="AD90" t="s">
        <v>242</v>
      </c>
    </row>
    <row r="91" spans="1:30" x14ac:dyDescent="0.25">
      <c r="H91" t="s">
        <v>243</v>
      </c>
    </row>
    <row r="92" spans="1:30" x14ac:dyDescent="0.25">
      <c r="A92">
        <v>43</v>
      </c>
      <c r="B92">
        <v>438</v>
      </c>
      <c r="C92" t="s">
        <v>244</v>
      </c>
      <c r="D92" t="s">
        <v>107</v>
      </c>
      <c r="E92" t="s">
        <v>162</v>
      </c>
      <c r="F92" t="s">
        <v>245</v>
      </c>
      <c r="G92" t="str">
        <f>"201406013334"</f>
        <v>201406013334</v>
      </c>
      <c r="H92">
        <v>935</v>
      </c>
      <c r="I92">
        <v>0</v>
      </c>
      <c r="J92">
        <v>0</v>
      </c>
      <c r="K92">
        <v>0</v>
      </c>
      <c r="L92">
        <v>260</v>
      </c>
      <c r="M92">
        <v>0</v>
      </c>
      <c r="N92">
        <v>50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76</v>
      </c>
      <c r="W92">
        <v>532</v>
      </c>
      <c r="X92">
        <v>0</v>
      </c>
      <c r="Z92">
        <v>0</v>
      </c>
      <c r="AA92">
        <v>0</v>
      </c>
      <c r="AB92">
        <v>0</v>
      </c>
      <c r="AC92">
        <v>0</v>
      </c>
      <c r="AD92">
        <v>1777</v>
      </c>
    </row>
    <row r="93" spans="1:30" x14ac:dyDescent="0.25">
      <c r="H93" t="s">
        <v>246</v>
      </c>
    </row>
    <row r="94" spans="1:30" x14ac:dyDescent="0.25">
      <c r="A94">
        <v>44</v>
      </c>
      <c r="B94">
        <v>4785</v>
      </c>
      <c r="C94" t="s">
        <v>247</v>
      </c>
      <c r="D94" t="s">
        <v>166</v>
      </c>
      <c r="E94" t="s">
        <v>40</v>
      </c>
      <c r="F94" t="s">
        <v>248</v>
      </c>
      <c r="G94" t="str">
        <f>"201411002487"</f>
        <v>201411002487</v>
      </c>
      <c r="H94">
        <v>913</v>
      </c>
      <c r="I94">
        <v>0</v>
      </c>
      <c r="J94">
        <v>0</v>
      </c>
      <c r="K94">
        <v>0</v>
      </c>
      <c r="L94">
        <v>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60</v>
      </c>
      <c r="W94">
        <v>420</v>
      </c>
      <c r="X94">
        <v>0</v>
      </c>
      <c r="Z94">
        <v>0</v>
      </c>
      <c r="AA94">
        <v>0</v>
      </c>
      <c r="AB94">
        <v>24</v>
      </c>
      <c r="AC94">
        <v>408</v>
      </c>
      <c r="AD94">
        <v>1771</v>
      </c>
    </row>
    <row r="95" spans="1:30" x14ac:dyDescent="0.25">
      <c r="H95" t="s">
        <v>249</v>
      </c>
    </row>
    <row r="96" spans="1:30" x14ac:dyDescent="0.25">
      <c r="A96">
        <v>45</v>
      </c>
      <c r="B96">
        <v>1342</v>
      </c>
      <c r="C96" t="s">
        <v>250</v>
      </c>
      <c r="D96" t="s">
        <v>39</v>
      </c>
      <c r="E96" t="s">
        <v>251</v>
      </c>
      <c r="F96" t="s">
        <v>252</v>
      </c>
      <c r="G96" t="str">
        <f>"201402009631"</f>
        <v>201402009631</v>
      </c>
      <c r="H96" t="s">
        <v>253</v>
      </c>
      <c r="I96">
        <v>0</v>
      </c>
      <c r="J96">
        <v>0</v>
      </c>
      <c r="K96">
        <v>0</v>
      </c>
      <c r="L96">
        <v>200</v>
      </c>
      <c r="M96">
        <v>0</v>
      </c>
      <c r="N96">
        <v>50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2</v>
      </c>
      <c r="AA96">
        <v>0</v>
      </c>
      <c r="AB96">
        <v>0</v>
      </c>
      <c r="AC96">
        <v>0</v>
      </c>
      <c r="AD96" t="s">
        <v>254</v>
      </c>
    </row>
    <row r="97" spans="1:30" x14ac:dyDescent="0.25">
      <c r="H97" t="s">
        <v>255</v>
      </c>
    </row>
    <row r="98" spans="1:30" x14ac:dyDescent="0.25">
      <c r="A98">
        <v>46</v>
      </c>
      <c r="B98">
        <v>4946</v>
      </c>
      <c r="C98" t="s">
        <v>256</v>
      </c>
      <c r="D98" t="s">
        <v>86</v>
      </c>
      <c r="E98" t="s">
        <v>28</v>
      </c>
      <c r="F98" t="s">
        <v>257</v>
      </c>
      <c r="G98" t="str">
        <f>"00149369"</f>
        <v>00149369</v>
      </c>
      <c r="H98" t="s">
        <v>258</v>
      </c>
      <c r="I98">
        <v>150</v>
      </c>
      <c r="J98">
        <v>0</v>
      </c>
      <c r="K98">
        <v>0</v>
      </c>
      <c r="L98">
        <v>200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>
        <v>0</v>
      </c>
      <c r="AB98">
        <v>0</v>
      </c>
      <c r="AC98">
        <v>0</v>
      </c>
      <c r="AD98" t="s">
        <v>259</v>
      </c>
    </row>
    <row r="99" spans="1:30" x14ac:dyDescent="0.25">
      <c r="H99" t="s">
        <v>260</v>
      </c>
    </row>
    <row r="100" spans="1:30" x14ac:dyDescent="0.25">
      <c r="A100">
        <v>47</v>
      </c>
      <c r="B100">
        <v>2095</v>
      </c>
      <c r="C100" t="s">
        <v>261</v>
      </c>
      <c r="D100" t="s">
        <v>262</v>
      </c>
      <c r="E100" t="s">
        <v>51</v>
      </c>
      <c r="F100" t="s">
        <v>263</v>
      </c>
      <c r="G100" t="str">
        <f>"201411002923"</f>
        <v>201411002923</v>
      </c>
      <c r="H100" t="s">
        <v>264</v>
      </c>
      <c r="I100">
        <v>150</v>
      </c>
      <c r="J100">
        <v>0</v>
      </c>
      <c r="K100">
        <v>0</v>
      </c>
      <c r="L100">
        <v>200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265</v>
      </c>
    </row>
    <row r="101" spans="1:30" x14ac:dyDescent="0.25">
      <c r="H101" t="s">
        <v>266</v>
      </c>
    </row>
    <row r="102" spans="1:30" x14ac:dyDescent="0.25">
      <c r="A102">
        <v>48</v>
      </c>
      <c r="B102">
        <v>1700</v>
      </c>
      <c r="C102" t="s">
        <v>267</v>
      </c>
      <c r="D102" t="s">
        <v>183</v>
      </c>
      <c r="E102" t="s">
        <v>151</v>
      </c>
      <c r="F102" t="s">
        <v>268</v>
      </c>
      <c r="G102" t="str">
        <f>"201511033215"</f>
        <v>201511033215</v>
      </c>
      <c r="H102">
        <v>693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60</v>
      </c>
      <c r="W102">
        <v>420</v>
      </c>
      <c r="X102">
        <v>0</v>
      </c>
      <c r="Z102">
        <v>0</v>
      </c>
      <c r="AA102">
        <v>0</v>
      </c>
      <c r="AB102">
        <v>24</v>
      </c>
      <c r="AC102">
        <v>408</v>
      </c>
      <c r="AD102">
        <v>1751</v>
      </c>
    </row>
    <row r="103" spans="1:30" x14ac:dyDescent="0.25">
      <c r="H103" t="s">
        <v>269</v>
      </c>
    </row>
    <row r="104" spans="1:30" x14ac:dyDescent="0.25">
      <c r="A104">
        <v>49</v>
      </c>
      <c r="B104">
        <v>915</v>
      </c>
      <c r="C104" t="s">
        <v>270</v>
      </c>
      <c r="D104" t="s">
        <v>271</v>
      </c>
      <c r="E104" t="s">
        <v>47</v>
      </c>
      <c r="F104" t="s">
        <v>272</v>
      </c>
      <c r="G104" t="str">
        <f>"00190932"</f>
        <v>00190932</v>
      </c>
      <c r="H104">
        <v>891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0</v>
      </c>
      <c r="AB104">
        <v>0</v>
      </c>
      <c r="AC104">
        <v>0</v>
      </c>
      <c r="AD104">
        <v>1749</v>
      </c>
    </row>
    <row r="105" spans="1:30" x14ac:dyDescent="0.25">
      <c r="H105" t="s">
        <v>273</v>
      </c>
    </row>
    <row r="106" spans="1:30" x14ac:dyDescent="0.25">
      <c r="A106">
        <v>50</v>
      </c>
      <c r="B106">
        <v>6072</v>
      </c>
      <c r="C106" t="s">
        <v>274</v>
      </c>
      <c r="D106" t="s">
        <v>47</v>
      </c>
      <c r="E106" t="s">
        <v>275</v>
      </c>
      <c r="F106" t="s">
        <v>276</v>
      </c>
      <c r="G106" t="str">
        <f>"00175908"</f>
        <v>00175908</v>
      </c>
      <c r="H106">
        <v>737</v>
      </c>
      <c r="I106">
        <v>150</v>
      </c>
      <c r="J106">
        <v>0</v>
      </c>
      <c r="K106">
        <v>0</v>
      </c>
      <c r="L106">
        <v>200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32</v>
      </c>
      <c r="W106">
        <v>224</v>
      </c>
      <c r="X106">
        <v>0</v>
      </c>
      <c r="Z106">
        <v>0</v>
      </c>
      <c r="AA106">
        <v>0</v>
      </c>
      <c r="AB106">
        <v>24</v>
      </c>
      <c r="AC106">
        <v>408</v>
      </c>
      <c r="AD106">
        <v>1749</v>
      </c>
    </row>
    <row r="107" spans="1:30" x14ac:dyDescent="0.25">
      <c r="H107" t="s">
        <v>277</v>
      </c>
    </row>
    <row r="108" spans="1:30" x14ac:dyDescent="0.25">
      <c r="A108">
        <v>51</v>
      </c>
      <c r="B108">
        <v>681</v>
      </c>
      <c r="C108" t="s">
        <v>278</v>
      </c>
      <c r="D108" t="s">
        <v>75</v>
      </c>
      <c r="E108" t="s">
        <v>176</v>
      </c>
      <c r="F108" t="s">
        <v>279</v>
      </c>
      <c r="G108" t="str">
        <f>"00257931"</f>
        <v>00257931</v>
      </c>
      <c r="H108">
        <v>935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53</v>
      </c>
      <c r="W108">
        <v>371</v>
      </c>
      <c r="X108">
        <v>0</v>
      </c>
      <c r="Z108">
        <v>0</v>
      </c>
      <c r="AA108">
        <v>0</v>
      </c>
      <c r="AB108">
        <v>24</v>
      </c>
      <c r="AC108">
        <v>408</v>
      </c>
      <c r="AD108">
        <v>1744</v>
      </c>
    </row>
    <row r="109" spans="1:30" x14ac:dyDescent="0.25">
      <c r="H109" t="s">
        <v>280</v>
      </c>
    </row>
    <row r="110" spans="1:30" x14ac:dyDescent="0.25">
      <c r="A110">
        <v>52</v>
      </c>
      <c r="B110">
        <v>4487</v>
      </c>
      <c r="C110" t="s">
        <v>281</v>
      </c>
      <c r="D110" t="s">
        <v>98</v>
      </c>
      <c r="E110" t="s">
        <v>282</v>
      </c>
      <c r="F110" t="s">
        <v>283</v>
      </c>
      <c r="G110" t="str">
        <f>"200801006955"</f>
        <v>200801006955</v>
      </c>
      <c r="H110" t="s">
        <v>136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0</v>
      </c>
      <c r="P110">
        <v>0</v>
      </c>
      <c r="Q110">
        <v>30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284</v>
      </c>
    </row>
    <row r="111" spans="1:30" x14ac:dyDescent="0.25">
      <c r="H111" t="s">
        <v>285</v>
      </c>
    </row>
    <row r="112" spans="1:30" x14ac:dyDescent="0.25">
      <c r="A112">
        <v>53</v>
      </c>
      <c r="B112">
        <v>561</v>
      </c>
      <c r="C112" t="s">
        <v>286</v>
      </c>
      <c r="D112" t="s">
        <v>115</v>
      </c>
      <c r="E112" t="s">
        <v>15</v>
      </c>
      <c r="F112" t="s">
        <v>287</v>
      </c>
      <c r="G112" t="str">
        <f>"201405000243"</f>
        <v>201405000243</v>
      </c>
      <c r="H112">
        <v>902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50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>
        <v>0</v>
      </c>
      <c r="AB112">
        <v>0</v>
      </c>
      <c r="AC112">
        <v>0</v>
      </c>
      <c r="AD112">
        <v>1740</v>
      </c>
    </row>
    <row r="113" spans="1:30" x14ac:dyDescent="0.25">
      <c r="H113" t="s">
        <v>288</v>
      </c>
    </row>
    <row r="114" spans="1:30" x14ac:dyDescent="0.25">
      <c r="A114">
        <v>54</v>
      </c>
      <c r="B114">
        <v>59</v>
      </c>
      <c r="C114" t="s">
        <v>289</v>
      </c>
      <c r="D114" t="s">
        <v>290</v>
      </c>
      <c r="E114" t="s">
        <v>291</v>
      </c>
      <c r="F114" t="s">
        <v>292</v>
      </c>
      <c r="G114" t="str">
        <f>"00295966"</f>
        <v>00295966</v>
      </c>
      <c r="H114" t="s">
        <v>293</v>
      </c>
      <c r="I114">
        <v>150</v>
      </c>
      <c r="J114">
        <v>0</v>
      </c>
      <c r="K114">
        <v>0</v>
      </c>
      <c r="L114">
        <v>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54</v>
      </c>
      <c r="W114">
        <v>378</v>
      </c>
      <c r="X114">
        <v>0</v>
      </c>
      <c r="Z114">
        <v>0</v>
      </c>
      <c r="AA114">
        <v>0</v>
      </c>
      <c r="AB114">
        <v>24</v>
      </c>
      <c r="AC114">
        <v>408</v>
      </c>
      <c r="AD114" t="s">
        <v>294</v>
      </c>
    </row>
    <row r="115" spans="1:30" x14ac:dyDescent="0.25">
      <c r="H115">
        <v>1247</v>
      </c>
    </row>
    <row r="116" spans="1:30" x14ac:dyDescent="0.25">
      <c r="A116">
        <v>55</v>
      </c>
      <c r="B116">
        <v>3454</v>
      </c>
      <c r="C116" t="s">
        <v>295</v>
      </c>
      <c r="D116" t="s">
        <v>296</v>
      </c>
      <c r="E116" t="s">
        <v>47</v>
      </c>
      <c r="F116" t="s">
        <v>297</v>
      </c>
      <c r="G116" t="str">
        <f>"00160079"</f>
        <v>00160079</v>
      </c>
      <c r="H116" t="s">
        <v>298</v>
      </c>
      <c r="I116">
        <v>0</v>
      </c>
      <c r="J116">
        <v>0</v>
      </c>
      <c r="K116">
        <v>0</v>
      </c>
      <c r="L116">
        <v>260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60</v>
      </c>
      <c r="W116">
        <v>420</v>
      </c>
      <c r="X116">
        <v>0</v>
      </c>
      <c r="Z116">
        <v>0</v>
      </c>
      <c r="AA116">
        <v>0</v>
      </c>
      <c r="AB116">
        <v>24</v>
      </c>
      <c r="AC116">
        <v>408</v>
      </c>
      <c r="AD116" t="s">
        <v>299</v>
      </c>
    </row>
    <row r="117" spans="1:30" x14ac:dyDescent="0.25">
      <c r="H117" t="s">
        <v>300</v>
      </c>
    </row>
    <row r="118" spans="1:30" x14ac:dyDescent="0.25">
      <c r="A118">
        <v>56</v>
      </c>
      <c r="B118">
        <v>1887</v>
      </c>
      <c r="C118" t="s">
        <v>301</v>
      </c>
      <c r="D118" t="s">
        <v>75</v>
      </c>
      <c r="E118" t="s">
        <v>162</v>
      </c>
      <c r="F118" t="s">
        <v>302</v>
      </c>
      <c r="G118" t="str">
        <f>"00156123"</f>
        <v>00156123</v>
      </c>
      <c r="H118">
        <v>792</v>
      </c>
      <c r="I118">
        <v>150</v>
      </c>
      <c r="J118">
        <v>0</v>
      </c>
      <c r="K118">
        <v>0</v>
      </c>
      <c r="L118">
        <v>200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81</v>
      </c>
      <c r="W118">
        <v>567</v>
      </c>
      <c r="X118">
        <v>0</v>
      </c>
      <c r="Z118">
        <v>0</v>
      </c>
      <c r="AA118">
        <v>0</v>
      </c>
      <c r="AB118">
        <v>0</v>
      </c>
      <c r="AC118">
        <v>0</v>
      </c>
      <c r="AD118">
        <v>1739</v>
      </c>
    </row>
    <row r="119" spans="1:30" x14ac:dyDescent="0.25">
      <c r="H119" t="s">
        <v>303</v>
      </c>
    </row>
    <row r="120" spans="1:30" x14ac:dyDescent="0.25">
      <c r="A120">
        <v>57</v>
      </c>
      <c r="B120">
        <v>4878</v>
      </c>
      <c r="C120" t="s">
        <v>304</v>
      </c>
      <c r="D120" t="s">
        <v>223</v>
      </c>
      <c r="E120" t="s">
        <v>183</v>
      </c>
      <c r="F120" t="s">
        <v>305</v>
      </c>
      <c r="G120" t="str">
        <f>"201406002514"</f>
        <v>201406002514</v>
      </c>
      <c r="H120" t="s">
        <v>264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50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70</v>
      </c>
      <c r="U120">
        <v>0</v>
      </c>
      <c r="V120">
        <v>60</v>
      </c>
      <c r="W120">
        <v>420</v>
      </c>
      <c r="X120">
        <v>0</v>
      </c>
      <c r="Z120">
        <v>0</v>
      </c>
      <c r="AA120">
        <v>0</v>
      </c>
      <c r="AB120">
        <v>24</v>
      </c>
      <c r="AC120">
        <v>408</v>
      </c>
      <c r="AD120" t="s">
        <v>306</v>
      </c>
    </row>
    <row r="121" spans="1:30" x14ac:dyDescent="0.25">
      <c r="H121" t="s">
        <v>307</v>
      </c>
    </row>
    <row r="122" spans="1:30" x14ac:dyDescent="0.25">
      <c r="A122">
        <v>58</v>
      </c>
      <c r="B122">
        <v>2298</v>
      </c>
      <c r="C122" t="s">
        <v>308</v>
      </c>
      <c r="D122" t="s">
        <v>309</v>
      </c>
      <c r="E122" t="s">
        <v>107</v>
      </c>
      <c r="F122" t="s">
        <v>310</v>
      </c>
      <c r="G122" t="str">
        <f>"201406010417"</f>
        <v>201406010417</v>
      </c>
      <c r="H122" t="s">
        <v>311</v>
      </c>
      <c r="I122">
        <v>150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 t="s">
        <v>312</v>
      </c>
    </row>
    <row r="123" spans="1:30" x14ac:dyDescent="0.25">
      <c r="H123" t="s">
        <v>313</v>
      </c>
    </row>
    <row r="124" spans="1:30" x14ac:dyDescent="0.25">
      <c r="A124">
        <v>59</v>
      </c>
      <c r="B124">
        <v>5383</v>
      </c>
      <c r="C124" t="s">
        <v>314</v>
      </c>
      <c r="D124" t="s">
        <v>315</v>
      </c>
      <c r="E124" t="s">
        <v>40</v>
      </c>
      <c r="F124" t="s">
        <v>316</v>
      </c>
      <c r="G124" t="str">
        <f>"00157411"</f>
        <v>00157411</v>
      </c>
      <c r="H124">
        <v>847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0</v>
      </c>
      <c r="P124">
        <v>30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>
        <v>1735</v>
      </c>
    </row>
    <row r="125" spans="1:30" x14ac:dyDescent="0.25">
      <c r="H125" t="s">
        <v>317</v>
      </c>
    </row>
    <row r="126" spans="1:30" x14ac:dyDescent="0.25">
      <c r="A126">
        <v>60</v>
      </c>
      <c r="B126">
        <v>5990</v>
      </c>
      <c r="C126" t="s">
        <v>318</v>
      </c>
      <c r="D126" t="s">
        <v>319</v>
      </c>
      <c r="E126" t="s">
        <v>39</v>
      </c>
      <c r="F126" t="s">
        <v>320</v>
      </c>
      <c r="G126" t="str">
        <f>"00344891"</f>
        <v>00344891</v>
      </c>
      <c r="H126" t="s">
        <v>321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0</v>
      </c>
      <c r="P126">
        <v>0</v>
      </c>
      <c r="Q126">
        <v>30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322</v>
      </c>
    </row>
    <row r="127" spans="1:30" x14ac:dyDescent="0.25">
      <c r="H127" t="s">
        <v>323</v>
      </c>
    </row>
    <row r="128" spans="1:30" x14ac:dyDescent="0.25">
      <c r="A128">
        <v>61</v>
      </c>
      <c r="B128">
        <v>4086</v>
      </c>
      <c r="C128" t="s">
        <v>324</v>
      </c>
      <c r="D128" t="s">
        <v>134</v>
      </c>
      <c r="E128" t="s">
        <v>33</v>
      </c>
      <c r="F128" t="s">
        <v>325</v>
      </c>
      <c r="G128" t="str">
        <f>"201412001348"</f>
        <v>201412001348</v>
      </c>
      <c r="H128" t="s">
        <v>326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30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73</v>
      </c>
      <c r="W128">
        <v>511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327</v>
      </c>
    </row>
    <row r="129" spans="1:30" x14ac:dyDescent="0.25">
      <c r="H129" t="s">
        <v>328</v>
      </c>
    </row>
    <row r="130" spans="1:30" x14ac:dyDescent="0.25">
      <c r="A130">
        <v>62</v>
      </c>
      <c r="B130">
        <v>4977</v>
      </c>
      <c r="C130" t="s">
        <v>329</v>
      </c>
      <c r="D130" t="s">
        <v>330</v>
      </c>
      <c r="E130" t="s">
        <v>40</v>
      </c>
      <c r="F130" t="s">
        <v>331</v>
      </c>
      <c r="G130" t="str">
        <f>"00298918"</f>
        <v>00298918</v>
      </c>
      <c r="H130" t="s">
        <v>332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63</v>
      </c>
      <c r="W130">
        <v>441</v>
      </c>
      <c r="X130">
        <v>0</v>
      </c>
      <c r="Z130">
        <v>0</v>
      </c>
      <c r="AA130">
        <v>0</v>
      </c>
      <c r="AB130">
        <v>21</v>
      </c>
      <c r="AC130">
        <v>357</v>
      </c>
      <c r="AD130" t="s">
        <v>327</v>
      </c>
    </row>
    <row r="131" spans="1:30" x14ac:dyDescent="0.25">
      <c r="H131" t="s">
        <v>333</v>
      </c>
    </row>
    <row r="132" spans="1:30" x14ac:dyDescent="0.25">
      <c r="A132">
        <v>63</v>
      </c>
      <c r="B132">
        <v>5195</v>
      </c>
      <c r="C132" t="s">
        <v>334</v>
      </c>
      <c r="D132" t="s">
        <v>335</v>
      </c>
      <c r="E132" t="s">
        <v>92</v>
      </c>
      <c r="F132" t="s">
        <v>336</v>
      </c>
      <c r="G132" t="str">
        <f>"201406009925"</f>
        <v>201406009925</v>
      </c>
      <c r="H132" t="s">
        <v>231</v>
      </c>
      <c r="I132">
        <v>150</v>
      </c>
      <c r="J132">
        <v>0</v>
      </c>
      <c r="K132">
        <v>0</v>
      </c>
      <c r="L132">
        <v>200</v>
      </c>
      <c r="M132">
        <v>0</v>
      </c>
      <c r="N132">
        <v>70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337</v>
      </c>
    </row>
    <row r="133" spans="1:30" x14ac:dyDescent="0.25">
      <c r="H133" t="s">
        <v>338</v>
      </c>
    </row>
    <row r="134" spans="1:30" x14ac:dyDescent="0.25">
      <c r="A134">
        <v>64</v>
      </c>
      <c r="B134">
        <v>5917</v>
      </c>
      <c r="C134" t="s">
        <v>339</v>
      </c>
      <c r="D134" t="s">
        <v>335</v>
      </c>
      <c r="E134" t="s">
        <v>39</v>
      </c>
      <c r="F134" t="s">
        <v>340</v>
      </c>
      <c r="G134" t="str">
        <f>"201511030726"</f>
        <v>201511030726</v>
      </c>
      <c r="H134">
        <v>869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60</v>
      </c>
      <c r="W134">
        <v>420</v>
      </c>
      <c r="X134">
        <v>0</v>
      </c>
      <c r="Z134">
        <v>0</v>
      </c>
      <c r="AA134">
        <v>0</v>
      </c>
      <c r="AB134">
        <v>24</v>
      </c>
      <c r="AC134">
        <v>408</v>
      </c>
      <c r="AD134">
        <v>1727</v>
      </c>
    </row>
    <row r="135" spans="1:30" x14ac:dyDescent="0.25">
      <c r="H135" t="s">
        <v>341</v>
      </c>
    </row>
    <row r="136" spans="1:30" x14ac:dyDescent="0.25">
      <c r="A136">
        <v>65</v>
      </c>
      <c r="B136">
        <v>4588</v>
      </c>
      <c r="C136" t="s">
        <v>342</v>
      </c>
      <c r="D136" t="s">
        <v>39</v>
      </c>
      <c r="E136" t="s">
        <v>183</v>
      </c>
      <c r="F136" t="s">
        <v>343</v>
      </c>
      <c r="G136" t="str">
        <f>"201304003534"</f>
        <v>201304003534</v>
      </c>
      <c r="H136">
        <v>770</v>
      </c>
      <c r="I136">
        <v>150</v>
      </c>
      <c r="J136">
        <v>0</v>
      </c>
      <c r="K136">
        <v>0</v>
      </c>
      <c r="L136">
        <v>200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82</v>
      </c>
      <c r="W136">
        <v>574</v>
      </c>
      <c r="X136">
        <v>0</v>
      </c>
      <c r="Z136">
        <v>0</v>
      </c>
      <c r="AA136">
        <v>0</v>
      </c>
      <c r="AB136">
        <v>0</v>
      </c>
      <c r="AC136">
        <v>0</v>
      </c>
      <c r="AD136">
        <v>1724</v>
      </c>
    </row>
    <row r="137" spans="1:30" x14ac:dyDescent="0.25">
      <c r="H137" t="s">
        <v>344</v>
      </c>
    </row>
    <row r="138" spans="1:30" x14ac:dyDescent="0.25">
      <c r="A138">
        <v>66</v>
      </c>
      <c r="B138">
        <v>4965</v>
      </c>
      <c r="C138" t="s">
        <v>345</v>
      </c>
      <c r="D138" t="s">
        <v>346</v>
      </c>
      <c r="E138" t="s">
        <v>239</v>
      </c>
      <c r="F138" t="s">
        <v>347</v>
      </c>
      <c r="G138" t="str">
        <f>"201406015865"</f>
        <v>201406015865</v>
      </c>
      <c r="H138">
        <v>814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50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>
        <v>1722</v>
      </c>
    </row>
    <row r="139" spans="1:30" x14ac:dyDescent="0.25">
      <c r="H139" t="s">
        <v>348</v>
      </c>
    </row>
    <row r="140" spans="1:30" x14ac:dyDescent="0.25">
      <c r="A140">
        <v>67</v>
      </c>
      <c r="B140">
        <v>4077</v>
      </c>
      <c r="C140" t="s">
        <v>349</v>
      </c>
      <c r="D140" t="s">
        <v>350</v>
      </c>
      <c r="E140" t="s">
        <v>15</v>
      </c>
      <c r="F140" t="s">
        <v>351</v>
      </c>
      <c r="G140" t="str">
        <f>"201406013241"</f>
        <v>201406013241</v>
      </c>
      <c r="H140" t="s">
        <v>352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50</v>
      </c>
      <c r="T140">
        <v>0</v>
      </c>
      <c r="U140">
        <v>0</v>
      </c>
      <c r="V140">
        <v>60</v>
      </c>
      <c r="W140">
        <v>420</v>
      </c>
      <c r="X140">
        <v>0</v>
      </c>
      <c r="Z140">
        <v>0</v>
      </c>
      <c r="AA140">
        <v>0</v>
      </c>
      <c r="AB140">
        <v>24</v>
      </c>
      <c r="AC140">
        <v>408</v>
      </c>
      <c r="AD140" t="s">
        <v>353</v>
      </c>
    </row>
    <row r="141" spans="1:30" x14ac:dyDescent="0.25">
      <c r="H141" t="s">
        <v>354</v>
      </c>
    </row>
    <row r="142" spans="1:30" x14ac:dyDescent="0.25">
      <c r="A142">
        <v>68</v>
      </c>
      <c r="B142">
        <v>1932</v>
      </c>
      <c r="C142" t="s">
        <v>355</v>
      </c>
      <c r="D142" t="s">
        <v>14</v>
      </c>
      <c r="E142" t="s">
        <v>47</v>
      </c>
      <c r="F142" t="s">
        <v>356</v>
      </c>
      <c r="G142" t="str">
        <f>"00314191"</f>
        <v>00314191</v>
      </c>
      <c r="H142" t="s">
        <v>357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60</v>
      </c>
      <c r="W142">
        <v>420</v>
      </c>
      <c r="X142">
        <v>0</v>
      </c>
      <c r="Z142">
        <v>0</v>
      </c>
      <c r="AA142">
        <v>0</v>
      </c>
      <c r="AB142">
        <v>24</v>
      </c>
      <c r="AC142">
        <v>408</v>
      </c>
      <c r="AD142" t="s">
        <v>358</v>
      </c>
    </row>
    <row r="143" spans="1:30" x14ac:dyDescent="0.25">
      <c r="H143" t="s">
        <v>359</v>
      </c>
    </row>
    <row r="144" spans="1:30" x14ac:dyDescent="0.25">
      <c r="A144">
        <v>69</v>
      </c>
      <c r="B144">
        <v>743</v>
      </c>
      <c r="C144" t="s">
        <v>360</v>
      </c>
      <c r="D144" t="s">
        <v>229</v>
      </c>
      <c r="E144" t="s">
        <v>47</v>
      </c>
      <c r="F144" t="s">
        <v>361</v>
      </c>
      <c r="G144" t="str">
        <f>"201402008762"</f>
        <v>201402008762</v>
      </c>
      <c r="H144" t="s">
        <v>362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363</v>
      </c>
    </row>
    <row r="145" spans="1:30" x14ac:dyDescent="0.25">
      <c r="H145" t="s">
        <v>364</v>
      </c>
    </row>
    <row r="146" spans="1:30" x14ac:dyDescent="0.25">
      <c r="A146">
        <v>70</v>
      </c>
      <c r="B146">
        <v>3886</v>
      </c>
      <c r="C146" t="s">
        <v>365</v>
      </c>
      <c r="D146" t="s">
        <v>151</v>
      </c>
      <c r="E146" t="s">
        <v>33</v>
      </c>
      <c r="F146" t="s">
        <v>366</v>
      </c>
      <c r="G146" t="str">
        <f>"201402010241"</f>
        <v>201402010241</v>
      </c>
      <c r="H146">
        <v>759</v>
      </c>
      <c r="I146">
        <v>0</v>
      </c>
      <c r="J146">
        <v>0</v>
      </c>
      <c r="K146">
        <v>0</v>
      </c>
      <c r="L146">
        <v>0</v>
      </c>
      <c r="M146">
        <v>100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60</v>
      </c>
      <c r="W146">
        <v>420</v>
      </c>
      <c r="X146">
        <v>0</v>
      </c>
      <c r="Z146">
        <v>0</v>
      </c>
      <c r="AA146">
        <v>0</v>
      </c>
      <c r="AB146">
        <v>24</v>
      </c>
      <c r="AC146">
        <v>408</v>
      </c>
      <c r="AD146">
        <v>1717</v>
      </c>
    </row>
    <row r="147" spans="1:30" x14ac:dyDescent="0.25">
      <c r="H147">
        <v>1247</v>
      </c>
    </row>
    <row r="148" spans="1:30" x14ac:dyDescent="0.25">
      <c r="A148">
        <v>71</v>
      </c>
      <c r="B148">
        <v>2759</v>
      </c>
      <c r="C148" t="s">
        <v>367</v>
      </c>
      <c r="D148" t="s">
        <v>107</v>
      </c>
      <c r="E148" t="s">
        <v>33</v>
      </c>
      <c r="F148" t="s">
        <v>368</v>
      </c>
      <c r="G148" t="str">
        <f>"00158409"</f>
        <v>00158409</v>
      </c>
      <c r="H148" t="s">
        <v>369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60</v>
      </c>
      <c r="W148">
        <v>420</v>
      </c>
      <c r="X148">
        <v>0</v>
      </c>
      <c r="Z148">
        <v>0</v>
      </c>
      <c r="AA148">
        <v>0</v>
      </c>
      <c r="AB148">
        <v>24</v>
      </c>
      <c r="AC148">
        <v>408</v>
      </c>
      <c r="AD148" t="s">
        <v>370</v>
      </c>
    </row>
    <row r="149" spans="1:30" x14ac:dyDescent="0.25">
      <c r="H149" t="s">
        <v>371</v>
      </c>
    </row>
    <row r="150" spans="1:30" x14ac:dyDescent="0.25">
      <c r="A150">
        <v>72</v>
      </c>
      <c r="B150">
        <v>4198</v>
      </c>
      <c r="C150" t="s">
        <v>372</v>
      </c>
      <c r="D150" t="s">
        <v>373</v>
      </c>
      <c r="E150" t="s">
        <v>39</v>
      </c>
      <c r="F150" t="s">
        <v>374</v>
      </c>
      <c r="G150" t="str">
        <f>"200802005167"</f>
        <v>200802005167</v>
      </c>
      <c r="H150" t="s">
        <v>375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50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376</v>
      </c>
    </row>
    <row r="151" spans="1:30" x14ac:dyDescent="0.25">
      <c r="H151" t="s">
        <v>377</v>
      </c>
    </row>
    <row r="152" spans="1:30" x14ac:dyDescent="0.25">
      <c r="A152">
        <v>73</v>
      </c>
      <c r="B152">
        <v>569</v>
      </c>
      <c r="C152" t="s">
        <v>106</v>
      </c>
      <c r="D152" t="s">
        <v>140</v>
      </c>
      <c r="E152" t="s">
        <v>378</v>
      </c>
      <c r="F152" t="s">
        <v>379</v>
      </c>
      <c r="G152" t="str">
        <f>"200812000463"</f>
        <v>200812000463</v>
      </c>
      <c r="H152">
        <v>671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62</v>
      </c>
      <c r="W152">
        <v>434</v>
      </c>
      <c r="X152">
        <v>0</v>
      </c>
      <c r="Z152">
        <v>0</v>
      </c>
      <c r="AA152">
        <v>0</v>
      </c>
      <c r="AB152">
        <v>22</v>
      </c>
      <c r="AC152">
        <v>374</v>
      </c>
      <c r="AD152">
        <v>1709</v>
      </c>
    </row>
    <row r="153" spans="1:30" x14ac:dyDescent="0.25">
      <c r="H153" t="s">
        <v>380</v>
      </c>
    </row>
    <row r="154" spans="1:30" x14ac:dyDescent="0.25">
      <c r="A154">
        <v>74</v>
      </c>
      <c r="B154">
        <v>4694</v>
      </c>
      <c r="C154" t="s">
        <v>381</v>
      </c>
      <c r="D154" t="s">
        <v>223</v>
      </c>
      <c r="E154" t="s">
        <v>107</v>
      </c>
      <c r="F154" t="s">
        <v>382</v>
      </c>
      <c r="G154" t="str">
        <f>"00104236"</f>
        <v>00104236</v>
      </c>
      <c r="H154" t="s">
        <v>383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60</v>
      </c>
      <c r="W154">
        <v>420</v>
      </c>
      <c r="X154">
        <v>0</v>
      </c>
      <c r="Z154">
        <v>0</v>
      </c>
      <c r="AA154">
        <v>0</v>
      </c>
      <c r="AB154">
        <v>24</v>
      </c>
      <c r="AC154">
        <v>408</v>
      </c>
      <c r="AD154" t="s">
        <v>384</v>
      </c>
    </row>
    <row r="155" spans="1:30" x14ac:dyDescent="0.25">
      <c r="H155" t="s">
        <v>385</v>
      </c>
    </row>
    <row r="156" spans="1:30" x14ac:dyDescent="0.25">
      <c r="A156">
        <v>75</v>
      </c>
      <c r="B156">
        <v>6044</v>
      </c>
      <c r="C156" t="s">
        <v>386</v>
      </c>
      <c r="D156" t="s">
        <v>346</v>
      </c>
      <c r="E156" t="s">
        <v>162</v>
      </c>
      <c r="F156" t="s">
        <v>387</v>
      </c>
      <c r="G156" t="str">
        <f>"200905000591"</f>
        <v>200905000591</v>
      </c>
      <c r="H156" t="s">
        <v>388</v>
      </c>
      <c r="I156">
        <v>150</v>
      </c>
      <c r="J156">
        <v>0</v>
      </c>
      <c r="K156">
        <v>0</v>
      </c>
      <c r="L156">
        <v>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60</v>
      </c>
      <c r="W156">
        <v>420</v>
      </c>
      <c r="X156">
        <v>0</v>
      </c>
      <c r="Z156">
        <v>1</v>
      </c>
      <c r="AA156">
        <v>0</v>
      </c>
      <c r="AB156">
        <v>24</v>
      </c>
      <c r="AC156">
        <v>408</v>
      </c>
      <c r="AD156" t="s">
        <v>389</v>
      </c>
    </row>
    <row r="157" spans="1:30" x14ac:dyDescent="0.25">
      <c r="H157" t="s">
        <v>390</v>
      </c>
    </row>
    <row r="158" spans="1:30" x14ac:dyDescent="0.25">
      <c r="A158">
        <v>76</v>
      </c>
      <c r="B158">
        <v>6000</v>
      </c>
      <c r="C158" t="s">
        <v>391</v>
      </c>
      <c r="D158" t="s">
        <v>40</v>
      </c>
      <c r="E158" t="s">
        <v>162</v>
      </c>
      <c r="F158" t="s">
        <v>392</v>
      </c>
      <c r="G158" t="str">
        <f>"00198564"</f>
        <v>00198564</v>
      </c>
      <c r="H158">
        <v>847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60</v>
      </c>
      <c r="W158">
        <v>420</v>
      </c>
      <c r="X158">
        <v>0</v>
      </c>
      <c r="Z158">
        <v>0</v>
      </c>
      <c r="AA158">
        <v>0</v>
      </c>
      <c r="AB158">
        <v>24</v>
      </c>
      <c r="AC158">
        <v>408</v>
      </c>
      <c r="AD158">
        <v>1705</v>
      </c>
    </row>
    <row r="159" spans="1:30" x14ac:dyDescent="0.25">
      <c r="H159" t="s">
        <v>393</v>
      </c>
    </row>
    <row r="160" spans="1:30" x14ac:dyDescent="0.25">
      <c r="A160">
        <v>77</v>
      </c>
      <c r="B160">
        <v>3536</v>
      </c>
      <c r="C160" t="s">
        <v>394</v>
      </c>
      <c r="D160" t="s">
        <v>40</v>
      </c>
      <c r="E160" t="s">
        <v>183</v>
      </c>
      <c r="F160" t="s">
        <v>395</v>
      </c>
      <c r="G160" t="str">
        <f>"201412006996"</f>
        <v>201412006996</v>
      </c>
      <c r="H160" t="s">
        <v>396</v>
      </c>
      <c r="I160">
        <v>150</v>
      </c>
      <c r="J160">
        <v>0</v>
      </c>
      <c r="K160">
        <v>0</v>
      </c>
      <c r="L160">
        <v>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74</v>
      </c>
      <c r="W160">
        <v>518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397</v>
      </c>
    </row>
    <row r="161" spans="1:30" x14ac:dyDescent="0.25">
      <c r="H161" t="s">
        <v>398</v>
      </c>
    </row>
    <row r="162" spans="1:30" x14ac:dyDescent="0.25">
      <c r="A162">
        <v>78</v>
      </c>
      <c r="B162">
        <v>5674</v>
      </c>
      <c r="C162" t="s">
        <v>399</v>
      </c>
      <c r="D162" t="s">
        <v>46</v>
      </c>
      <c r="E162" t="s">
        <v>400</v>
      </c>
      <c r="F162" t="s">
        <v>401</v>
      </c>
      <c r="G162" t="str">
        <f>"201412000589"</f>
        <v>201412000589</v>
      </c>
      <c r="H162" t="s">
        <v>402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67</v>
      </c>
      <c r="W162">
        <v>469</v>
      </c>
      <c r="X162">
        <v>0</v>
      </c>
      <c r="Z162">
        <v>0</v>
      </c>
      <c r="AA162">
        <v>0</v>
      </c>
      <c r="AB162">
        <v>17</v>
      </c>
      <c r="AC162">
        <v>289</v>
      </c>
      <c r="AD162" t="s">
        <v>403</v>
      </c>
    </row>
    <row r="163" spans="1:30" x14ac:dyDescent="0.25">
      <c r="H163" t="s">
        <v>404</v>
      </c>
    </row>
    <row r="164" spans="1:30" x14ac:dyDescent="0.25">
      <c r="A164">
        <v>79</v>
      </c>
      <c r="B164">
        <v>3758</v>
      </c>
      <c r="C164" t="s">
        <v>405</v>
      </c>
      <c r="D164" t="s">
        <v>406</v>
      </c>
      <c r="E164" t="s">
        <v>162</v>
      </c>
      <c r="F164" t="s">
        <v>407</v>
      </c>
      <c r="G164" t="str">
        <f>"201511019062"</f>
        <v>201511019062</v>
      </c>
      <c r="H164" t="s">
        <v>153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30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44</v>
      </c>
      <c r="W164">
        <v>308</v>
      </c>
      <c r="X164">
        <v>6</v>
      </c>
      <c r="Y164">
        <v>1251</v>
      </c>
      <c r="Z164">
        <v>0</v>
      </c>
      <c r="AA164">
        <v>0</v>
      </c>
      <c r="AB164">
        <v>24</v>
      </c>
      <c r="AC164">
        <v>408</v>
      </c>
      <c r="AD164" t="s">
        <v>408</v>
      </c>
    </row>
    <row r="165" spans="1:30" x14ac:dyDescent="0.25">
      <c r="H165">
        <v>1251</v>
      </c>
    </row>
    <row r="166" spans="1:30" x14ac:dyDescent="0.25">
      <c r="A166">
        <v>80</v>
      </c>
      <c r="B166">
        <v>5976</v>
      </c>
      <c r="C166" t="s">
        <v>409</v>
      </c>
      <c r="D166" t="s">
        <v>410</v>
      </c>
      <c r="E166" t="s">
        <v>378</v>
      </c>
      <c r="F166" t="s">
        <v>411</v>
      </c>
      <c r="G166" t="str">
        <f>"201410007539"</f>
        <v>201410007539</v>
      </c>
      <c r="H166" t="s">
        <v>412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413</v>
      </c>
    </row>
    <row r="167" spans="1:30" x14ac:dyDescent="0.25">
      <c r="H167" t="s">
        <v>414</v>
      </c>
    </row>
    <row r="168" spans="1:30" x14ac:dyDescent="0.25">
      <c r="A168">
        <v>81</v>
      </c>
      <c r="B168">
        <v>2113</v>
      </c>
      <c r="C168" t="s">
        <v>415</v>
      </c>
      <c r="D168" t="s">
        <v>335</v>
      </c>
      <c r="E168" t="s">
        <v>39</v>
      </c>
      <c r="F168" t="s">
        <v>416</v>
      </c>
      <c r="G168" t="str">
        <f>"201405000589"</f>
        <v>201405000589</v>
      </c>
      <c r="H168" t="s">
        <v>417</v>
      </c>
      <c r="I168">
        <v>0</v>
      </c>
      <c r="J168">
        <v>0</v>
      </c>
      <c r="K168">
        <v>0</v>
      </c>
      <c r="L168">
        <v>200</v>
      </c>
      <c r="M168">
        <v>0</v>
      </c>
      <c r="N168">
        <v>70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418</v>
      </c>
    </row>
    <row r="169" spans="1:30" x14ac:dyDescent="0.25">
      <c r="H169">
        <v>1247</v>
      </c>
    </row>
    <row r="170" spans="1:30" x14ac:dyDescent="0.25">
      <c r="A170">
        <v>82</v>
      </c>
      <c r="B170">
        <v>5101</v>
      </c>
      <c r="C170" t="s">
        <v>419</v>
      </c>
      <c r="D170" t="s">
        <v>420</v>
      </c>
      <c r="E170" t="s">
        <v>162</v>
      </c>
      <c r="F170" t="s">
        <v>421</v>
      </c>
      <c r="G170" t="str">
        <f>"00140087"</f>
        <v>00140087</v>
      </c>
      <c r="H170" t="s">
        <v>422</v>
      </c>
      <c r="I170">
        <v>150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1</v>
      </c>
      <c r="AA170">
        <v>0</v>
      </c>
      <c r="AB170">
        <v>0</v>
      </c>
      <c r="AC170">
        <v>0</v>
      </c>
      <c r="AD170" t="s">
        <v>423</v>
      </c>
    </row>
    <row r="171" spans="1:30" x14ac:dyDescent="0.25">
      <c r="H171" t="s">
        <v>424</v>
      </c>
    </row>
    <row r="172" spans="1:30" x14ac:dyDescent="0.25">
      <c r="A172">
        <v>83</v>
      </c>
      <c r="B172">
        <v>2722</v>
      </c>
      <c r="C172" t="s">
        <v>425</v>
      </c>
      <c r="D172" t="s">
        <v>140</v>
      </c>
      <c r="E172" t="s">
        <v>162</v>
      </c>
      <c r="F172" t="s">
        <v>426</v>
      </c>
      <c r="G172" t="str">
        <f>"201108000116"</f>
        <v>201108000116</v>
      </c>
      <c r="H172">
        <v>858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50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0</v>
      </c>
      <c r="AB172">
        <v>0</v>
      </c>
      <c r="AC172">
        <v>0</v>
      </c>
      <c r="AD172">
        <v>1696</v>
      </c>
    </row>
    <row r="173" spans="1:30" x14ac:dyDescent="0.25">
      <c r="H173" t="s">
        <v>427</v>
      </c>
    </row>
    <row r="174" spans="1:30" x14ac:dyDescent="0.25">
      <c r="A174">
        <v>84</v>
      </c>
      <c r="B174">
        <v>5545</v>
      </c>
      <c r="C174" t="s">
        <v>428</v>
      </c>
      <c r="D174" t="s">
        <v>107</v>
      </c>
      <c r="E174" t="s">
        <v>429</v>
      </c>
      <c r="F174" t="s">
        <v>430</v>
      </c>
      <c r="G174" t="str">
        <f>"00307727"</f>
        <v>00307727</v>
      </c>
      <c r="H174" t="s">
        <v>431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75</v>
      </c>
      <c r="W174">
        <v>525</v>
      </c>
      <c r="X174">
        <v>0</v>
      </c>
      <c r="Z174">
        <v>0</v>
      </c>
      <c r="AA174">
        <v>0</v>
      </c>
      <c r="AB174">
        <v>0</v>
      </c>
      <c r="AC174">
        <v>0</v>
      </c>
      <c r="AD174" t="s">
        <v>432</v>
      </c>
    </row>
    <row r="175" spans="1:30" x14ac:dyDescent="0.25">
      <c r="H175" t="s">
        <v>433</v>
      </c>
    </row>
    <row r="176" spans="1:30" x14ac:dyDescent="0.25">
      <c r="A176">
        <v>85</v>
      </c>
      <c r="B176">
        <v>2907</v>
      </c>
      <c r="C176" t="s">
        <v>434</v>
      </c>
      <c r="D176" t="s">
        <v>182</v>
      </c>
      <c r="E176" t="s">
        <v>91</v>
      </c>
      <c r="F176" t="s">
        <v>435</v>
      </c>
      <c r="G176" t="str">
        <f>"201406007508"</f>
        <v>201406007508</v>
      </c>
      <c r="H176" t="s">
        <v>436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56</v>
      </c>
      <c r="W176">
        <v>392</v>
      </c>
      <c r="X176">
        <v>0</v>
      </c>
      <c r="Z176">
        <v>0</v>
      </c>
      <c r="AA176">
        <v>0</v>
      </c>
      <c r="AB176">
        <v>24</v>
      </c>
      <c r="AC176">
        <v>408</v>
      </c>
      <c r="AD176" t="s">
        <v>432</v>
      </c>
    </row>
    <row r="177" spans="1:30" x14ac:dyDescent="0.25">
      <c r="H177" t="s">
        <v>437</v>
      </c>
    </row>
    <row r="178" spans="1:30" x14ac:dyDescent="0.25">
      <c r="A178">
        <v>86</v>
      </c>
      <c r="B178">
        <v>3950</v>
      </c>
      <c r="C178" t="s">
        <v>438</v>
      </c>
      <c r="D178" t="s">
        <v>40</v>
      </c>
      <c r="E178" t="s">
        <v>439</v>
      </c>
      <c r="F178" t="s">
        <v>440</v>
      </c>
      <c r="G178" t="str">
        <f>"201406015369"</f>
        <v>201406015369</v>
      </c>
      <c r="H178" t="s">
        <v>441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442</v>
      </c>
    </row>
    <row r="179" spans="1:30" x14ac:dyDescent="0.25">
      <c r="H179" t="s">
        <v>443</v>
      </c>
    </row>
    <row r="180" spans="1:30" x14ac:dyDescent="0.25">
      <c r="A180">
        <v>87</v>
      </c>
      <c r="B180">
        <v>2428</v>
      </c>
      <c r="C180" t="s">
        <v>444</v>
      </c>
      <c r="D180" t="s">
        <v>335</v>
      </c>
      <c r="E180" t="s">
        <v>445</v>
      </c>
      <c r="F180" t="s">
        <v>446</v>
      </c>
      <c r="G180" t="str">
        <f>"00148850"</f>
        <v>00148850</v>
      </c>
      <c r="H180">
        <v>737</v>
      </c>
      <c r="I180">
        <v>0</v>
      </c>
      <c r="J180">
        <v>0</v>
      </c>
      <c r="K180">
        <v>0</v>
      </c>
      <c r="L180">
        <v>200</v>
      </c>
      <c r="M180">
        <v>30</v>
      </c>
      <c r="N180">
        <v>70</v>
      </c>
      <c r="O180">
        <v>0</v>
      </c>
      <c r="P180">
        <v>0</v>
      </c>
      <c r="Q180">
        <v>70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>
        <v>0</v>
      </c>
      <c r="AD180">
        <v>1695</v>
      </c>
    </row>
    <row r="181" spans="1:30" x14ac:dyDescent="0.25">
      <c r="H181" t="s">
        <v>447</v>
      </c>
    </row>
    <row r="182" spans="1:30" x14ac:dyDescent="0.25">
      <c r="A182">
        <v>88</v>
      </c>
      <c r="B182">
        <v>5133</v>
      </c>
      <c r="C182" t="s">
        <v>448</v>
      </c>
      <c r="D182" t="s">
        <v>449</v>
      </c>
      <c r="E182" t="s">
        <v>40</v>
      </c>
      <c r="F182" t="s">
        <v>450</v>
      </c>
      <c r="G182" t="str">
        <f>"201406018512"</f>
        <v>201406018512</v>
      </c>
      <c r="H182">
        <v>836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>
        <v>1694</v>
      </c>
    </row>
    <row r="183" spans="1:30" x14ac:dyDescent="0.25">
      <c r="H183" t="s">
        <v>451</v>
      </c>
    </row>
    <row r="184" spans="1:30" x14ac:dyDescent="0.25">
      <c r="A184">
        <v>89</v>
      </c>
      <c r="B184">
        <v>2279</v>
      </c>
      <c r="C184" t="s">
        <v>452</v>
      </c>
      <c r="D184" t="s">
        <v>453</v>
      </c>
      <c r="E184" t="s">
        <v>454</v>
      </c>
      <c r="F184" t="s">
        <v>455</v>
      </c>
      <c r="G184" t="str">
        <f>"201412004851"</f>
        <v>201412004851</v>
      </c>
      <c r="H184" t="s">
        <v>456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70</v>
      </c>
      <c r="O184">
        <v>30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457</v>
      </c>
    </row>
    <row r="185" spans="1:30" x14ac:dyDescent="0.25">
      <c r="H185">
        <v>1247</v>
      </c>
    </row>
    <row r="186" spans="1:30" x14ac:dyDescent="0.25">
      <c r="A186">
        <v>90</v>
      </c>
      <c r="B186">
        <v>3895</v>
      </c>
      <c r="C186" t="s">
        <v>458</v>
      </c>
      <c r="D186" t="s">
        <v>290</v>
      </c>
      <c r="E186" t="s">
        <v>140</v>
      </c>
      <c r="F186" t="s">
        <v>459</v>
      </c>
      <c r="G186" t="str">
        <f>"00361104"</f>
        <v>00361104</v>
      </c>
      <c r="H186" t="s">
        <v>71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0</v>
      </c>
      <c r="AA186">
        <v>0</v>
      </c>
      <c r="AB186">
        <v>0</v>
      </c>
      <c r="AC186">
        <v>0</v>
      </c>
      <c r="AD186" t="s">
        <v>460</v>
      </c>
    </row>
    <row r="187" spans="1:30" x14ac:dyDescent="0.25">
      <c r="H187">
        <v>1249</v>
      </c>
    </row>
    <row r="188" spans="1:30" x14ac:dyDescent="0.25">
      <c r="A188">
        <v>91</v>
      </c>
      <c r="B188">
        <v>4405</v>
      </c>
      <c r="C188" t="s">
        <v>461</v>
      </c>
      <c r="D188" t="s">
        <v>462</v>
      </c>
      <c r="E188" t="s">
        <v>87</v>
      </c>
      <c r="F188" t="s">
        <v>463</v>
      </c>
      <c r="G188" t="str">
        <f>"00357646"</f>
        <v>00357646</v>
      </c>
      <c r="H188" t="s">
        <v>464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0</v>
      </c>
      <c r="AD188" t="s">
        <v>465</v>
      </c>
    </row>
    <row r="189" spans="1:30" x14ac:dyDescent="0.25">
      <c r="H189" t="s">
        <v>466</v>
      </c>
    </row>
    <row r="190" spans="1:30" x14ac:dyDescent="0.25">
      <c r="A190">
        <v>92</v>
      </c>
      <c r="B190">
        <v>6106</v>
      </c>
      <c r="C190" t="s">
        <v>467</v>
      </c>
      <c r="D190" t="s">
        <v>420</v>
      </c>
      <c r="E190" t="s">
        <v>468</v>
      </c>
      <c r="F190" t="s">
        <v>469</v>
      </c>
      <c r="G190" t="str">
        <f>"00369136"</f>
        <v>00369136</v>
      </c>
      <c r="H190" t="s">
        <v>470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56</v>
      </c>
      <c r="W190">
        <v>392</v>
      </c>
      <c r="X190">
        <v>6</v>
      </c>
      <c r="Y190">
        <v>1251</v>
      </c>
      <c r="Z190">
        <v>0</v>
      </c>
      <c r="AA190">
        <v>0</v>
      </c>
      <c r="AB190">
        <v>14</v>
      </c>
      <c r="AC190">
        <v>238</v>
      </c>
      <c r="AD190" t="s">
        <v>471</v>
      </c>
    </row>
    <row r="191" spans="1:30" x14ac:dyDescent="0.25">
      <c r="H191" t="s">
        <v>472</v>
      </c>
    </row>
    <row r="192" spans="1:30" x14ac:dyDescent="0.25">
      <c r="A192">
        <v>93</v>
      </c>
      <c r="B192">
        <v>6106</v>
      </c>
      <c r="C192" t="s">
        <v>467</v>
      </c>
      <c r="D192" t="s">
        <v>420</v>
      </c>
      <c r="E192" t="s">
        <v>468</v>
      </c>
      <c r="F192" t="s">
        <v>469</v>
      </c>
      <c r="G192" t="str">
        <f>"00369136"</f>
        <v>00369136</v>
      </c>
      <c r="H192" t="s">
        <v>470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56</v>
      </c>
      <c r="W192">
        <v>392</v>
      </c>
      <c r="X192">
        <v>0</v>
      </c>
      <c r="Z192">
        <v>0</v>
      </c>
      <c r="AA192">
        <v>0</v>
      </c>
      <c r="AB192">
        <v>14</v>
      </c>
      <c r="AC192">
        <v>238</v>
      </c>
      <c r="AD192" t="s">
        <v>471</v>
      </c>
    </row>
    <row r="193" spans="1:30" x14ac:dyDescent="0.25">
      <c r="H193" t="s">
        <v>472</v>
      </c>
    </row>
    <row r="194" spans="1:30" x14ac:dyDescent="0.25">
      <c r="A194">
        <v>94</v>
      </c>
      <c r="B194">
        <v>3084</v>
      </c>
      <c r="C194" t="s">
        <v>473</v>
      </c>
      <c r="D194" t="s">
        <v>474</v>
      </c>
      <c r="E194" t="s">
        <v>39</v>
      </c>
      <c r="F194" t="s">
        <v>475</v>
      </c>
      <c r="G194" t="str">
        <f>"00206543"</f>
        <v>00206543</v>
      </c>
      <c r="H194">
        <v>814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50</v>
      </c>
      <c r="O194">
        <v>0</v>
      </c>
      <c r="P194">
        <v>30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>
        <v>1682</v>
      </c>
    </row>
    <row r="195" spans="1:30" x14ac:dyDescent="0.25">
      <c r="H195" t="s">
        <v>476</v>
      </c>
    </row>
    <row r="196" spans="1:30" x14ac:dyDescent="0.25">
      <c r="A196">
        <v>95</v>
      </c>
      <c r="B196">
        <v>5271</v>
      </c>
      <c r="C196" t="s">
        <v>477</v>
      </c>
      <c r="D196" t="s">
        <v>196</v>
      </c>
      <c r="E196" t="s">
        <v>40</v>
      </c>
      <c r="F196" t="s">
        <v>478</v>
      </c>
      <c r="G196" t="str">
        <f>"201402006625"</f>
        <v>201402006625</v>
      </c>
      <c r="H196" t="s">
        <v>17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50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0</v>
      </c>
      <c r="AB196">
        <v>0</v>
      </c>
      <c r="AC196">
        <v>0</v>
      </c>
      <c r="AD196" t="s">
        <v>479</v>
      </c>
    </row>
    <row r="197" spans="1:30" x14ac:dyDescent="0.25">
      <c r="H197" t="s">
        <v>480</v>
      </c>
    </row>
    <row r="198" spans="1:30" x14ac:dyDescent="0.25">
      <c r="A198">
        <v>96</v>
      </c>
      <c r="B198">
        <v>1364</v>
      </c>
      <c r="C198" t="s">
        <v>481</v>
      </c>
      <c r="D198" t="s">
        <v>420</v>
      </c>
      <c r="E198" t="s">
        <v>482</v>
      </c>
      <c r="F198" t="s">
        <v>483</v>
      </c>
      <c r="G198" t="str">
        <f>"200801003186"</f>
        <v>200801003186</v>
      </c>
      <c r="H198">
        <v>792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0</v>
      </c>
      <c r="P198">
        <v>0</v>
      </c>
      <c r="Q198">
        <v>30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>
        <v>0</v>
      </c>
      <c r="AB198">
        <v>0</v>
      </c>
      <c r="AC198">
        <v>0</v>
      </c>
      <c r="AD198">
        <v>1680</v>
      </c>
    </row>
    <row r="199" spans="1:30" x14ac:dyDescent="0.25">
      <c r="H199" t="s">
        <v>484</v>
      </c>
    </row>
    <row r="200" spans="1:30" x14ac:dyDescent="0.25">
      <c r="A200">
        <v>97</v>
      </c>
      <c r="B200">
        <v>5022</v>
      </c>
      <c r="C200" t="s">
        <v>485</v>
      </c>
      <c r="D200" t="s">
        <v>486</v>
      </c>
      <c r="E200" t="s">
        <v>39</v>
      </c>
      <c r="F200" t="s">
        <v>487</v>
      </c>
      <c r="G200" t="str">
        <f>"00224861"</f>
        <v>00224861</v>
      </c>
      <c r="H200" t="s">
        <v>168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70</v>
      </c>
      <c r="O200">
        <v>30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0</v>
      </c>
      <c r="AB200">
        <v>0</v>
      </c>
      <c r="AC200">
        <v>0</v>
      </c>
      <c r="AD200" t="s">
        <v>488</v>
      </c>
    </row>
    <row r="201" spans="1:30" x14ac:dyDescent="0.25">
      <c r="H201" t="s">
        <v>489</v>
      </c>
    </row>
    <row r="202" spans="1:30" x14ac:dyDescent="0.25">
      <c r="A202">
        <v>98</v>
      </c>
      <c r="B202">
        <v>3231</v>
      </c>
      <c r="C202" t="s">
        <v>490</v>
      </c>
      <c r="D202" t="s">
        <v>335</v>
      </c>
      <c r="E202" t="s">
        <v>33</v>
      </c>
      <c r="F202" t="s">
        <v>491</v>
      </c>
      <c r="G202" t="str">
        <f>"00302325"</f>
        <v>00302325</v>
      </c>
      <c r="H202">
        <v>759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70</v>
      </c>
      <c r="O202">
        <v>30</v>
      </c>
      <c r="P202">
        <v>0</v>
      </c>
      <c r="Q202">
        <v>30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>
        <v>1677</v>
      </c>
    </row>
    <row r="203" spans="1:30" x14ac:dyDescent="0.25">
      <c r="H203" t="s">
        <v>492</v>
      </c>
    </row>
    <row r="204" spans="1:30" x14ac:dyDescent="0.25">
      <c r="A204">
        <v>99</v>
      </c>
      <c r="B204">
        <v>4592</v>
      </c>
      <c r="C204" t="s">
        <v>493</v>
      </c>
      <c r="D204" t="s">
        <v>494</v>
      </c>
      <c r="E204" t="s">
        <v>495</v>
      </c>
      <c r="F204" t="s">
        <v>496</v>
      </c>
      <c r="G204" t="str">
        <f>"00278191"</f>
        <v>00278191</v>
      </c>
      <c r="H204" t="s">
        <v>497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498</v>
      </c>
    </row>
    <row r="205" spans="1:30" x14ac:dyDescent="0.25">
      <c r="H205" t="s">
        <v>499</v>
      </c>
    </row>
    <row r="206" spans="1:30" x14ac:dyDescent="0.25">
      <c r="A206">
        <v>100</v>
      </c>
      <c r="B206">
        <v>1634</v>
      </c>
      <c r="C206" t="s">
        <v>500</v>
      </c>
      <c r="D206" t="s">
        <v>91</v>
      </c>
      <c r="E206" t="s">
        <v>238</v>
      </c>
      <c r="F206" t="s">
        <v>501</v>
      </c>
      <c r="G206" t="str">
        <f>"00148504"</f>
        <v>00148504</v>
      </c>
      <c r="H206" t="s">
        <v>502</v>
      </c>
      <c r="I206">
        <v>150</v>
      </c>
      <c r="J206">
        <v>0</v>
      </c>
      <c r="K206">
        <v>0</v>
      </c>
      <c r="L206">
        <v>200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77</v>
      </c>
      <c r="W206">
        <v>539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503</v>
      </c>
    </row>
    <row r="207" spans="1:30" x14ac:dyDescent="0.25">
      <c r="H207" t="s">
        <v>504</v>
      </c>
    </row>
    <row r="208" spans="1:30" x14ac:dyDescent="0.25">
      <c r="A208">
        <v>101</v>
      </c>
      <c r="B208">
        <v>2379</v>
      </c>
      <c r="C208" t="s">
        <v>505</v>
      </c>
      <c r="D208" t="s">
        <v>449</v>
      </c>
      <c r="E208" t="s">
        <v>40</v>
      </c>
      <c r="F208" t="s">
        <v>506</v>
      </c>
      <c r="G208" t="str">
        <f>"201406002882"</f>
        <v>201406002882</v>
      </c>
      <c r="H208" t="s">
        <v>192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50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60</v>
      </c>
      <c r="W208">
        <v>420</v>
      </c>
      <c r="X208">
        <v>0</v>
      </c>
      <c r="Z208">
        <v>0</v>
      </c>
      <c r="AA208">
        <v>0</v>
      </c>
      <c r="AB208">
        <v>24</v>
      </c>
      <c r="AC208">
        <v>408</v>
      </c>
      <c r="AD208" t="s">
        <v>507</v>
      </c>
    </row>
    <row r="209" spans="1:30" x14ac:dyDescent="0.25">
      <c r="H209">
        <v>1248</v>
      </c>
    </row>
    <row r="210" spans="1:30" x14ac:dyDescent="0.25">
      <c r="A210">
        <v>102</v>
      </c>
      <c r="B210">
        <v>3605</v>
      </c>
      <c r="C210" t="s">
        <v>508</v>
      </c>
      <c r="D210" t="s">
        <v>420</v>
      </c>
      <c r="E210" t="s">
        <v>509</v>
      </c>
      <c r="F210" t="s">
        <v>510</v>
      </c>
      <c r="G210" t="str">
        <f>"200805000393"</f>
        <v>200805000393</v>
      </c>
      <c r="H210">
        <v>814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60</v>
      </c>
      <c r="W210">
        <v>420</v>
      </c>
      <c r="X210">
        <v>0</v>
      </c>
      <c r="Z210">
        <v>0</v>
      </c>
      <c r="AA210">
        <v>0</v>
      </c>
      <c r="AB210">
        <v>24</v>
      </c>
      <c r="AC210">
        <v>408</v>
      </c>
      <c r="AD210">
        <v>1672</v>
      </c>
    </row>
    <row r="211" spans="1:30" x14ac:dyDescent="0.25">
      <c r="H211" t="s">
        <v>511</v>
      </c>
    </row>
    <row r="212" spans="1:30" x14ac:dyDescent="0.25">
      <c r="A212">
        <v>103</v>
      </c>
      <c r="B212">
        <v>3967</v>
      </c>
      <c r="C212" t="s">
        <v>512</v>
      </c>
      <c r="D212" t="s">
        <v>51</v>
      </c>
      <c r="E212" t="s">
        <v>495</v>
      </c>
      <c r="F212" t="s">
        <v>513</v>
      </c>
      <c r="G212" t="str">
        <f>"201406018395"</f>
        <v>201406018395</v>
      </c>
      <c r="H212" t="s">
        <v>514</v>
      </c>
      <c r="I212">
        <v>0</v>
      </c>
      <c r="J212">
        <v>0</v>
      </c>
      <c r="K212">
        <v>0</v>
      </c>
      <c r="L212">
        <v>260</v>
      </c>
      <c r="M212">
        <v>0</v>
      </c>
      <c r="N212">
        <v>70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515</v>
      </c>
    </row>
    <row r="213" spans="1:30" x14ac:dyDescent="0.25">
      <c r="H213" t="s">
        <v>516</v>
      </c>
    </row>
    <row r="214" spans="1:30" x14ac:dyDescent="0.25">
      <c r="A214">
        <v>104</v>
      </c>
      <c r="B214">
        <v>872</v>
      </c>
      <c r="C214" t="s">
        <v>517</v>
      </c>
      <c r="D214" t="s">
        <v>420</v>
      </c>
      <c r="E214" t="s">
        <v>39</v>
      </c>
      <c r="F214" t="s">
        <v>518</v>
      </c>
      <c r="G214" t="str">
        <f>"00257331"</f>
        <v>00257331</v>
      </c>
      <c r="H214" t="s">
        <v>519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50</v>
      </c>
      <c r="O214">
        <v>0</v>
      </c>
      <c r="P214">
        <v>0</v>
      </c>
      <c r="Q214">
        <v>30</v>
      </c>
      <c r="R214">
        <v>0</v>
      </c>
      <c r="S214">
        <v>0</v>
      </c>
      <c r="T214">
        <v>0</v>
      </c>
      <c r="U214">
        <v>0</v>
      </c>
      <c r="V214">
        <v>60</v>
      </c>
      <c r="W214">
        <v>420</v>
      </c>
      <c r="X214">
        <v>0</v>
      </c>
      <c r="Z214">
        <v>2</v>
      </c>
      <c r="AA214">
        <v>0</v>
      </c>
      <c r="AB214">
        <v>24</v>
      </c>
      <c r="AC214">
        <v>408</v>
      </c>
      <c r="AD214" t="s">
        <v>520</v>
      </c>
    </row>
    <row r="215" spans="1:30" x14ac:dyDescent="0.25">
      <c r="H215" t="s">
        <v>521</v>
      </c>
    </row>
    <row r="216" spans="1:30" x14ac:dyDescent="0.25">
      <c r="A216">
        <v>105</v>
      </c>
      <c r="B216">
        <v>1635</v>
      </c>
      <c r="C216" t="s">
        <v>522</v>
      </c>
      <c r="D216" t="s">
        <v>40</v>
      </c>
      <c r="E216" t="s">
        <v>144</v>
      </c>
      <c r="F216" t="s">
        <v>523</v>
      </c>
      <c r="G216" t="str">
        <f>"201405002185"</f>
        <v>201405002185</v>
      </c>
      <c r="H216">
        <v>825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50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>
        <v>1663</v>
      </c>
    </row>
    <row r="217" spans="1:30" x14ac:dyDescent="0.25">
      <c r="H217" t="s">
        <v>524</v>
      </c>
    </row>
    <row r="218" spans="1:30" x14ac:dyDescent="0.25">
      <c r="A218">
        <v>106</v>
      </c>
      <c r="B218">
        <v>1829</v>
      </c>
      <c r="C218" t="s">
        <v>525</v>
      </c>
      <c r="D218" t="s">
        <v>526</v>
      </c>
      <c r="E218" t="s">
        <v>140</v>
      </c>
      <c r="F218" t="s">
        <v>527</v>
      </c>
      <c r="G218" t="str">
        <f>"200802009750"</f>
        <v>200802009750</v>
      </c>
      <c r="H218" t="s">
        <v>514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50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36</v>
      </c>
      <c r="W218">
        <v>252</v>
      </c>
      <c r="X218">
        <v>0</v>
      </c>
      <c r="Z218">
        <v>0</v>
      </c>
      <c r="AA218">
        <v>0</v>
      </c>
      <c r="AB218">
        <v>24</v>
      </c>
      <c r="AC218">
        <v>408</v>
      </c>
      <c r="AD218" t="s">
        <v>528</v>
      </c>
    </row>
    <row r="219" spans="1:30" x14ac:dyDescent="0.25">
      <c r="H219" t="s">
        <v>529</v>
      </c>
    </row>
    <row r="220" spans="1:30" x14ac:dyDescent="0.25">
      <c r="A220">
        <v>107</v>
      </c>
      <c r="B220">
        <v>4559</v>
      </c>
      <c r="C220" t="s">
        <v>530</v>
      </c>
      <c r="D220" t="s">
        <v>335</v>
      </c>
      <c r="E220" t="s">
        <v>151</v>
      </c>
      <c r="F220" t="s">
        <v>531</v>
      </c>
      <c r="G220" t="str">
        <f>"200801002294"</f>
        <v>200801002294</v>
      </c>
      <c r="H220">
        <v>803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70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>
        <v>1661</v>
      </c>
    </row>
    <row r="221" spans="1:30" x14ac:dyDescent="0.25">
      <c r="H221" t="s">
        <v>532</v>
      </c>
    </row>
    <row r="222" spans="1:30" x14ac:dyDescent="0.25">
      <c r="A222">
        <v>108</v>
      </c>
      <c r="B222">
        <v>1355</v>
      </c>
      <c r="C222" t="s">
        <v>533</v>
      </c>
      <c r="D222" t="s">
        <v>534</v>
      </c>
      <c r="E222" t="s">
        <v>535</v>
      </c>
      <c r="F222" t="s">
        <v>536</v>
      </c>
      <c r="G222" t="str">
        <f>"00228441"</f>
        <v>00228441</v>
      </c>
      <c r="H222">
        <v>803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70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84</v>
      </c>
      <c r="W222">
        <v>588</v>
      </c>
      <c r="X222">
        <v>0</v>
      </c>
      <c r="Z222">
        <v>0</v>
      </c>
      <c r="AA222">
        <v>0</v>
      </c>
      <c r="AB222">
        <v>0</v>
      </c>
      <c r="AC222">
        <v>0</v>
      </c>
      <c r="AD222">
        <v>1661</v>
      </c>
    </row>
    <row r="223" spans="1:30" x14ac:dyDescent="0.25">
      <c r="H223" t="s">
        <v>537</v>
      </c>
    </row>
    <row r="224" spans="1:30" x14ac:dyDescent="0.25">
      <c r="A224">
        <v>109</v>
      </c>
      <c r="B224">
        <v>2165</v>
      </c>
      <c r="C224" t="s">
        <v>538</v>
      </c>
      <c r="D224" t="s">
        <v>223</v>
      </c>
      <c r="E224" t="s">
        <v>33</v>
      </c>
      <c r="F224" t="s">
        <v>539</v>
      </c>
      <c r="G224" t="str">
        <f>"201406016078"</f>
        <v>201406016078</v>
      </c>
      <c r="H224" t="s">
        <v>540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70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57</v>
      </c>
      <c r="W224">
        <v>399</v>
      </c>
      <c r="X224">
        <v>0</v>
      </c>
      <c r="Z224">
        <v>0</v>
      </c>
      <c r="AA224">
        <v>0</v>
      </c>
      <c r="AB224">
        <v>18</v>
      </c>
      <c r="AC224">
        <v>306</v>
      </c>
      <c r="AD224" t="s">
        <v>541</v>
      </c>
    </row>
    <row r="225" spans="1:30" x14ac:dyDescent="0.25">
      <c r="H225" t="s">
        <v>542</v>
      </c>
    </row>
    <row r="226" spans="1:30" x14ac:dyDescent="0.25">
      <c r="A226">
        <v>110</v>
      </c>
      <c r="B226">
        <v>742</v>
      </c>
      <c r="C226" t="s">
        <v>543</v>
      </c>
      <c r="D226" t="s">
        <v>544</v>
      </c>
      <c r="E226" t="s">
        <v>47</v>
      </c>
      <c r="F226" t="s">
        <v>545</v>
      </c>
      <c r="G226" t="str">
        <f>"201405002255"</f>
        <v>201405002255</v>
      </c>
      <c r="H226">
        <v>902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70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74</v>
      </c>
      <c r="W226">
        <v>518</v>
      </c>
      <c r="X226">
        <v>0</v>
      </c>
      <c r="Z226">
        <v>0</v>
      </c>
      <c r="AA226">
        <v>0</v>
      </c>
      <c r="AB226">
        <v>10</v>
      </c>
      <c r="AC226">
        <v>170</v>
      </c>
      <c r="AD226">
        <v>1660</v>
      </c>
    </row>
    <row r="227" spans="1:30" x14ac:dyDescent="0.25">
      <c r="H227" t="s">
        <v>546</v>
      </c>
    </row>
    <row r="228" spans="1:30" x14ac:dyDescent="0.25">
      <c r="A228">
        <v>111</v>
      </c>
      <c r="B228">
        <v>510</v>
      </c>
      <c r="C228" t="s">
        <v>425</v>
      </c>
      <c r="D228" t="s">
        <v>547</v>
      </c>
      <c r="E228" t="s">
        <v>162</v>
      </c>
      <c r="F228" t="s">
        <v>548</v>
      </c>
      <c r="G228" t="str">
        <f>"201506001641"</f>
        <v>201506001641</v>
      </c>
      <c r="H228">
        <v>792</v>
      </c>
      <c r="I228">
        <v>150</v>
      </c>
      <c r="J228">
        <v>0</v>
      </c>
      <c r="K228">
        <v>0</v>
      </c>
      <c r="L228">
        <v>0</v>
      </c>
      <c r="M228">
        <v>100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0</v>
      </c>
      <c r="AA228">
        <v>0</v>
      </c>
      <c r="AB228">
        <v>0</v>
      </c>
      <c r="AC228">
        <v>0</v>
      </c>
      <c r="AD228">
        <v>1660</v>
      </c>
    </row>
    <row r="229" spans="1:30" x14ac:dyDescent="0.25">
      <c r="H229" t="s">
        <v>549</v>
      </c>
    </row>
    <row r="230" spans="1:30" x14ac:dyDescent="0.25">
      <c r="A230">
        <v>112</v>
      </c>
      <c r="B230">
        <v>833</v>
      </c>
      <c r="C230" t="s">
        <v>550</v>
      </c>
      <c r="D230" t="s">
        <v>551</v>
      </c>
      <c r="E230" t="s">
        <v>495</v>
      </c>
      <c r="F230" t="s">
        <v>552</v>
      </c>
      <c r="G230" t="str">
        <f>"201406013029"</f>
        <v>201406013029</v>
      </c>
      <c r="H230" t="s">
        <v>553</v>
      </c>
      <c r="I230">
        <v>0</v>
      </c>
      <c r="J230">
        <v>0</v>
      </c>
      <c r="K230">
        <v>0</v>
      </c>
      <c r="L230">
        <v>200</v>
      </c>
      <c r="M230">
        <v>30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84</v>
      </c>
      <c r="W230">
        <v>588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554</v>
      </c>
    </row>
    <row r="231" spans="1:30" x14ac:dyDescent="0.25">
      <c r="H231" t="s">
        <v>555</v>
      </c>
    </row>
    <row r="232" spans="1:30" x14ac:dyDescent="0.25">
      <c r="A232">
        <v>113</v>
      </c>
      <c r="B232">
        <v>5759</v>
      </c>
      <c r="C232" t="s">
        <v>556</v>
      </c>
      <c r="D232" t="s">
        <v>47</v>
      </c>
      <c r="E232" t="s">
        <v>107</v>
      </c>
      <c r="F232" t="s">
        <v>557</v>
      </c>
      <c r="G232" t="str">
        <f>"00324350"</f>
        <v>00324350</v>
      </c>
      <c r="H232" t="s">
        <v>332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70</v>
      </c>
      <c r="O232">
        <v>50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28</v>
      </c>
      <c r="W232">
        <v>196</v>
      </c>
      <c r="X232">
        <v>0</v>
      </c>
      <c r="Z232">
        <v>0</v>
      </c>
      <c r="AA232">
        <v>0</v>
      </c>
      <c r="AB232">
        <v>24</v>
      </c>
      <c r="AC232">
        <v>408</v>
      </c>
      <c r="AD232" t="s">
        <v>558</v>
      </c>
    </row>
    <row r="233" spans="1:30" x14ac:dyDescent="0.25">
      <c r="H233" t="s">
        <v>559</v>
      </c>
    </row>
    <row r="234" spans="1:30" x14ac:dyDescent="0.25">
      <c r="A234">
        <v>114</v>
      </c>
      <c r="B234">
        <v>1098</v>
      </c>
      <c r="C234" t="s">
        <v>560</v>
      </c>
      <c r="D234" t="s">
        <v>151</v>
      </c>
      <c r="E234" t="s">
        <v>40</v>
      </c>
      <c r="F234" t="s">
        <v>561</v>
      </c>
      <c r="G234" t="str">
        <f>"200809000863"</f>
        <v>200809000863</v>
      </c>
      <c r="H234" t="s">
        <v>562</v>
      </c>
      <c r="I234">
        <v>0</v>
      </c>
      <c r="J234">
        <v>0</v>
      </c>
      <c r="K234">
        <v>0</v>
      </c>
      <c r="L234">
        <v>200</v>
      </c>
      <c r="M234">
        <v>0</v>
      </c>
      <c r="N234">
        <v>70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42</v>
      </c>
      <c r="W234">
        <v>294</v>
      </c>
      <c r="X234">
        <v>0</v>
      </c>
      <c r="Z234">
        <v>0</v>
      </c>
      <c r="AA234">
        <v>0</v>
      </c>
      <c r="AB234">
        <v>24</v>
      </c>
      <c r="AC234">
        <v>408</v>
      </c>
      <c r="AD234" t="s">
        <v>563</v>
      </c>
    </row>
    <row r="235" spans="1:30" x14ac:dyDescent="0.25">
      <c r="H235" t="s">
        <v>564</v>
      </c>
    </row>
    <row r="236" spans="1:30" x14ac:dyDescent="0.25">
      <c r="A236">
        <v>115</v>
      </c>
      <c r="B236">
        <v>2964</v>
      </c>
      <c r="C236" t="s">
        <v>565</v>
      </c>
      <c r="D236" t="s">
        <v>566</v>
      </c>
      <c r="E236" t="s">
        <v>290</v>
      </c>
      <c r="F236" t="s">
        <v>567</v>
      </c>
      <c r="G236" t="str">
        <f>"201405000626"</f>
        <v>201405000626</v>
      </c>
      <c r="H236" t="s">
        <v>568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70</v>
      </c>
      <c r="O236">
        <v>30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84</v>
      </c>
      <c r="W236">
        <v>588</v>
      </c>
      <c r="X236">
        <v>0</v>
      </c>
      <c r="Z236">
        <v>0</v>
      </c>
      <c r="AA236">
        <v>0</v>
      </c>
      <c r="AB236">
        <v>0</v>
      </c>
      <c r="AC236">
        <v>0</v>
      </c>
      <c r="AD236" t="s">
        <v>569</v>
      </c>
    </row>
    <row r="237" spans="1:30" x14ac:dyDescent="0.25">
      <c r="H237" t="s">
        <v>570</v>
      </c>
    </row>
    <row r="238" spans="1:30" x14ac:dyDescent="0.25">
      <c r="A238">
        <v>116</v>
      </c>
      <c r="B238">
        <v>4045</v>
      </c>
      <c r="C238" t="s">
        <v>571</v>
      </c>
      <c r="D238" t="s">
        <v>572</v>
      </c>
      <c r="E238" t="s">
        <v>162</v>
      </c>
      <c r="F238" t="s">
        <v>573</v>
      </c>
      <c r="G238" t="str">
        <f>"00040118"</f>
        <v>00040118</v>
      </c>
      <c r="H238" t="s">
        <v>574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35</v>
      </c>
      <c r="W238">
        <v>245</v>
      </c>
      <c r="X238">
        <v>0</v>
      </c>
      <c r="Z238">
        <v>0</v>
      </c>
      <c r="AA238">
        <v>0</v>
      </c>
      <c r="AB238">
        <v>24</v>
      </c>
      <c r="AC238">
        <v>408</v>
      </c>
      <c r="AD238" t="s">
        <v>575</v>
      </c>
    </row>
    <row r="239" spans="1:30" x14ac:dyDescent="0.25">
      <c r="H239" t="s">
        <v>576</v>
      </c>
    </row>
    <row r="240" spans="1:30" x14ac:dyDescent="0.25">
      <c r="A240">
        <v>117</v>
      </c>
      <c r="B240">
        <v>2765</v>
      </c>
      <c r="C240" t="s">
        <v>577</v>
      </c>
      <c r="D240" t="s">
        <v>98</v>
      </c>
      <c r="E240" t="s">
        <v>99</v>
      </c>
      <c r="F240" t="s">
        <v>578</v>
      </c>
      <c r="G240" t="str">
        <f>"00145062"</f>
        <v>00145062</v>
      </c>
      <c r="H240">
        <v>792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0</v>
      </c>
      <c r="AB240">
        <v>0</v>
      </c>
      <c r="AC240">
        <v>0</v>
      </c>
      <c r="AD240">
        <v>1650</v>
      </c>
    </row>
    <row r="241" spans="1:30" x14ac:dyDescent="0.25">
      <c r="H241" t="s">
        <v>579</v>
      </c>
    </row>
    <row r="242" spans="1:30" x14ac:dyDescent="0.25">
      <c r="A242">
        <v>118</v>
      </c>
      <c r="B242">
        <v>935</v>
      </c>
      <c r="C242" t="s">
        <v>580</v>
      </c>
      <c r="D242" t="s">
        <v>182</v>
      </c>
      <c r="E242" t="s">
        <v>202</v>
      </c>
      <c r="F242" t="s">
        <v>581</v>
      </c>
      <c r="G242" t="str">
        <f>"00158714"</f>
        <v>00158714</v>
      </c>
      <c r="H242">
        <v>792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70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0</v>
      </c>
      <c r="Z242">
        <v>0</v>
      </c>
      <c r="AA242">
        <v>0</v>
      </c>
      <c r="AB242">
        <v>0</v>
      </c>
      <c r="AC242">
        <v>0</v>
      </c>
      <c r="AD242">
        <v>1650</v>
      </c>
    </row>
    <row r="243" spans="1:30" x14ac:dyDescent="0.25">
      <c r="H243" t="s">
        <v>582</v>
      </c>
    </row>
    <row r="244" spans="1:30" x14ac:dyDescent="0.25">
      <c r="A244">
        <v>119</v>
      </c>
      <c r="B244">
        <v>124</v>
      </c>
      <c r="C244" t="s">
        <v>583</v>
      </c>
      <c r="D244" t="s">
        <v>140</v>
      </c>
      <c r="E244" t="s">
        <v>115</v>
      </c>
      <c r="F244" t="s">
        <v>584</v>
      </c>
      <c r="G244" t="str">
        <f>"00289373"</f>
        <v>00289373</v>
      </c>
      <c r="H244" t="s">
        <v>204</v>
      </c>
      <c r="I244">
        <v>0</v>
      </c>
      <c r="J244">
        <v>0</v>
      </c>
      <c r="K244">
        <v>0</v>
      </c>
      <c r="L244">
        <v>260</v>
      </c>
      <c r="M244">
        <v>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84</v>
      </c>
      <c r="W244">
        <v>588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585</v>
      </c>
    </row>
    <row r="245" spans="1:30" x14ac:dyDescent="0.25">
      <c r="H245">
        <v>1249</v>
      </c>
    </row>
    <row r="246" spans="1:30" x14ac:dyDescent="0.25">
      <c r="A246">
        <v>120</v>
      </c>
      <c r="B246">
        <v>2186</v>
      </c>
      <c r="C246" t="s">
        <v>586</v>
      </c>
      <c r="D246" t="s">
        <v>151</v>
      </c>
      <c r="E246" t="s">
        <v>107</v>
      </c>
      <c r="F246" t="s">
        <v>587</v>
      </c>
      <c r="G246" t="str">
        <f>"200801001559"</f>
        <v>200801001559</v>
      </c>
      <c r="H246" t="s">
        <v>402</v>
      </c>
      <c r="I246">
        <v>150</v>
      </c>
      <c r="J246">
        <v>0</v>
      </c>
      <c r="K246">
        <v>0</v>
      </c>
      <c r="L246">
        <v>200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79</v>
      </c>
      <c r="W246">
        <v>553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585</v>
      </c>
    </row>
    <row r="247" spans="1:30" x14ac:dyDescent="0.25">
      <c r="H247" t="s">
        <v>588</v>
      </c>
    </row>
    <row r="248" spans="1:30" x14ac:dyDescent="0.25">
      <c r="A248">
        <v>121</v>
      </c>
      <c r="B248">
        <v>3273</v>
      </c>
      <c r="C248" t="s">
        <v>589</v>
      </c>
      <c r="D248" t="s">
        <v>590</v>
      </c>
      <c r="E248" t="s">
        <v>591</v>
      </c>
      <c r="F248" t="s">
        <v>592</v>
      </c>
      <c r="G248" t="str">
        <f>"201412007011"</f>
        <v>201412007011</v>
      </c>
      <c r="H248">
        <v>825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79</v>
      </c>
      <c r="W248">
        <v>553</v>
      </c>
      <c r="X248">
        <v>0</v>
      </c>
      <c r="Z248">
        <v>0</v>
      </c>
      <c r="AA248">
        <v>0</v>
      </c>
      <c r="AB248">
        <v>0</v>
      </c>
      <c r="AC248">
        <v>0</v>
      </c>
      <c r="AD248">
        <v>1648</v>
      </c>
    </row>
    <row r="249" spans="1:30" x14ac:dyDescent="0.25">
      <c r="H249" t="s">
        <v>593</v>
      </c>
    </row>
    <row r="250" spans="1:30" x14ac:dyDescent="0.25">
      <c r="A250">
        <v>122</v>
      </c>
      <c r="B250">
        <v>1586</v>
      </c>
      <c r="C250" t="s">
        <v>594</v>
      </c>
      <c r="D250" t="s">
        <v>14</v>
      </c>
      <c r="E250" t="s">
        <v>595</v>
      </c>
      <c r="F250" t="s">
        <v>596</v>
      </c>
      <c r="G250" t="str">
        <f>"200903000743"</f>
        <v>200903000743</v>
      </c>
      <c r="H250">
        <v>770</v>
      </c>
      <c r="I250">
        <v>0</v>
      </c>
      <c r="J250">
        <v>0</v>
      </c>
      <c r="K250">
        <v>0</v>
      </c>
      <c r="L250">
        <v>260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0</v>
      </c>
      <c r="AA250">
        <v>0</v>
      </c>
      <c r="AB250">
        <v>0</v>
      </c>
      <c r="AC250">
        <v>0</v>
      </c>
      <c r="AD250">
        <v>1648</v>
      </c>
    </row>
    <row r="251" spans="1:30" x14ac:dyDescent="0.25">
      <c r="H251" t="s">
        <v>597</v>
      </c>
    </row>
    <row r="252" spans="1:30" x14ac:dyDescent="0.25">
      <c r="A252">
        <v>123</v>
      </c>
      <c r="B252">
        <v>17</v>
      </c>
      <c r="C252" t="s">
        <v>598</v>
      </c>
      <c r="D252" t="s">
        <v>599</v>
      </c>
      <c r="E252" t="s">
        <v>183</v>
      </c>
      <c r="F252" t="s">
        <v>600</v>
      </c>
      <c r="G252" t="str">
        <f>"201406003081"</f>
        <v>201406003081</v>
      </c>
      <c r="H252" t="s">
        <v>601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0</v>
      </c>
      <c r="P252">
        <v>0</v>
      </c>
      <c r="Q252">
        <v>50</v>
      </c>
      <c r="R252">
        <v>30</v>
      </c>
      <c r="S252">
        <v>0</v>
      </c>
      <c r="T252">
        <v>0</v>
      </c>
      <c r="U252">
        <v>0</v>
      </c>
      <c r="V252">
        <v>59</v>
      </c>
      <c r="W252">
        <v>413</v>
      </c>
      <c r="X252">
        <v>0</v>
      </c>
      <c r="Z252">
        <v>0</v>
      </c>
      <c r="AA252">
        <v>0</v>
      </c>
      <c r="AB252">
        <v>1</v>
      </c>
      <c r="AC252">
        <v>17</v>
      </c>
      <c r="AD252" t="s">
        <v>602</v>
      </c>
    </row>
    <row r="253" spans="1:30" x14ac:dyDescent="0.25">
      <c r="H253" t="s">
        <v>603</v>
      </c>
    </row>
    <row r="254" spans="1:30" x14ac:dyDescent="0.25">
      <c r="A254">
        <v>124</v>
      </c>
      <c r="B254">
        <v>149</v>
      </c>
      <c r="C254" t="s">
        <v>604</v>
      </c>
      <c r="D254" t="s">
        <v>605</v>
      </c>
      <c r="E254" t="s">
        <v>47</v>
      </c>
      <c r="F254" t="s">
        <v>606</v>
      </c>
      <c r="G254" t="str">
        <f>"00119672"</f>
        <v>00119672</v>
      </c>
      <c r="H254" t="s">
        <v>607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70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608</v>
      </c>
    </row>
    <row r="255" spans="1:30" x14ac:dyDescent="0.25">
      <c r="H255" t="s">
        <v>609</v>
      </c>
    </row>
    <row r="256" spans="1:30" x14ac:dyDescent="0.25">
      <c r="A256">
        <v>125</v>
      </c>
      <c r="B256">
        <v>2487</v>
      </c>
      <c r="C256" t="s">
        <v>610</v>
      </c>
      <c r="D256" t="s">
        <v>166</v>
      </c>
      <c r="E256" t="s">
        <v>40</v>
      </c>
      <c r="F256" t="s">
        <v>611</v>
      </c>
      <c r="G256" t="str">
        <f>"00323342"</f>
        <v>00323342</v>
      </c>
      <c r="H256" t="s">
        <v>612</v>
      </c>
      <c r="I256">
        <v>150</v>
      </c>
      <c r="J256">
        <v>0</v>
      </c>
      <c r="K256">
        <v>0</v>
      </c>
      <c r="L256">
        <v>0</v>
      </c>
      <c r="M256">
        <v>0</v>
      </c>
      <c r="N256">
        <v>50</v>
      </c>
      <c r="O256">
        <v>0</v>
      </c>
      <c r="P256">
        <v>0</v>
      </c>
      <c r="Q256">
        <v>30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>
        <v>0</v>
      </c>
      <c r="AD256" t="s">
        <v>613</v>
      </c>
    </row>
    <row r="257" spans="1:30" x14ac:dyDescent="0.25">
      <c r="H257" t="s">
        <v>614</v>
      </c>
    </row>
    <row r="258" spans="1:30" x14ac:dyDescent="0.25">
      <c r="A258">
        <v>126</v>
      </c>
      <c r="B258">
        <v>1844</v>
      </c>
      <c r="C258" t="s">
        <v>615</v>
      </c>
      <c r="D258" t="s">
        <v>616</v>
      </c>
      <c r="E258" t="s">
        <v>51</v>
      </c>
      <c r="F258" t="s">
        <v>617</v>
      </c>
      <c r="G258" t="str">
        <f>"200712004494"</f>
        <v>200712004494</v>
      </c>
      <c r="H258" t="s">
        <v>321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70</v>
      </c>
      <c r="O258">
        <v>0</v>
      </c>
      <c r="P258">
        <v>0</v>
      </c>
      <c r="Q258">
        <v>30</v>
      </c>
      <c r="R258">
        <v>50</v>
      </c>
      <c r="S258">
        <v>0</v>
      </c>
      <c r="T258">
        <v>0</v>
      </c>
      <c r="U258">
        <v>0</v>
      </c>
      <c r="V258">
        <v>78</v>
      </c>
      <c r="W258">
        <v>546</v>
      </c>
      <c r="X258">
        <v>0</v>
      </c>
      <c r="Z258">
        <v>0</v>
      </c>
      <c r="AA258">
        <v>0</v>
      </c>
      <c r="AB258">
        <v>6</v>
      </c>
      <c r="AC258">
        <v>102</v>
      </c>
      <c r="AD258" t="s">
        <v>618</v>
      </c>
    </row>
    <row r="259" spans="1:30" x14ac:dyDescent="0.25">
      <c r="H259" t="s">
        <v>619</v>
      </c>
    </row>
    <row r="260" spans="1:30" x14ac:dyDescent="0.25">
      <c r="A260">
        <v>127</v>
      </c>
      <c r="B260">
        <v>880</v>
      </c>
      <c r="C260" t="s">
        <v>620</v>
      </c>
      <c r="D260" t="s">
        <v>40</v>
      </c>
      <c r="E260" t="s">
        <v>47</v>
      </c>
      <c r="F260" t="s">
        <v>621</v>
      </c>
      <c r="G260" t="str">
        <f>"00300010"</f>
        <v>00300010</v>
      </c>
      <c r="H260" t="s">
        <v>622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60</v>
      </c>
      <c r="W260">
        <v>420</v>
      </c>
      <c r="X260">
        <v>0</v>
      </c>
      <c r="Z260">
        <v>0</v>
      </c>
      <c r="AA260">
        <v>0</v>
      </c>
      <c r="AB260">
        <v>24</v>
      </c>
      <c r="AC260">
        <v>408</v>
      </c>
      <c r="AD260" t="s">
        <v>623</v>
      </c>
    </row>
    <row r="261" spans="1:30" x14ac:dyDescent="0.25">
      <c r="H261" t="s">
        <v>624</v>
      </c>
    </row>
    <row r="262" spans="1:30" x14ac:dyDescent="0.25">
      <c r="A262">
        <v>128</v>
      </c>
      <c r="B262">
        <v>3745</v>
      </c>
      <c r="C262" t="s">
        <v>625</v>
      </c>
      <c r="D262" t="s">
        <v>151</v>
      </c>
      <c r="E262" t="s">
        <v>140</v>
      </c>
      <c r="F262" t="s">
        <v>626</v>
      </c>
      <c r="G262" t="str">
        <f>"200712006201"</f>
        <v>200712006201</v>
      </c>
      <c r="H262">
        <v>825</v>
      </c>
      <c r="I262">
        <v>0</v>
      </c>
      <c r="J262">
        <v>0</v>
      </c>
      <c r="K262">
        <v>0</v>
      </c>
      <c r="L262">
        <v>200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0</v>
      </c>
      <c r="Z262">
        <v>0</v>
      </c>
      <c r="AA262">
        <v>0</v>
      </c>
      <c r="AB262">
        <v>0</v>
      </c>
      <c r="AC262">
        <v>0</v>
      </c>
      <c r="AD262">
        <v>1643</v>
      </c>
    </row>
    <row r="263" spans="1:30" x14ac:dyDescent="0.25">
      <c r="H263" t="s">
        <v>627</v>
      </c>
    </row>
    <row r="264" spans="1:30" x14ac:dyDescent="0.25">
      <c r="A264">
        <v>129</v>
      </c>
      <c r="B264">
        <v>5438</v>
      </c>
      <c r="C264" t="s">
        <v>628</v>
      </c>
      <c r="D264" t="s">
        <v>629</v>
      </c>
      <c r="E264" t="s">
        <v>162</v>
      </c>
      <c r="F264" t="s">
        <v>630</v>
      </c>
      <c r="G264" t="str">
        <f>"201406013290"</f>
        <v>201406013290</v>
      </c>
      <c r="H264">
        <v>803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50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0</v>
      </c>
      <c r="AA264">
        <v>0</v>
      </c>
      <c r="AB264">
        <v>0</v>
      </c>
      <c r="AC264">
        <v>0</v>
      </c>
      <c r="AD264">
        <v>1641</v>
      </c>
    </row>
    <row r="265" spans="1:30" x14ac:dyDescent="0.25">
      <c r="H265" t="s">
        <v>631</v>
      </c>
    </row>
    <row r="266" spans="1:30" x14ac:dyDescent="0.25">
      <c r="A266">
        <v>130</v>
      </c>
      <c r="B266">
        <v>352</v>
      </c>
      <c r="C266" t="s">
        <v>632</v>
      </c>
      <c r="D266" t="s">
        <v>633</v>
      </c>
      <c r="E266" t="s">
        <v>162</v>
      </c>
      <c r="F266" t="s">
        <v>634</v>
      </c>
      <c r="G266" t="str">
        <f>"201405001374"</f>
        <v>201405001374</v>
      </c>
      <c r="H266">
        <v>803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50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0</v>
      </c>
      <c r="Z266">
        <v>1</v>
      </c>
      <c r="AA266">
        <v>0</v>
      </c>
      <c r="AB266">
        <v>0</v>
      </c>
      <c r="AC266">
        <v>0</v>
      </c>
      <c r="AD266">
        <v>1641</v>
      </c>
    </row>
    <row r="267" spans="1:30" x14ac:dyDescent="0.25">
      <c r="H267" t="s">
        <v>635</v>
      </c>
    </row>
    <row r="268" spans="1:30" x14ac:dyDescent="0.25">
      <c r="A268">
        <v>131</v>
      </c>
      <c r="B268">
        <v>3208</v>
      </c>
      <c r="C268" t="s">
        <v>349</v>
      </c>
      <c r="D268" t="s">
        <v>636</v>
      </c>
      <c r="E268" t="s">
        <v>107</v>
      </c>
      <c r="F268" t="s">
        <v>637</v>
      </c>
      <c r="G268" t="str">
        <f>"00150433"</f>
        <v>00150433</v>
      </c>
      <c r="H268" t="s">
        <v>638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70</v>
      </c>
      <c r="O268">
        <v>30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32</v>
      </c>
      <c r="W268">
        <v>224</v>
      </c>
      <c r="X268">
        <v>0</v>
      </c>
      <c r="Z268">
        <v>0</v>
      </c>
      <c r="AA268">
        <v>0</v>
      </c>
      <c r="AB268">
        <v>24</v>
      </c>
      <c r="AC268">
        <v>408</v>
      </c>
      <c r="AD268" t="s">
        <v>639</v>
      </c>
    </row>
    <row r="269" spans="1:30" x14ac:dyDescent="0.25">
      <c r="H269" t="s">
        <v>640</v>
      </c>
    </row>
    <row r="270" spans="1:30" x14ac:dyDescent="0.25">
      <c r="A270">
        <v>132</v>
      </c>
      <c r="B270">
        <v>2274</v>
      </c>
      <c r="C270" t="s">
        <v>467</v>
      </c>
      <c r="D270" t="s">
        <v>182</v>
      </c>
      <c r="E270" t="s">
        <v>183</v>
      </c>
      <c r="F270" t="s">
        <v>641</v>
      </c>
      <c r="G270" t="str">
        <f>"00316099"</f>
        <v>00316099</v>
      </c>
      <c r="H270" t="s">
        <v>642</v>
      </c>
      <c r="I270">
        <v>150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60</v>
      </c>
      <c r="W270">
        <v>420</v>
      </c>
      <c r="X270">
        <v>0</v>
      </c>
      <c r="Z270">
        <v>1</v>
      </c>
      <c r="AA270">
        <v>0</v>
      </c>
      <c r="AB270">
        <v>24</v>
      </c>
      <c r="AC270">
        <v>408</v>
      </c>
      <c r="AD270" t="s">
        <v>643</v>
      </c>
    </row>
    <row r="271" spans="1:30" x14ac:dyDescent="0.25">
      <c r="H271" t="s">
        <v>644</v>
      </c>
    </row>
    <row r="272" spans="1:30" x14ac:dyDescent="0.25">
      <c r="A272">
        <v>133</v>
      </c>
      <c r="B272">
        <v>814</v>
      </c>
      <c r="C272" t="s">
        <v>645</v>
      </c>
      <c r="D272" t="s">
        <v>646</v>
      </c>
      <c r="E272" t="s">
        <v>51</v>
      </c>
      <c r="F272" t="s">
        <v>647</v>
      </c>
      <c r="G272" t="str">
        <f>"201402000896"</f>
        <v>201402000896</v>
      </c>
      <c r="H272">
        <v>781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>
        <v>1639</v>
      </c>
    </row>
    <row r="273" spans="1:30" x14ac:dyDescent="0.25">
      <c r="H273" t="s">
        <v>648</v>
      </c>
    </row>
    <row r="274" spans="1:30" x14ac:dyDescent="0.25">
      <c r="A274">
        <v>134</v>
      </c>
      <c r="B274">
        <v>3224</v>
      </c>
      <c r="C274" t="s">
        <v>649</v>
      </c>
      <c r="D274" t="s">
        <v>650</v>
      </c>
      <c r="E274" t="s">
        <v>47</v>
      </c>
      <c r="F274" t="s">
        <v>651</v>
      </c>
      <c r="G274" t="str">
        <f>"00146030"</f>
        <v>00146030</v>
      </c>
      <c r="H274" t="s">
        <v>168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30</v>
      </c>
      <c r="W274">
        <v>210</v>
      </c>
      <c r="X274">
        <v>0</v>
      </c>
      <c r="Z274">
        <v>0</v>
      </c>
      <c r="AA274">
        <v>0</v>
      </c>
      <c r="AB274">
        <v>24</v>
      </c>
      <c r="AC274">
        <v>408</v>
      </c>
      <c r="AD274" t="s">
        <v>652</v>
      </c>
    </row>
    <row r="275" spans="1:30" x14ac:dyDescent="0.25">
      <c r="H275" t="s">
        <v>653</v>
      </c>
    </row>
    <row r="276" spans="1:30" x14ac:dyDescent="0.25">
      <c r="A276">
        <v>135</v>
      </c>
      <c r="B276">
        <v>5420</v>
      </c>
      <c r="C276" t="s">
        <v>654</v>
      </c>
      <c r="D276" t="s">
        <v>526</v>
      </c>
      <c r="E276" t="s">
        <v>509</v>
      </c>
      <c r="F276" t="s">
        <v>655</v>
      </c>
      <c r="G276" t="str">
        <f>"201101000120"</f>
        <v>201101000120</v>
      </c>
      <c r="H276">
        <v>770</v>
      </c>
      <c r="I276">
        <v>0</v>
      </c>
      <c r="J276">
        <v>0</v>
      </c>
      <c r="K276">
        <v>0</v>
      </c>
      <c r="L276">
        <v>200</v>
      </c>
      <c r="M276">
        <v>0</v>
      </c>
      <c r="N276">
        <v>50</v>
      </c>
      <c r="O276">
        <v>0</v>
      </c>
      <c r="P276">
        <v>0</v>
      </c>
      <c r="Q276">
        <v>0</v>
      </c>
      <c r="R276">
        <v>30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>
        <v>1638</v>
      </c>
    </row>
    <row r="277" spans="1:30" x14ac:dyDescent="0.25">
      <c r="H277" t="s">
        <v>656</v>
      </c>
    </row>
    <row r="278" spans="1:30" x14ac:dyDescent="0.25">
      <c r="A278">
        <v>136</v>
      </c>
      <c r="B278">
        <v>1596</v>
      </c>
      <c r="C278" t="s">
        <v>657</v>
      </c>
      <c r="D278" t="s">
        <v>182</v>
      </c>
      <c r="E278" t="s">
        <v>400</v>
      </c>
      <c r="F278" t="s">
        <v>658</v>
      </c>
      <c r="G278" t="str">
        <f>"200802007340"</f>
        <v>200802007340</v>
      </c>
      <c r="H278">
        <v>803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50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25</v>
      </c>
      <c r="W278">
        <v>175</v>
      </c>
      <c r="X278">
        <v>0</v>
      </c>
      <c r="Z278">
        <v>2</v>
      </c>
      <c r="AA278">
        <v>0</v>
      </c>
      <c r="AB278">
        <v>24</v>
      </c>
      <c r="AC278">
        <v>408</v>
      </c>
      <c r="AD278">
        <v>1636</v>
      </c>
    </row>
    <row r="279" spans="1:30" x14ac:dyDescent="0.25">
      <c r="H279" t="s">
        <v>659</v>
      </c>
    </row>
    <row r="280" spans="1:30" x14ac:dyDescent="0.25">
      <c r="A280">
        <v>137</v>
      </c>
      <c r="B280">
        <v>1255</v>
      </c>
      <c r="C280" t="s">
        <v>660</v>
      </c>
      <c r="D280" t="s">
        <v>661</v>
      </c>
      <c r="E280" t="s">
        <v>40</v>
      </c>
      <c r="F280" t="s">
        <v>662</v>
      </c>
      <c r="G280" t="str">
        <f>"201406003176"</f>
        <v>201406003176</v>
      </c>
      <c r="H280">
        <v>748</v>
      </c>
      <c r="I280">
        <v>0</v>
      </c>
      <c r="J280">
        <v>0</v>
      </c>
      <c r="K280">
        <v>0</v>
      </c>
      <c r="L280">
        <v>200</v>
      </c>
      <c r="M280">
        <v>30</v>
      </c>
      <c r="N280">
        <v>70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>
        <v>1636</v>
      </c>
    </row>
    <row r="281" spans="1:30" x14ac:dyDescent="0.25">
      <c r="H281" t="s">
        <v>663</v>
      </c>
    </row>
    <row r="282" spans="1:30" x14ac:dyDescent="0.25">
      <c r="A282">
        <v>138</v>
      </c>
      <c r="B282">
        <v>5257</v>
      </c>
      <c r="C282" t="s">
        <v>664</v>
      </c>
      <c r="D282" t="s">
        <v>665</v>
      </c>
      <c r="E282" t="s">
        <v>51</v>
      </c>
      <c r="F282" t="s">
        <v>666</v>
      </c>
      <c r="G282" t="str">
        <f>"201512004395"</f>
        <v>201512004395</v>
      </c>
      <c r="H282" t="s">
        <v>667</v>
      </c>
      <c r="I282">
        <v>150</v>
      </c>
      <c r="J282">
        <v>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38</v>
      </c>
      <c r="W282">
        <v>266</v>
      </c>
      <c r="X282">
        <v>0</v>
      </c>
      <c r="Z282">
        <v>0</v>
      </c>
      <c r="AA282">
        <v>0</v>
      </c>
      <c r="AB282">
        <v>24</v>
      </c>
      <c r="AC282">
        <v>408</v>
      </c>
      <c r="AD282" t="s">
        <v>668</v>
      </c>
    </row>
    <row r="283" spans="1:30" x14ac:dyDescent="0.25">
      <c r="H283" t="s">
        <v>669</v>
      </c>
    </row>
    <row r="284" spans="1:30" x14ac:dyDescent="0.25">
      <c r="A284">
        <v>139</v>
      </c>
      <c r="B284">
        <v>889</v>
      </c>
      <c r="C284" t="s">
        <v>670</v>
      </c>
      <c r="D284" t="s">
        <v>14</v>
      </c>
      <c r="E284" t="s">
        <v>40</v>
      </c>
      <c r="F284" t="s">
        <v>671</v>
      </c>
      <c r="G284" t="str">
        <f>"00299250"</f>
        <v>00299250</v>
      </c>
      <c r="H284" t="s">
        <v>672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70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60</v>
      </c>
      <c r="W284">
        <v>420</v>
      </c>
      <c r="X284">
        <v>0</v>
      </c>
      <c r="Z284">
        <v>0</v>
      </c>
      <c r="AA284">
        <v>0</v>
      </c>
      <c r="AB284">
        <v>24</v>
      </c>
      <c r="AC284">
        <v>408</v>
      </c>
      <c r="AD284" t="s">
        <v>673</v>
      </c>
    </row>
    <row r="285" spans="1:30" x14ac:dyDescent="0.25">
      <c r="H285" t="s">
        <v>521</v>
      </c>
    </row>
    <row r="286" spans="1:30" x14ac:dyDescent="0.25">
      <c r="A286">
        <v>140</v>
      </c>
      <c r="B286">
        <v>5854</v>
      </c>
      <c r="C286" t="s">
        <v>674</v>
      </c>
      <c r="D286" t="s">
        <v>665</v>
      </c>
      <c r="E286" t="s">
        <v>162</v>
      </c>
      <c r="F286" t="s">
        <v>675</v>
      </c>
      <c r="G286" t="str">
        <f>"201406011084"</f>
        <v>201406011084</v>
      </c>
      <c r="H286">
        <v>770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0</v>
      </c>
      <c r="AA286">
        <v>0</v>
      </c>
      <c r="AB286">
        <v>0</v>
      </c>
      <c r="AC286">
        <v>0</v>
      </c>
      <c r="AD286">
        <v>1628</v>
      </c>
    </row>
    <row r="287" spans="1:30" x14ac:dyDescent="0.25">
      <c r="H287" t="s">
        <v>676</v>
      </c>
    </row>
    <row r="288" spans="1:30" x14ac:dyDescent="0.25">
      <c r="A288">
        <v>141</v>
      </c>
      <c r="B288">
        <v>6139</v>
      </c>
      <c r="C288" t="s">
        <v>62</v>
      </c>
      <c r="D288" t="s">
        <v>677</v>
      </c>
      <c r="E288" t="s">
        <v>39</v>
      </c>
      <c r="F288" t="s">
        <v>678</v>
      </c>
      <c r="G288" t="str">
        <f>"00368359"</f>
        <v>00368359</v>
      </c>
      <c r="H288">
        <v>770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60</v>
      </c>
      <c r="W288">
        <v>420</v>
      </c>
      <c r="X288">
        <v>0</v>
      </c>
      <c r="Z288">
        <v>0</v>
      </c>
      <c r="AA288">
        <v>0</v>
      </c>
      <c r="AB288">
        <v>24</v>
      </c>
      <c r="AC288">
        <v>408</v>
      </c>
      <c r="AD288">
        <v>1628</v>
      </c>
    </row>
    <row r="289" spans="1:30" x14ac:dyDescent="0.25">
      <c r="H289" t="s">
        <v>679</v>
      </c>
    </row>
    <row r="290" spans="1:30" x14ac:dyDescent="0.25">
      <c r="A290">
        <v>142</v>
      </c>
      <c r="B290">
        <v>3041</v>
      </c>
      <c r="C290" t="s">
        <v>680</v>
      </c>
      <c r="D290" t="s">
        <v>681</v>
      </c>
      <c r="E290" t="s">
        <v>39</v>
      </c>
      <c r="F290" t="s">
        <v>682</v>
      </c>
      <c r="G290" t="str">
        <f>"201604003097"</f>
        <v>201604003097</v>
      </c>
      <c r="H290">
        <v>770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60</v>
      </c>
      <c r="W290">
        <v>420</v>
      </c>
      <c r="X290">
        <v>0</v>
      </c>
      <c r="Z290">
        <v>0</v>
      </c>
      <c r="AA290">
        <v>0</v>
      </c>
      <c r="AB290">
        <v>24</v>
      </c>
      <c r="AC290">
        <v>408</v>
      </c>
      <c r="AD290">
        <v>1628</v>
      </c>
    </row>
    <row r="291" spans="1:30" x14ac:dyDescent="0.25">
      <c r="H291" t="s">
        <v>683</v>
      </c>
    </row>
    <row r="292" spans="1:30" x14ac:dyDescent="0.25">
      <c r="A292">
        <v>143</v>
      </c>
      <c r="B292">
        <v>5858</v>
      </c>
      <c r="C292" t="s">
        <v>684</v>
      </c>
      <c r="D292" t="s">
        <v>216</v>
      </c>
      <c r="E292" t="s">
        <v>685</v>
      </c>
      <c r="F292" t="s">
        <v>686</v>
      </c>
      <c r="G292" t="str">
        <f>"200802007141"</f>
        <v>200802007141</v>
      </c>
      <c r="H292">
        <v>792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70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51</v>
      </c>
      <c r="W292">
        <v>357</v>
      </c>
      <c r="X292">
        <v>0</v>
      </c>
      <c r="Z292">
        <v>0</v>
      </c>
      <c r="AA292">
        <v>0</v>
      </c>
      <c r="AB292">
        <v>24</v>
      </c>
      <c r="AC292">
        <v>408</v>
      </c>
      <c r="AD292">
        <v>1627</v>
      </c>
    </row>
    <row r="293" spans="1:30" x14ac:dyDescent="0.25">
      <c r="H293" t="s">
        <v>687</v>
      </c>
    </row>
    <row r="294" spans="1:30" x14ac:dyDescent="0.25">
      <c r="A294">
        <v>144</v>
      </c>
      <c r="B294">
        <v>4933</v>
      </c>
      <c r="C294" t="s">
        <v>688</v>
      </c>
      <c r="D294" t="s">
        <v>166</v>
      </c>
      <c r="E294" t="s">
        <v>251</v>
      </c>
      <c r="F294" t="s">
        <v>689</v>
      </c>
      <c r="G294" t="str">
        <f>"201412000599"</f>
        <v>201412000599</v>
      </c>
      <c r="H294" t="s">
        <v>690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70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84</v>
      </c>
      <c r="W294">
        <v>588</v>
      </c>
      <c r="X294">
        <v>0</v>
      </c>
      <c r="Z294">
        <v>0</v>
      </c>
      <c r="AA294">
        <v>0</v>
      </c>
      <c r="AB294">
        <v>0</v>
      </c>
      <c r="AC294">
        <v>0</v>
      </c>
      <c r="AD294" t="s">
        <v>691</v>
      </c>
    </row>
    <row r="295" spans="1:30" x14ac:dyDescent="0.25">
      <c r="H295" t="s">
        <v>692</v>
      </c>
    </row>
    <row r="296" spans="1:30" x14ac:dyDescent="0.25">
      <c r="A296">
        <v>145</v>
      </c>
      <c r="B296">
        <v>1483</v>
      </c>
      <c r="C296" t="s">
        <v>693</v>
      </c>
      <c r="D296" t="s">
        <v>694</v>
      </c>
      <c r="E296" t="s">
        <v>40</v>
      </c>
      <c r="F296" t="s">
        <v>695</v>
      </c>
      <c r="G296" t="str">
        <f>"00161850"</f>
        <v>00161850</v>
      </c>
      <c r="H296" t="s">
        <v>696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30</v>
      </c>
      <c r="T296">
        <v>0</v>
      </c>
      <c r="U296">
        <v>0</v>
      </c>
      <c r="V296">
        <v>84</v>
      </c>
      <c r="W296">
        <v>588</v>
      </c>
      <c r="X296">
        <v>0</v>
      </c>
      <c r="Z296">
        <v>0</v>
      </c>
      <c r="AA296">
        <v>0</v>
      </c>
      <c r="AB296">
        <v>0</v>
      </c>
      <c r="AC296">
        <v>0</v>
      </c>
      <c r="AD296" t="s">
        <v>697</v>
      </c>
    </row>
    <row r="297" spans="1:30" x14ac:dyDescent="0.25">
      <c r="H297">
        <v>1250</v>
      </c>
    </row>
    <row r="298" spans="1:30" x14ac:dyDescent="0.25">
      <c r="A298">
        <v>146</v>
      </c>
      <c r="B298">
        <v>4776</v>
      </c>
      <c r="C298" t="s">
        <v>698</v>
      </c>
      <c r="D298" t="s">
        <v>699</v>
      </c>
      <c r="E298" t="s">
        <v>151</v>
      </c>
      <c r="F298" t="s">
        <v>700</v>
      </c>
      <c r="G298" t="str">
        <f>"201511013175"</f>
        <v>201511013175</v>
      </c>
      <c r="H298" t="s">
        <v>293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70</v>
      </c>
      <c r="O298">
        <v>30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701</v>
      </c>
    </row>
    <row r="299" spans="1:30" x14ac:dyDescent="0.25">
      <c r="H299" t="s">
        <v>702</v>
      </c>
    </row>
    <row r="300" spans="1:30" x14ac:dyDescent="0.25">
      <c r="A300">
        <v>147</v>
      </c>
      <c r="B300">
        <v>1514</v>
      </c>
      <c r="C300" t="s">
        <v>703</v>
      </c>
      <c r="D300" t="s">
        <v>572</v>
      </c>
      <c r="E300" t="s">
        <v>91</v>
      </c>
      <c r="F300" t="s">
        <v>704</v>
      </c>
      <c r="G300" t="str">
        <f>"201409001567"</f>
        <v>201409001567</v>
      </c>
      <c r="H300" t="s">
        <v>705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60</v>
      </c>
      <c r="W300">
        <v>420</v>
      </c>
      <c r="X300">
        <v>0</v>
      </c>
      <c r="Z300">
        <v>0</v>
      </c>
      <c r="AA300">
        <v>0</v>
      </c>
      <c r="AB300">
        <v>24</v>
      </c>
      <c r="AC300">
        <v>408</v>
      </c>
      <c r="AD300" t="s">
        <v>706</v>
      </c>
    </row>
    <row r="301" spans="1:30" x14ac:dyDescent="0.25">
      <c r="H301" t="s">
        <v>707</v>
      </c>
    </row>
    <row r="302" spans="1:30" x14ac:dyDescent="0.25">
      <c r="A302">
        <v>148</v>
      </c>
      <c r="B302">
        <v>1086</v>
      </c>
      <c r="C302" t="s">
        <v>708</v>
      </c>
      <c r="D302" t="s">
        <v>140</v>
      </c>
      <c r="E302" t="s">
        <v>39</v>
      </c>
      <c r="F302" t="s">
        <v>709</v>
      </c>
      <c r="G302" t="str">
        <f>"00260529"</f>
        <v>00260529</v>
      </c>
      <c r="H302" t="s">
        <v>710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60</v>
      </c>
      <c r="W302">
        <v>420</v>
      </c>
      <c r="X302">
        <v>0</v>
      </c>
      <c r="Z302">
        <v>0</v>
      </c>
      <c r="AA302">
        <v>0</v>
      </c>
      <c r="AB302">
        <v>24</v>
      </c>
      <c r="AC302">
        <v>408</v>
      </c>
      <c r="AD302" t="s">
        <v>711</v>
      </c>
    </row>
    <row r="303" spans="1:30" x14ac:dyDescent="0.25">
      <c r="H303" t="s">
        <v>712</v>
      </c>
    </row>
    <row r="304" spans="1:30" x14ac:dyDescent="0.25">
      <c r="A304">
        <v>149</v>
      </c>
      <c r="B304">
        <v>4289</v>
      </c>
      <c r="C304" t="s">
        <v>713</v>
      </c>
      <c r="D304" t="s">
        <v>714</v>
      </c>
      <c r="E304" t="s">
        <v>47</v>
      </c>
      <c r="F304" t="s">
        <v>715</v>
      </c>
      <c r="G304" t="str">
        <f>"200712001855"</f>
        <v>200712001855</v>
      </c>
      <c r="H304" t="s">
        <v>362</v>
      </c>
      <c r="I304">
        <v>0</v>
      </c>
      <c r="J304">
        <v>0</v>
      </c>
      <c r="K304">
        <v>0</v>
      </c>
      <c r="L304">
        <v>0</v>
      </c>
      <c r="M304">
        <v>100</v>
      </c>
      <c r="N304">
        <v>70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0</v>
      </c>
      <c r="AA304">
        <v>0</v>
      </c>
      <c r="AB304">
        <v>0</v>
      </c>
      <c r="AC304">
        <v>0</v>
      </c>
      <c r="AD304" t="s">
        <v>716</v>
      </c>
    </row>
    <row r="305" spans="1:30" x14ac:dyDescent="0.25">
      <c r="H305" t="s">
        <v>521</v>
      </c>
    </row>
    <row r="306" spans="1:30" x14ac:dyDescent="0.25">
      <c r="A306">
        <v>150</v>
      </c>
      <c r="B306">
        <v>3750</v>
      </c>
      <c r="C306" t="s">
        <v>717</v>
      </c>
      <c r="D306" t="s">
        <v>694</v>
      </c>
      <c r="E306" t="s">
        <v>290</v>
      </c>
      <c r="F306" t="s">
        <v>718</v>
      </c>
      <c r="G306" t="str">
        <f>"201406012865"</f>
        <v>201406012865</v>
      </c>
      <c r="H306">
        <v>759</v>
      </c>
      <c r="I306">
        <v>0</v>
      </c>
      <c r="J306">
        <v>0</v>
      </c>
      <c r="K306">
        <v>0</v>
      </c>
      <c r="L306">
        <v>200</v>
      </c>
      <c r="M306">
        <v>0</v>
      </c>
      <c r="N306">
        <v>70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>
        <v>1617</v>
      </c>
    </row>
    <row r="307" spans="1:30" x14ac:dyDescent="0.25">
      <c r="H307" t="s">
        <v>719</v>
      </c>
    </row>
    <row r="308" spans="1:30" x14ac:dyDescent="0.25">
      <c r="A308">
        <v>151</v>
      </c>
      <c r="B308">
        <v>612</v>
      </c>
      <c r="C308" t="s">
        <v>720</v>
      </c>
      <c r="D308" t="s">
        <v>151</v>
      </c>
      <c r="E308" t="s">
        <v>40</v>
      </c>
      <c r="F308" t="s">
        <v>721</v>
      </c>
      <c r="G308" t="str">
        <f>"200805000997"</f>
        <v>200805000997</v>
      </c>
      <c r="H308">
        <v>759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60</v>
      </c>
      <c r="W308">
        <v>420</v>
      </c>
      <c r="X308">
        <v>0</v>
      </c>
      <c r="Z308">
        <v>0</v>
      </c>
      <c r="AA308">
        <v>0</v>
      </c>
      <c r="AB308">
        <v>24</v>
      </c>
      <c r="AC308">
        <v>408</v>
      </c>
      <c r="AD308">
        <v>1617</v>
      </c>
    </row>
    <row r="309" spans="1:30" x14ac:dyDescent="0.25">
      <c r="H309">
        <v>1247</v>
      </c>
    </row>
    <row r="310" spans="1:30" x14ac:dyDescent="0.25">
      <c r="A310">
        <v>152</v>
      </c>
      <c r="B310">
        <v>5260</v>
      </c>
      <c r="C310" t="s">
        <v>722</v>
      </c>
      <c r="D310" t="s">
        <v>723</v>
      </c>
      <c r="E310" t="s">
        <v>107</v>
      </c>
      <c r="F310" t="s">
        <v>724</v>
      </c>
      <c r="G310" t="str">
        <f>"201406017351"</f>
        <v>201406017351</v>
      </c>
      <c r="H310">
        <v>748</v>
      </c>
      <c r="I310">
        <v>0</v>
      </c>
      <c r="J310">
        <v>0</v>
      </c>
      <c r="K310">
        <v>0</v>
      </c>
      <c r="L310">
        <v>200</v>
      </c>
      <c r="M310">
        <v>0</v>
      </c>
      <c r="N310">
        <v>50</v>
      </c>
      <c r="O310">
        <v>30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84</v>
      </c>
      <c r="W310">
        <v>588</v>
      </c>
      <c r="X310">
        <v>0</v>
      </c>
      <c r="Z310">
        <v>0</v>
      </c>
      <c r="AA310">
        <v>0</v>
      </c>
      <c r="AB310">
        <v>0</v>
      </c>
      <c r="AC310">
        <v>0</v>
      </c>
      <c r="AD310">
        <v>1616</v>
      </c>
    </row>
    <row r="311" spans="1:30" x14ac:dyDescent="0.25">
      <c r="H311" t="s">
        <v>725</v>
      </c>
    </row>
    <row r="312" spans="1:30" x14ac:dyDescent="0.25">
      <c r="A312">
        <v>153</v>
      </c>
      <c r="B312">
        <v>2451</v>
      </c>
      <c r="C312" t="s">
        <v>726</v>
      </c>
      <c r="D312" t="s">
        <v>335</v>
      </c>
      <c r="E312" t="s">
        <v>40</v>
      </c>
      <c r="F312" t="s">
        <v>727</v>
      </c>
      <c r="G312" t="str">
        <f>"200803000272"</f>
        <v>200803000272</v>
      </c>
      <c r="H312">
        <v>847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70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73</v>
      </c>
      <c r="W312">
        <v>511</v>
      </c>
      <c r="X312">
        <v>0</v>
      </c>
      <c r="Z312">
        <v>0</v>
      </c>
      <c r="AA312">
        <v>0</v>
      </c>
      <c r="AB312">
        <v>11</v>
      </c>
      <c r="AC312">
        <v>187</v>
      </c>
      <c r="AD312">
        <v>1615</v>
      </c>
    </row>
    <row r="313" spans="1:30" x14ac:dyDescent="0.25">
      <c r="H313" t="s">
        <v>728</v>
      </c>
    </row>
    <row r="314" spans="1:30" x14ac:dyDescent="0.25">
      <c r="A314">
        <v>154</v>
      </c>
      <c r="B314">
        <v>70</v>
      </c>
      <c r="C314" t="s">
        <v>729</v>
      </c>
      <c r="D314" t="s">
        <v>40</v>
      </c>
      <c r="E314" t="s">
        <v>108</v>
      </c>
      <c r="F314" t="s">
        <v>730</v>
      </c>
      <c r="G314" t="str">
        <f>"200801011532"</f>
        <v>200801011532</v>
      </c>
      <c r="H314" t="s">
        <v>519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30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60</v>
      </c>
      <c r="W314">
        <v>420</v>
      </c>
      <c r="X314">
        <v>0</v>
      </c>
      <c r="Z314">
        <v>0</v>
      </c>
      <c r="AA314">
        <v>0</v>
      </c>
      <c r="AB314">
        <v>24</v>
      </c>
      <c r="AC314">
        <v>408</v>
      </c>
      <c r="AD314" t="s">
        <v>731</v>
      </c>
    </row>
    <row r="315" spans="1:30" x14ac:dyDescent="0.25">
      <c r="H315" t="s">
        <v>521</v>
      </c>
    </row>
    <row r="316" spans="1:30" x14ac:dyDescent="0.25">
      <c r="A316">
        <v>155</v>
      </c>
      <c r="B316">
        <v>1163</v>
      </c>
      <c r="C316" t="s">
        <v>732</v>
      </c>
      <c r="D316" t="s">
        <v>733</v>
      </c>
      <c r="E316" t="s">
        <v>190</v>
      </c>
      <c r="F316" t="s">
        <v>734</v>
      </c>
      <c r="G316" t="str">
        <f>"200802006233"</f>
        <v>200802006233</v>
      </c>
      <c r="H316" t="s">
        <v>735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51</v>
      </c>
      <c r="W316">
        <v>357</v>
      </c>
      <c r="X316">
        <v>0</v>
      </c>
      <c r="Z316">
        <v>0</v>
      </c>
      <c r="AA316">
        <v>0</v>
      </c>
      <c r="AB316">
        <v>24</v>
      </c>
      <c r="AC316">
        <v>408</v>
      </c>
      <c r="AD316" t="s">
        <v>736</v>
      </c>
    </row>
    <row r="317" spans="1:30" x14ac:dyDescent="0.25">
      <c r="H317" t="s">
        <v>737</v>
      </c>
    </row>
    <row r="318" spans="1:30" x14ac:dyDescent="0.25">
      <c r="A318">
        <v>156</v>
      </c>
      <c r="B318">
        <v>706</v>
      </c>
      <c r="C318" t="s">
        <v>738</v>
      </c>
      <c r="D318" t="s">
        <v>685</v>
      </c>
      <c r="E318" t="s">
        <v>162</v>
      </c>
      <c r="F318" t="s">
        <v>739</v>
      </c>
      <c r="G318" t="str">
        <f>"00151086"</f>
        <v>00151086</v>
      </c>
      <c r="H318" t="s">
        <v>740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70</v>
      </c>
      <c r="O318">
        <v>30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60</v>
      </c>
      <c r="W318">
        <v>420</v>
      </c>
      <c r="X318">
        <v>0</v>
      </c>
      <c r="Z318">
        <v>0</v>
      </c>
      <c r="AA318">
        <v>0</v>
      </c>
      <c r="AB318">
        <v>24</v>
      </c>
      <c r="AC318">
        <v>408</v>
      </c>
      <c r="AD318" t="s">
        <v>741</v>
      </c>
    </row>
    <row r="319" spans="1:30" x14ac:dyDescent="0.25">
      <c r="H319" t="s">
        <v>742</v>
      </c>
    </row>
    <row r="320" spans="1:30" x14ac:dyDescent="0.25">
      <c r="A320">
        <v>157</v>
      </c>
      <c r="B320">
        <v>6276</v>
      </c>
      <c r="C320" t="s">
        <v>670</v>
      </c>
      <c r="D320" t="s">
        <v>196</v>
      </c>
      <c r="E320" t="s">
        <v>40</v>
      </c>
      <c r="F320" t="s">
        <v>743</v>
      </c>
      <c r="G320" t="str">
        <f>"00370679"</f>
        <v>00370679</v>
      </c>
      <c r="H320">
        <v>715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60</v>
      </c>
      <c r="W320">
        <v>420</v>
      </c>
      <c r="X320">
        <v>0</v>
      </c>
      <c r="Z320">
        <v>0</v>
      </c>
      <c r="AA320">
        <v>0</v>
      </c>
      <c r="AB320">
        <v>24</v>
      </c>
      <c r="AC320">
        <v>408</v>
      </c>
      <c r="AD320">
        <v>1613</v>
      </c>
    </row>
    <row r="321" spans="1:30" x14ac:dyDescent="0.25">
      <c r="H321" t="s">
        <v>521</v>
      </c>
    </row>
    <row r="322" spans="1:30" x14ac:dyDescent="0.25">
      <c r="A322">
        <v>158</v>
      </c>
      <c r="B322">
        <v>1716</v>
      </c>
      <c r="C322" t="s">
        <v>744</v>
      </c>
      <c r="D322" t="s">
        <v>694</v>
      </c>
      <c r="E322" t="s">
        <v>91</v>
      </c>
      <c r="F322" t="s">
        <v>745</v>
      </c>
      <c r="G322" t="str">
        <f>"00320785"</f>
        <v>00320785</v>
      </c>
      <c r="H322">
        <v>1001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83</v>
      </c>
      <c r="W322">
        <v>581</v>
      </c>
      <c r="X322">
        <v>0</v>
      </c>
      <c r="Z322">
        <v>0</v>
      </c>
      <c r="AA322">
        <v>0</v>
      </c>
      <c r="AB322">
        <v>0</v>
      </c>
      <c r="AC322">
        <v>0</v>
      </c>
      <c r="AD322">
        <v>1612</v>
      </c>
    </row>
    <row r="323" spans="1:30" x14ac:dyDescent="0.25">
      <c r="H323" t="s">
        <v>746</v>
      </c>
    </row>
    <row r="324" spans="1:30" x14ac:dyDescent="0.25">
      <c r="A324">
        <v>159</v>
      </c>
      <c r="B324">
        <v>3735</v>
      </c>
      <c r="C324" t="s">
        <v>747</v>
      </c>
      <c r="D324" t="s">
        <v>190</v>
      </c>
      <c r="E324" t="s">
        <v>151</v>
      </c>
      <c r="F324" t="s">
        <v>748</v>
      </c>
      <c r="G324" t="str">
        <f>"201406002151"</f>
        <v>201406002151</v>
      </c>
      <c r="H324">
        <v>836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78</v>
      </c>
      <c r="W324">
        <v>546</v>
      </c>
      <c r="X324">
        <v>0</v>
      </c>
      <c r="Z324">
        <v>0</v>
      </c>
      <c r="AA324">
        <v>0</v>
      </c>
      <c r="AB324">
        <v>0</v>
      </c>
      <c r="AC324">
        <v>0</v>
      </c>
      <c r="AD324">
        <v>1612</v>
      </c>
    </row>
    <row r="325" spans="1:30" x14ac:dyDescent="0.25">
      <c r="H325" t="s">
        <v>749</v>
      </c>
    </row>
    <row r="326" spans="1:30" x14ac:dyDescent="0.25">
      <c r="A326">
        <v>160</v>
      </c>
      <c r="B326">
        <v>3664</v>
      </c>
      <c r="C326" t="s">
        <v>750</v>
      </c>
      <c r="D326" t="s">
        <v>751</v>
      </c>
      <c r="E326" t="s">
        <v>752</v>
      </c>
      <c r="F326" t="s">
        <v>753</v>
      </c>
      <c r="G326" t="str">
        <f>"201405000333"</f>
        <v>201405000333</v>
      </c>
      <c r="H326" t="s">
        <v>754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70</v>
      </c>
      <c r="O326">
        <v>0</v>
      </c>
      <c r="P326">
        <v>30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84</v>
      </c>
      <c r="W326">
        <v>588</v>
      </c>
      <c r="X326">
        <v>0</v>
      </c>
      <c r="Z326">
        <v>0</v>
      </c>
      <c r="AA326">
        <v>0</v>
      </c>
      <c r="AB326">
        <v>0</v>
      </c>
      <c r="AC326">
        <v>0</v>
      </c>
      <c r="AD326" t="s">
        <v>755</v>
      </c>
    </row>
    <row r="327" spans="1:30" x14ac:dyDescent="0.25">
      <c r="H327" t="s">
        <v>756</v>
      </c>
    </row>
    <row r="328" spans="1:30" x14ac:dyDescent="0.25">
      <c r="A328">
        <v>161</v>
      </c>
      <c r="B328">
        <v>4873</v>
      </c>
      <c r="C328" t="s">
        <v>757</v>
      </c>
      <c r="D328" t="s">
        <v>758</v>
      </c>
      <c r="E328" t="s">
        <v>40</v>
      </c>
      <c r="F328" t="s">
        <v>759</v>
      </c>
      <c r="G328" t="str">
        <f>"00143079"</f>
        <v>00143079</v>
      </c>
      <c r="H328" t="s">
        <v>760</v>
      </c>
      <c r="I328">
        <v>0</v>
      </c>
      <c r="J328">
        <v>0</v>
      </c>
      <c r="K328">
        <v>0</v>
      </c>
      <c r="L328">
        <v>200</v>
      </c>
      <c r="M328">
        <v>0</v>
      </c>
      <c r="N328">
        <v>70</v>
      </c>
      <c r="O328">
        <v>30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84</v>
      </c>
      <c r="W328">
        <v>588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761</v>
      </c>
    </row>
    <row r="329" spans="1:30" x14ac:dyDescent="0.25">
      <c r="H329" t="s">
        <v>762</v>
      </c>
    </row>
    <row r="330" spans="1:30" x14ac:dyDescent="0.25">
      <c r="A330">
        <v>162</v>
      </c>
      <c r="B330">
        <v>5512</v>
      </c>
      <c r="C330" t="s">
        <v>763</v>
      </c>
      <c r="D330" t="s">
        <v>494</v>
      </c>
      <c r="E330" t="s">
        <v>47</v>
      </c>
      <c r="F330" t="s">
        <v>764</v>
      </c>
      <c r="G330" t="str">
        <f>"00285359"</f>
        <v>00285359</v>
      </c>
      <c r="H330" t="s">
        <v>514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60</v>
      </c>
      <c r="W330">
        <v>420</v>
      </c>
      <c r="X330">
        <v>0</v>
      </c>
      <c r="Z330">
        <v>0</v>
      </c>
      <c r="AA330">
        <v>0</v>
      </c>
      <c r="AB330">
        <v>24</v>
      </c>
      <c r="AC330">
        <v>408</v>
      </c>
      <c r="AD330" t="s">
        <v>765</v>
      </c>
    </row>
    <row r="331" spans="1:30" x14ac:dyDescent="0.25">
      <c r="H331" t="s">
        <v>766</v>
      </c>
    </row>
    <row r="332" spans="1:30" x14ac:dyDescent="0.25">
      <c r="A332">
        <v>163</v>
      </c>
      <c r="B332">
        <v>914</v>
      </c>
      <c r="C332" t="s">
        <v>767</v>
      </c>
      <c r="D332" t="s">
        <v>162</v>
      </c>
      <c r="E332" t="s">
        <v>47</v>
      </c>
      <c r="F332" t="s">
        <v>768</v>
      </c>
      <c r="G332" t="str">
        <f>"00155965"</f>
        <v>00155965</v>
      </c>
      <c r="H332" t="s">
        <v>769</v>
      </c>
      <c r="I332">
        <v>150</v>
      </c>
      <c r="J332">
        <v>0</v>
      </c>
      <c r="K332">
        <v>0</v>
      </c>
      <c r="L332">
        <v>200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67</v>
      </c>
      <c r="W332">
        <v>469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770</v>
      </c>
    </row>
    <row r="333" spans="1:30" x14ac:dyDescent="0.25">
      <c r="H333" t="s">
        <v>771</v>
      </c>
    </row>
    <row r="334" spans="1:30" x14ac:dyDescent="0.25">
      <c r="A334">
        <v>164</v>
      </c>
      <c r="B334">
        <v>746</v>
      </c>
      <c r="C334" t="s">
        <v>318</v>
      </c>
      <c r="D334" t="s">
        <v>616</v>
      </c>
      <c r="E334" t="s">
        <v>151</v>
      </c>
      <c r="F334" t="s">
        <v>772</v>
      </c>
      <c r="G334" t="str">
        <f>"00255660"</f>
        <v>00255660</v>
      </c>
      <c r="H334">
        <v>781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60</v>
      </c>
      <c r="W334">
        <v>420</v>
      </c>
      <c r="X334">
        <v>0</v>
      </c>
      <c r="Z334">
        <v>0</v>
      </c>
      <c r="AA334">
        <v>0</v>
      </c>
      <c r="AB334">
        <v>24</v>
      </c>
      <c r="AC334">
        <v>408</v>
      </c>
      <c r="AD334">
        <v>1609</v>
      </c>
    </row>
    <row r="335" spans="1:30" x14ac:dyDescent="0.25">
      <c r="H335" t="s">
        <v>773</v>
      </c>
    </row>
    <row r="336" spans="1:30" x14ac:dyDescent="0.25">
      <c r="A336">
        <v>165</v>
      </c>
      <c r="B336">
        <v>3819</v>
      </c>
      <c r="C336" t="s">
        <v>774</v>
      </c>
      <c r="D336" t="s">
        <v>162</v>
      </c>
      <c r="E336" t="s">
        <v>107</v>
      </c>
      <c r="F336" t="s">
        <v>775</v>
      </c>
      <c r="G336" t="str">
        <f>"00231444"</f>
        <v>00231444</v>
      </c>
      <c r="H336">
        <v>649</v>
      </c>
      <c r="I336">
        <v>0</v>
      </c>
      <c r="J336">
        <v>0</v>
      </c>
      <c r="K336">
        <v>0</v>
      </c>
      <c r="L336">
        <v>0</v>
      </c>
      <c r="M336">
        <v>100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60</v>
      </c>
      <c r="W336">
        <v>420</v>
      </c>
      <c r="X336">
        <v>0</v>
      </c>
      <c r="Z336">
        <v>0</v>
      </c>
      <c r="AA336">
        <v>0</v>
      </c>
      <c r="AB336">
        <v>24</v>
      </c>
      <c r="AC336">
        <v>408</v>
      </c>
      <c r="AD336">
        <v>1607</v>
      </c>
    </row>
    <row r="337" spans="1:30" x14ac:dyDescent="0.25">
      <c r="H337" t="s">
        <v>776</v>
      </c>
    </row>
    <row r="338" spans="1:30" x14ac:dyDescent="0.25">
      <c r="A338">
        <v>166</v>
      </c>
      <c r="B338">
        <v>5695</v>
      </c>
      <c r="C338" t="s">
        <v>777</v>
      </c>
      <c r="D338" t="s">
        <v>91</v>
      </c>
      <c r="E338" t="s">
        <v>162</v>
      </c>
      <c r="F338" t="s">
        <v>778</v>
      </c>
      <c r="G338" t="str">
        <f>"00366193"</f>
        <v>00366193</v>
      </c>
      <c r="H338" t="s">
        <v>574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50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60</v>
      </c>
      <c r="W338">
        <v>420</v>
      </c>
      <c r="X338">
        <v>0</v>
      </c>
      <c r="Z338">
        <v>0</v>
      </c>
      <c r="AA338">
        <v>0</v>
      </c>
      <c r="AB338">
        <v>24</v>
      </c>
      <c r="AC338">
        <v>408</v>
      </c>
      <c r="AD338" t="s">
        <v>779</v>
      </c>
    </row>
    <row r="339" spans="1:30" x14ac:dyDescent="0.25">
      <c r="H339" t="s">
        <v>780</v>
      </c>
    </row>
    <row r="340" spans="1:30" x14ac:dyDescent="0.25">
      <c r="A340">
        <v>167</v>
      </c>
      <c r="B340">
        <v>2382</v>
      </c>
      <c r="C340" t="s">
        <v>781</v>
      </c>
      <c r="D340" t="s">
        <v>495</v>
      </c>
      <c r="E340" t="s">
        <v>87</v>
      </c>
      <c r="F340" t="s">
        <v>782</v>
      </c>
      <c r="G340" t="str">
        <f>"00006181"</f>
        <v>00006181</v>
      </c>
      <c r="H340">
        <v>748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70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0</v>
      </c>
      <c r="Z340">
        <v>0</v>
      </c>
      <c r="AA340">
        <v>0</v>
      </c>
      <c r="AB340">
        <v>0</v>
      </c>
      <c r="AC340">
        <v>0</v>
      </c>
      <c r="AD340">
        <v>1606</v>
      </c>
    </row>
    <row r="341" spans="1:30" x14ac:dyDescent="0.25">
      <c r="H341" t="s">
        <v>783</v>
      </c>
    </row>
    <row r="342" spans="1:30" x14ac:dyDescent="0.25">
      <c r="A342">
        <v>168</v>
      </c>
      <c r="B342">
        <v>3446</v>
      </c>
      <c r="C342" t="s">
        <v>784</v>
      </c>
      <c r="D342" t="s">
        <v>47</v>
      </c>
      <c r="E342" t="s">
        <v>107</v>
      </c>
      <c r="F342" t="s">
        <v>785</v>
      </c>
      <c r="G342" t="str">
        <f>"00141706"</f>
        <v>00141706</v>
      </c>
      <c r="H342">
        <v>748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30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60</v>
      </c>
      <c r="W342">
        <v>420</v>
      </c>
      <c r="X342">
        <v>0</v>
      </c>
      <c r="Z342">
        <v>0</v>
      </c>
      <c r="AA342">
        <v>0</v>
      </c>
      <c r="AB342">
        <v>24</v>
      </c>
      <c r="AC342">
        <v>408</v>
      </c>
      <c r="AD342">
        <v>1606</v>
      </c>
    </row>
    <row r="343" spans="1:30" x14ac:dyDescent="0.25">
      <c r="H343" t="s">
        <v>786</v>
      </c>
    </row>
    <row r="344" spans="1:30" x14ac:dyDescent="0.25">
      <c r="A344">
        <v>169</v>
      </c>
      <c r="B344">
        <v>3650</v>
      </c>
      <c r="C344" t="s">
        <v>787</v>
      </c>
      <c r="D344" t="s">
        <v>75</v>
      </c>
      <c r="E344" t="s">
        <v>51</v>
      </c>
      <c r="F344" t="s">
        <v>788</v>
      </c>
      <c r="G344" t="str">
        <f>"00181461"</f>
        <v>00181461</v>
      </c>
      <c r="H344" t="s">
        <v>789</v>
      </c>
      <c r="I344">
        <v>150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30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2</v>
      </c>
      <c r="AA344">
        <v>0</v>
      </c>
      <c r="AB344">
        <v>0</v>
      </c>
      <c r="AC344">
        <v>0</v>
      </c>
      <c r="AD344" t="s">
        <v>790</v>
      </c>
    </row>
    <row r="345" spans="1:30" x14ac:dyDescent="0.25">
      <c r="H345" t="s">
        <v>791</v>
      </c>
    </row>
    <row r="346" spans="1:30" x14ac:dyDescent="0.25">
      <c r="A346">
        <v>170</v>
      </c>
      <c r="B346">
        <v>5305</v>
      </c>
      <c r="C346" t="s">
        <v>792</v>
      </c>
      <c r="D346" t="s">
        <v>14</v>
      </c>
      <c r="E346" t="s">
        <v>468</v>
      </c>
      <c r="F346" t="s">
        <v>793</v>
      </c>
      <c r="G346" t="str">
        <f>"201506004098"</f>
        <v>201506004098</v>
      </c>
      <c r="H346">
        <v>704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70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60</v>
      </c>
      <c r="W346">
        <v>420</v>
      </c>
      <c r="X346">
        <v>0</v>
      </c>
      <c r="Z346">
        <v>0</v>
      </c>
      <c r="AA346">
        <v>0</v>
      </c>
      <c r="AB346">
        <v>24</v>
      </c>
      <c r="AC346">
        <v>408</v>
      </c>
      <c r="AD346">
        <v>1602</v>
      </c>
    </row>
    <row r="347" spans="1:30" x14ac:dyDescent="0.25">
      <c r="H347" t="s">
        <v>794</v>
      </c>
    </row>
    <row r="348" spans="1:30" x14ac:dyDescent="0.25">
      <c r="A348">
        <v>171</v>
      </c>
      <c r="B348">
        <v>1555</v>
      </c>
      <c r="C348" t="s">
        <v>795</v>
      </c>
      <c r="D348" t="s">
        <v>796</v>
      </c>
      <c r="E348" t="s">
        <v>51</v>
      </c>
      <c r="F348" t="s">
        <v>797</v>
      </c>
      <c r="G348" t="str">
        <f>"00255239"</f>
        <v>00255239</v>
      </c>
      <c r="H348">
        <v>803</v>
      </c>
      <c r="I348">
        <v>0</v>
      </c>
      <c r="J348">
        <v>0</v>
      </c>
      <c r="K348">
        <v>0</v>
      </c>
      <c r="L348">
        <v>200</v>
      </c>
      <c r="M348">
        <v>0</v>
      </c>
      <c r="N348">
        <v>50</v>
      </c>
      <c r="O348">
        <v>30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74</v>
      </c>
      <c r="W348">
        <v>518</v>
      </c>
      <c r="X348">
        <v>0</v>
      </c>
      <c r="Z348">
        <v>0</v>
      </c>
      <c r="AA348">
        <v>0</v>
      </c>
      <c r="AB348">
        <v>0</v>
      </c>
      <c r="AC348">
        <v>0</v>
      </c>
      <c r="AD348">
        <v>1601</v>
      </c>
    </row>
    <row r="349" spans="1:30" x14ac:dyDescent="0.25">
      <c r="H349" t="s">
        <v>798</v>
      </c>
    </row>
    <row r="350" spans="1:30" x14ac:dyDescent="0.25">
      <c r="A350">
        <v>172</v>
      </c>
      <c r="B350">
        <v>3076</v>
      </c>
      <c r="C350" t="s">
        <v>799</v>
      </c>
      <c r="D350" t="s">
        <v>51</v>
      </c>
      <c r="E350" t="s">
        <v>162</v>
      </c>
      <c r="F350" t="s">
        <v>800</v>
      </c>
      <c r="G350" t="str">
        <f>"200812001004"</f>
        <v>200812001004</v>
      </c>
      <c r="H350" t="s">
        <v>801</v>
      </c>
      <c r="I350">
        <v>150</v>
      </c>
      <c r="J350">
        <v>0</v>
      </c>
      <c r="K350">
        <v>0</v>
      </c>
      <c r="L350">
        <v>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84</v>
      </c>
      <c r="W350">
        <v>588</v>
      </c>
      <c r="X350">
        <v>0</v>
      </c>
      <c r="Z350">
        <v>0</v>
      </c>
      <c r="AA350">
        <v>0</v>
      </c>
      <c r="AB350">
        <v>0</v>
      </c>
      <c r="AC350">
        <v>0</v>
      </c>
      <c r="AD350" t="s">
        <v>802</v>
      </c>
    </row>
    <row r="351" spans="1:30" x14ac:dyDescent="0.25">
      <c r="H351">
        <v>1249</v>
      </c>
    </row>
    <row r="352" spans="1:30" x14ac:dyDescent="0.25">
      <c r="A352">
        <v>173</v>
      </c>
      <c r="B352">
        <v>238</v>
      </c>
      <c r="C352" t="s">
        <v>803</v>
      </c>
      <c r="D352" t="s">
        <v>804</v>
      </c>
      <c r="E352" t="s">
        <v>33</v>
      </c>
      <c r="F352" t="s">
        <v>805</v>
      </c>
      <c r="G352" t="str">
        <f>"201402011886"</f>
        <v>201402011886</v>
      </c>
      <c r="H352" t="s">
        <v>642</v>
      </c>
      <c r="I352">
        <v>0</v>
      </c>
      <c r="J352">
        <v>0</v>
      </c>
      <c r="K352">
        <v>0</v>
      </c>
      <c r="L352">
        <v>200</v>
      </c>
      <c r="M352">
        <v>30</v>
      </c>
      <c r="N352">
        <v>50</v>
      </c>
      <c r="O352">
        <v>0</v>
      </c>
      <c r="P352">
        <v>0</v>
      </c>
      <c r="Q352">
        <v>70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806</v>
      </c>
    </row>
    <row r="353" spans="1:30" x14ac:dyDescent="0.25">
      <c r="H353" t="s">
        <v>807</v>
      </c>
    </row>
    <row r="354" spans="1:30" x14ac:dyDescent="0.25">
      <c r="A354">
        <v>174</v>
      </c>
      <c r="B354">
        <v>1010</v>
      </c>
      <c r="C354" t="s">
        <v>808</v>
      </c>
      <c r="D354" t="s">
        <v>75</v>
      </c>
      <c r="E354" t="s">
        <v>162</v>
      </c>
      <c r="F354" t="s">
        <v>809</v>
      </c>
      <c r="G354" t="str">
        <f>"200712003664"</f>
        <v>200712003664</v>
      </c>
      <c r="H354">
        <v>759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50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84</v>
      </c>
      <c r="W354">
        <v>588</v>
      </c>
      <c r="X354">
        <v>0</v>
      </c>
      <c r="Z354">
        <v>0</v>
      </c>
      <c r="AA354">
        <v>0</v>
      </c>
      <c r="AB354">
        <v>0</v>
      </c>
      <c r="AC354">
        <v>0</v>
      </c>
      <c r="AD354">
        <v>1597</v>
      </c>
    </row>
    <row r="355" spans="1:30" x14ac:dyDescent="0.25">
      <c r="H355" t="s">
        <v>810</v>
      </c>
    </row>
    <row r="356" spans="1:30" x14ac:dyDescent="0.25">
      <c r="A356">
        <v>175</v>
      </c>
      <c r="B356">
        <v>1426</v>
      </c>
      <c r="C356" t="s">
        <v>811</v>
      </c>
      <c r="D356" t="s">
        <v>86</v>
      </c>
      <c r="E356" t="s">
        <v>162</v>
      </c>
      <c r="F356" t="s">
        <v>812</v>
      </c>
      <c r="G356" t="str">
        <f>"201406012047"</f>
        <v>201406012047</v>
      </c>
      <c r="H356" t="s">
        <v>813</v>
      </c>
      <c r="I356">
        <v>0</v>
      </c>
      <c r="J356">
        <v>0</v>
      </c>
      <c r="K356">
        <v>0</v>
      </c>
      <c r="L356">
        <v>200</v>
      </c>
      <c r="M356">
        <v>0</v>
      </c>
      <c r="N356">
        <v>70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84</v>
      </c>
      <c r="W356">
        <v>588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814</v>
      </c>
    </row>
    <row r="357" spans="1:30" x14ac:dyDescent="0.25">
      <c r="H357" t="s">
        <v>815</v>
      </c>
    </row>
    <row r="358" spans="1:30" x14ac:dyDescent="0.25">
      <c r="A358">
        <v>176</v>
      </c>
      <c r="B358">
        <v>1931</v>
      </c>
      <c r="C358" t="s">
        <v>816</v>
      </c>
      <c r="D358" t="s">
        <v>239</v>
      </c>
      <c r="E358" t="s">
        <v>51</v>
      </c>
      <c r="F358" t="s">
        <v>817</v>
      </c>
      <c r="G358" t="str">
        <f>"00321619"</f>
        <v>00321619</v>
      </c>
      <c r="H358" t="s">
        <v>818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60</v>
      </c>
      <c r="W358">
        <v>420</v>
      </c>
      <c r="X358">
        <v>0</v>
      </c>
      <c r="Z358">
        <v>0</v>
      </c>
      <c r="AA358">
        <v>0</v>
      </c>
      <c r="AB358">
        <v>24</v>
      </c>
      <c r="AC358">
        <v>408</v>
      </c>
      <c r="AD358" t="s">
        <v>819</v>
      </c>
    </row>
    <row r="359" spans="1:30" x14ac:dyDescent="0.25">
      <c r="H359" t="s">
        <v>820</v>
      </c>
    </row>
    <row r="360" spans="1:30" x14ac:dyDescent="0.25">
      <c r="A360">
        <v>177</v>
      </c>
      <c r="B360">
        <v>2708</v>
      </c>
      <c r="C360" t="s">
        <v>821</v>
      </c>
      <c r="D360" t="s">
        <v>196</v>
      </c>
      <c r="E360" t="s">
        <v>140</v>
      </c>
      <c r="F360" t="s">
        <v>822</v>
      </c>
      <c r="G360" t="str">
        <f>"00300982"</f>
        <v>00300982</v>
      </c>
      <c r="H360" t="s">
        <v>818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60</v>
      </c>
      <c r="W360">
        <v>420</v>
      </c>
      <c r="X360">
        <v>0</v>
      </c>
      <c r="Z360">
        <v>2</v>
      </c>
      <c r="AA360">
        <v>0</v>
      </c>
      <c r="AB360">
        <v>24</v>
      </c>
      <c r="AC360">
        <v>408</v>
      </c>
      <c r="AD360" t="s">
        <v>819</v>
      </c>
    </row>
    <row r="361" spans="1:30" x14ac:dyDescent="0.25">
      <c r="H361" t="s">
        <v>823</v>
      </c>
    </row>
    <row r="362" spans="1:30" x14ac:dyDescent="0.25">
      <c r="A362">
        <v>178</v>
      </c>
      <c r="B362">
        <v>5280</v>
      </c>
      <c r="C362" t="s">
        <v>824</v>
      </c>
      <c r="D362" t="s">
        <v>59</v>
      </c>
      <c r="E362" t="s">
        <v>40</v>
      </c>
      <c r="F362" t="s">
        <v>825</v>
      </c>
      <c r="G362" t="str">
        <f>"201406017490"</f>
        <v>201406017490</v>
      </c>
      <c r="H362" t="s">
        <v>826</v>
      </c>
      <c r="I362">
        <v>0</v>
      </c>
      <c r="J362">
        <v>0</v>
      </c>
      <c r="K362">
        <v>0</v>
      </c>
      <c r="L362">
        <v>200</v>
      </c>
      <c r="M362">
        <v>0</v>
      </c>
      <c r="N362">
        <v>30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84</v>
      </c>
      <c r="W362">
        <v>588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827</v>
      </c>
    </row>
    <row r="363" spans="1:30" x14ac:dyDescent="0.25">
      <c r="H363" t="s">
        <v>828</v>
      </c>
    </row>
    <row r="364" spans="1:30" x14ac:dyDescent="0.25">
      <c r="A364">
        <v>179</v>
      </c>
      <c r="B364">
        <v>1722</v>
      </c>
      <c r="C364" t="s">
        <v>829</v>
      </c>
      <c r="D364" t="s">
        <v>830</v>
      </c>
      <c r="E364" t="s">
        <v>91</v>
      </c>
      <c r="F364" t="s">
        <v>831</v>
      </c>
      <c r="G364" t="str">
        <f>"00286525"</f>
        <v>00286525</v>
      </c>
      <c r="H364">
        <v>946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30</v>
      </c>
      <c r="O364">
        <v>0</v>
      </c>
      <c r="P364">
        <v>0</v>
      </c>
      <c r="Q364">
        <v>30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2</v>
      </c>
      <c r="AA364">
        <v>0</v>
      </c>
      <c r="AB364">
        <v>0</v>
      </c>
      <c r="AC364">
        <v>0</v>
      </c>
      <c r="AD364">
        <v>1594</v>
      </c>
    </row>
    <row r="365" spans="1:30" x14ac:dyDescent="0.25">
      <c r="H365" t="s">
        <v>832</v>
      </c>
    </row>
    <row r="366" spans="1:30" x14ac:dyDescent="0.25">
      <c r="A366">
        <v>180</v>
      </c>
      <c r="B366">
        <v>1358</v>
      </c>
      <c r="C366" t="s">
        <v>833</v>
      </c>
      <c r="D366" t="s">
        <v>98</v>
      </c>
      <c r="E366" t="s">
        <v>144</v>
      </c>
      <c r="F366" t="s">
        <v>834</v>
      </c>
      <c r="G366" t="str">
        <f>"201406008141"</f>
        <v>201406008141</v>
      </c>
      <c r="H366">
        <v>726</v>
      </c>
      <c r="I366">
        <v>0</v>
      </c>
      <c r="J366">
        <v>0</v>
      </c>
      <c r="K366">
        <v>0</v>
      </c>
      <c r="L366">
        <v>200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76</v>
      </c>
      <c r="W366">
        <v>532</v>
      </c>
      <c r="X366">
        <v>0</v>
      </c>
      <c r="Z366">
        <v>0</v>
      </c>
      <c r="AA366">
        <v>0</v>
      </c>
      <c r="AB366">
        <v>8</v>
      </c>
      <c r="AC366">
        <v>136</v>
      </c>
      <c r="AD366">
        <v>1594</v>
      </c>
    </row>
    <row r="367" spans="1:30" x14ac:dyDescent="0.25">
      <c r="H367" t="s">
        <v>835</v>
      </c>
    </row>
    <row r="368" spans="1:30" x14ac:dyDescent="0.25">
      <c r="A368">
        <v>181</v>
      </c>
      <c r="B368">
        <v>3407</v>
      </c>
      <c r="C368" t="s">
        <v>836</v>
      </c>
      <c r="D368" t="s">
        <v>40</v>
      </c>
      <c r="E368" t="s">
        <v>282</v>
      </c>
      <c r="F368" t="s">
        <v>837</v>
      </c>
      <c r="G368" t="str">
        <f>"201406007770"</f>
        <v>201406007770</v>
      </c>
      <c r="H368">
        <v>847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70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68</v>
      </c>
      <c r="W368">
        <v>476</v>
      </c>
      <c r="X368">
        <v>0</v>
      </c>
      <c r="Z368">
        <v>0</v>
      </c>
      <c r="AA368">
        <v>0</v>
      </c>
      <c r="AB368">
        <v>0</v>
      </c>
      <c r="AC368">
        <v>0</v>
      </c>
      <c r="AD368">
        <v>1593</v>
      </c>
    </row>
    <row r="369" spans="1:30" x14ac:dyDescent="0.25">
      <c r="H369" t="s">
        <v>838</v>
      </c>
    </row>
    <row r="370" spans="1:30" x14ac:dyDescent="0.25">
      <c r="A370">
        <v>182</v>
      </c>
      <c r="B370">
        <v>4070</v>
      </c>
      <c r="C370" t="s">
        <v>839</v>
      </c>
      <c r="D370" t="s">
        <v>190</v>
      </c>
      <c r="E370" t="s">
        <v>162</v>
      </c>
      <c r="F370" t="s">
        <v>840</v>
      </c>
      <c r="G370" t="str">
        <f>"201406003612"</f>
        <v>201406003612</v>
      </c>
      <c r="H370" t="s">
        <v>293</v>
      </c>
      <c r="I370">
        <v>0</v>
      </c>
      <c r="J370">
        <v>0</v>
      </c>
      <c r="K370">
        <v>0</v>
      </c>
      <c r="L370">
        <v>200</v>
      </c>
      <c r="M370">
        <v>0</v>
      </c>
      <c r="N370">
        <v>70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84</v>
      </c>
      <c r="W370">
        <v>588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841</v>
      </c>
    </row>
    <row r="371" spans="1:30" x14ac:dyDescent="0.25">
      <c r="H371" t="s">
        <v>842</v>
      </c>
    </row>
    <row r="372" spans="1:30" x14ac:dyDescent="0.25">
      <c r="A372">
        <v>183</v>
      </c>
      <c r="B372">
        <v>5933</v>
      </c>
      <c r="C372" t="s">
        <v>843</v>
      </c>
      <c r="D372" t="s">
        <v>844</v>
      </c>
      <c r="E372" t="s">
        <v>33</v>
      </c>
      <c r="F372" t="s">
        <v>845</v>
      </c>
      <c r="G372" t="str">
        <f>"00357124"</f>
        <v>00357124</v>
      </c>
      <c r="H372">
        <v>803</v>
      </c>
      <c r="I372">
        <v>150</v>
      </c>
      <c r="J372">
        <v>0</v>
      </c>
      <c r="K372">
        <v>0</v>
      </c>
      <c r="L372">
        <v>0</v>
      </c>
      <c r="M372">
        <v>0</v>
      </c>
      <c r="N372">
        <v>50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84</v>
      </c>
      <c r="W372">
        <v>588</v>
      </c>
      <c r="X372">
        <v>0</v>
      </c>
      <c r="Z372">
        <v>0</v>
      </c>
      <c r="AA372">
        <v>0</v>
      </c>
      <c r="AB372">
        <v>0</v>
      </c>
      <c r="AC372">
        <v>0</v>
      </c>
      <c r="AD372">
        <v>1591</v>
      </c>
    </row>
    <row r="373" spans="1:30" x14ac:dyDescent="0.25">
      <c r="H373" t="s">
        <v>846</v>
      </c>
    </row>
    <row r="374" spans="1:30" x14ac:dyDescent="0.25">
      <c r="A374">
        <v>184</v>
      </c>
      <c r="B374">
        <v>3381</v>
      </c>
      <c r="C374" t="s">
        <v>847</v>
      </c>
      <c r="D374" t="s">
        <v>75</v>
      </c>
      <c r="E374" t="s">
        <v>107</v>
      </c>
      <c r="F374" t="s">
        <v>848</v>
      </c>
      <c r="G374" t="str">
        <f>"00153316"</f>
        <v>00153316</v>
      </c>
      <c r="H374" t="s">
        <v>332</v>
      </c>
      <c r="I374">
        <v>0</v>
      </c>
      <c r="J374">
        <v>0</v>
      </c>
      <c r="K374">
        <v>0</v>
      </c>
      <c r="L374">
        <v>200</v>
      </c>
      <c r="M374">
        <v>0</v>
      </c>
      <c r="N374">
        <v>70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849</v>
      </c>
    </row>
    <row r="375" spans="1:30" x14ac:dyDescent="0.25">
      <c r="H375" t="s">
        <v>850</v>
      </c>
    </row>
    <row r="376" spans="1:30" x14ac:dyDescent="0.25">
      <c r="A376">
        <v>185</v>
      </c>
      <c r="B376">
        <v>5760</v>
      </c>
      <c r="C376" t="s">
        <v>851</v>
      </c>
      <c r="D376" t="s">
        <v>852</v>
      </c>
      <c r="E376" t="s">
        <v>39</v>
      </c>
      <c r="F376" t="s">
        <v>853</v>
      </c>
      <c r="G376" t="str">
        <f>"201511038508"</f>
        <v>201511038508</v>
      </c>
      <c r="H376" t="s">
        <v>854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50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60</v>
      </c>
      <c r="W376">
        <v>420</v>
      </c>
      <c r="X376">
        <v>0</v>
      </c>
      <c r="Z376">
        <v>1</v>
      </c>
      <c r="AA376">
        <v>0</v>
      </c>
      <c r="AB376">
        <v>24</v>
      </c>
      <c r="AC376">
        <v>408</v>
      </c>
      <c r="AD376" t="s">
        <v>855</v>
      </c>
    </row>
    <row r="377" spans="1:30" x14ac:dyDescent="0.25">
      <c r="H377" t="s">
        <v>856</v>
      </c>
    </row>
    <row r="378" spans="1:30" x14ac:dyDescent="0.25">
      <c r="A378">
        <v>186</v>
      </c>
      <c r="B378">
        <v>4862</v>
      </c>
      <c r="C378" t="s">
        <v>857</v>
      </c>
      <c r="D378" t="s">
        <v>144</v>
      </c>
      <c r="E378" t="s">
        <v>162</v>
      </c>
      <c r="F378" t="s">
        <v>858</v>
      </c>
      <c r="G378" t="str">
        <f>"201511007776"</f>
        <v>201511007776</v>
      </c>
      <c r="H378" t="s">
        <v>226</v>
      </c>
      <c r="I378">
        <v>0</v>
      </c>
      <c r="J378">
        <v>0</v>
      </c>
      <c r="K378">
        <v>0</v>
      </c>
      <c r="L378">
        <v>200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84</v>
      </c>
      <c r="W378">
        <v>588</v>
      </c>
      <c r="X378">
        <v>0</v>
      </c>
      <c r="Z378">
        <v>0</v>
      </c>
      <c r="AA378">
        <v>0</v>
      </c>
      <c r="AB378">
        <v>0</v>
      </c>
      <c r="AC378">
        <v>0</v>
      </c>
      <c r="AD378" t="s">
        <v>859</v>
      </c>
    </row>
    <row r="379" spans="1:30" x14ac:dyDescent="0.25">
      <c r="H379" t="s">
        <v>860</v>
      </c>
    </row>
    <row r="380" spans="1:30" x14ac:dyDescent="0.25">
      <c r="A380">
        <v>187</v>
      </c>
      <c r="B380">
        <v>6296</v>
      </c>
      <c r="C380" t="s">
        <v>861</v>
      </c>
      <c r="D380" t="s">
        <v>335</v>
      </c>
      <c r="E380" t="s">
        <v>862</v>
      </c>
      <c r="F380" t="s">
        <v>863</v>
      </c>
      <c r="G380" t="str">
        <f>"201406000761"</f>
        <v>201406000761</v>
      </c>
      <c r="H380">
        <v>770</v>
      </c>
      <c r="I380">
        <v>0</v>
      </c>
      <c r="J380">
        <v>0</v>
      </c>
      <c r="K380">
        <v>0</v>
      </c>
      <c r="L380">
        <v>200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84</v>
      </c>
      <c r="W380">
        <v>588</v>
      </c>
      <c r="X380">
        <v>0</v>
      </c>
      <c r="Z380">
        <v>0</v>
      </c>
      <c r="AA380">
        <v>0</v>
      </c>
      <c r="AB380">
        <v>0</v>
      </c>
      <c r="AC380">
        <v>0</v>
      </c>
      <c r="AD380">
        <v>1588</v>
      </c>
    </row>
    <row r="381" spans="1:30" x14ac:dyDescent="0.25">
      <c r="H381" t="s">
        <v>864</v>
      </c>
    </row>
    <row r="382" spans="1:30" x14ac:dyDescent="0.25">
      <c r="A382">
        <v>188</v>
      </c>
      <c r="B382">
        <v>5795</v>
      </c>
      <c r="C382" t="s">
        <v>865</v>
      </c>
      <c r="D382" t="s">
        <v>27</v>
      </c>
      <c r="E382" t="s">
        <v>190</v>
      </c>
      <c r="F382" t="s">
        <v>866</v>
      </c>
      <c r="G382" t="str">
        <f>"00251950"</f>
        <v>00251950</v>
      </c>
      <c r="H382">
        <v>770</v>
      </c>
      <c r="I382">
        <v>0</v>
      </c>
      <c r="J382">
        <v>0</v>
      </c>
      <c r="K382">
        <v>0</v>
      </c>
      <c r="L382">
        <v>200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84</v>
      </c>
      <c r="W382">
        <v>588</v>
      </c>
      <c r="X382">
        <v>0</v>
      </c>
      <c r="Z382">
        <v>0</v>
      </c>
      <c r="AA382">
        <v>0</v>
      </c>
      <c r="AB382">
        <v>0</v>
      </c>
      <c r="AC382">
        <v>0</v>
      </c>
      <c r="AD382">
        <v>1588</v>
      </c>
    </row>
    <row r="383" spans="1:30" x14ac:dyDescent="0.25">
      <c r="H383" t="s">
        <v>867</v>
      </c>
    </row>
    <row r="384" spans="1:30" x14ac:dyDescent="0.25">
      <c r="A384">
        <v>189</v>
      </c>
      <c r="B384">
        <v>5296</v>
      </c>
      <c r="C384" t="s">
        <v>868</v>
      </c>
      <c r="D384" t="s">
        <v>869</v>
      </c>
      <c r="E384" t="s">
        <v>107</v>
      </c>
      <c r="F384" t="s">
        <v>870</v>
      </c>
      <c r="G384" t="str">
        <f>"00345690"</f>
        <v>00345690</v>
      </c>
      <c r="H384">
        <v>759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60</v>
      </c>
      <c r="W384">
        <v>420</v>
      </c>
      <c r="X384">
        <v>0</v>
      </c>
      <c r="Z384">
        <v>0</v>
      </c>
      <c r="AA384">
        <v>0</v>
      </c>
      <c r="AB384">
        <v>24</v>
      </c>
      <c r="AC384">
        <v>408</v>
      </c>
      <c r="AD384">
        <v>1587</v>
      </c>
    </row>
    <row r="385" spans="1:30" x14ac:dyDescent="0.25">
      <c r="H385" t="s">
        <v>871</v>
      </c>
    </row>
    <row r="386" spans="1:30" x14ac:dyDescent="0.25">
      <c r="A386">
        <v>190</v>
      </c>
      <c r="B386">
        <v>4428</v>
      </c>
      <c r="C386" t="s">
        <v>872</v>
      </c>
      <c r="D386" t="s">
        <v>262</v>
      </c>
      <c r="E386" t="s">
        <v>80</v>
      </c>
      <c r="F386" t="s">
        <v>873</v>
      </c>
      <c r="G386" t="str">
        <f>"201511039792"</f>
        <v>201511039792</v>
      </c>
      <c r="H386">
        <v>946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50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84</v>
      </c>
      <c r="W386">
        <v>588</v>
      </c>
      <c r="X386">
        <v>0</v>
      </c>
      <c r="Z386">
        <v>0</v>
      </c>
      <c r="AA386">
        <v>0</v>
      </c>
      <c r="AB386">
        <v>0</v>
      </c>
      <c r="AC386">
        <v>0</v>
      </c>
      <c r="AD386">
        <v>1584</v>
      </c>
    </row>
    <row r="387" spans="1:30" x14ac:dyDescent="0.25">
      <c r="H387" t="s">
        <v>874</v>
      </c>
    </row>
    <row r="388" spans="1:30" x14ac:dyDescent="0.25">
      <c r="A388">
        <v>191</v>
      </c>
      <c r="B388">
        <v>1191</v>
      </c>
      <c r="C388" t="s">
        <v>875</v>
      </c>
      <c r="D388" t="s">
        <v>335</v>
      </c>
      <c r="E388" t="s">
        <v>40</v>
      </c>
      <c r="F388" t="s">
        <v>876</v>
      </c>
      <c r="G388" t="str">
        <f>"201405000514"</f>
        <v>201405000514</v>
      </c>
      <c r="H388">
        <v>726</v>
      </c>
      <c r="I388">
        <v>0</v>
      </c>
      <c r="J388">
        <v>0</v>
      </c>
      <c r="K388">
        <v>0</v>
      </c>
      <c r="L388">
        <v>200</v>
      </c>
      <c r="M388">
        <v>0</v>
      </c>
      <c r="N388">
        <v>70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84</v>
      </c>
      <c r="W388">
        <v>588</v>
      </c>
      <c r="X388">
        <v>0</v>
      </c>
      <c r="Z388">
        <v>0</v>
      </c>
      <c r="AA388">
        <v>0</v>
      </c>
      <c r="AB388">
        <v>0</v>
      </c>
      <c r="AC388">
        <v>0</v>
      </c>
      <c r="AD388">
        <v>1584</v>
      </c>
    </row>
    <row r="389" spans="1:30" x14ac:dyDescent="0.25">
      <c r="H389" t="s">
        <v>877</v>
      </c>
    </row>
    <row r="390" spans="1:30" x14ac:dyDescent="0.25">
      <c r="A390">
        <v>192</v>
      </c>
      <c r="B390">
        <v>6234</v>
      </c>
      <c r="C390" t="s">
        <v>878</v>
      </c>
      <c r="D390" t="s">
        <v>879</v>
      </c>
      <c r="E390" t="s">
        <v>51</v>
      </c>
      <c r="F390" t="s">
        <v>880</v>
      </c>
      <c r="G390" t="str">
        <f>"00332487"</f>
        <v>00332487</v>
      </c>
      <c r="H390">
        <v>726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60</v>
      </c>
      <c r="W390">
        <v>420</v>
      </c>
      <c r="X390">
        <v>0</v>
      </c>
      <c r="Z390">
        <v>0</v>
      </c>
      <c r="AA390">
        <v>0</v>
      </c>
      <c r="AB390">
        <v>24</v>
      </c>
      <c r="AC390">
        <v>408</v>
      </c>
      <c r="AD390">
        <v>1584</v>
      </c>
    </row>
    <row r="391" spans="1:30" x14ac:dyDescent="0.25">
      <c r="H391" t="s">
        <v>881</v>
      </c>
    </row>
    <row r="392" spans="1:30" x14ac:dyDescent="0.25">
      <c r="A392">
        <v>193</v>
      </c>
      <c r="B392">
        <v>2988</v>
      </c>
      <c r="C392" t="s">
        <v>882</v>
      </c>
      <c r="D392" t="s">
        <v>166</v>
      </c>
      <c r="E392" t="s">
        <v>162</v>
      </c>
      <c r="F392" t="s">
        <v>883</v>
      </c>
      <c r="G392" t="str">
        <f>"00149665"</f>
        <v>00149665</v>
      </c>
      <c r="H392">
        <v>726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30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60</v>
      </c>
      <c r="W392">
        <v>420</v>
      </c>
      <c r="X392">
        <v>0</v>
      </c>
      <c r="Z392">
        <v>1</v>
      </c>
      <c r="AA392">
        <v>0</v>
      </c>
      <c r="AB392">
        <v>24</v>
      </c>
      <c r="AC392">
        <v>408</v>
      </c>
      <c r="AD392">
        <v>1584</v>
      </c>
    </row>
    <row r="393" spans="1:30" x14ac:dyDescent="0.25">
      <c r="H393" t="s">
        <v>884</v>
      </c>
    </row>
    <row r="394" spans="1:30" x14ac:dyDescent="0.25">
      <c r="A394">
        <v>194</v>
      </c>
      <c r="B394">
        <v>2715</v>
      </c>
      <c r="C394" t="s">
        <v>885</v>
      </c>
      <c r="D394" t="s">
        <v>223</v>
      </c>
      <c r="E394" t="s">
        <v>140</v>
      </c>
      <c r="F394" t="s">
        <v>886</v>
      </c>
      <c r="G394" t="str">
        <f>"201411001709"</f>
        <v>201411001709</v>
      </c>
      <c r="H394">
        <v>726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60</v>
      </c>
      <c r="W394">
        <v>420</v>
      </c>
      <c r="X394">
        <v>0</v>
      </c>
      <c r="Z394">
        <v>0</v>
      </c>
      <c r="AA394">
        <v>0</v>
      </c>
      <c r="AB394">
        <v>24</v>
      </c>
      <c r="AC394">
        <v>408</v>
      </c>
      <c r="AD394">
        <v>1584</v>
      </c>
    </row>
    <row r="395" spans="1:30" x14ac:dyDescent="0.25">
      <c r="H395" t="s">
        <v>887</v>
      </c>
    </row>
    <row r="396" spans="1:30" x14ac:dyDescent="0.25">
      <c r="A396">
        <v>195</v>
      </c>
      <c r="B396">
        <v>5205</v>
      </c>
      <c r="C396" t="s">
        <v>888</v>
      </c>
      <c r="D396" t="s">
        <v>14</v>
      </c>
      <c r="E396" t="s">
        <v>40</v>
      </c>
      <c r="F396" t="s">
        <v>889</v>
      </c>
      <c r="G396" t="str">
        <f>"00157178"</f>
        <v>00157178</v>
      </c>
      <c r="H396">
        <v>726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60</v>
      </c>
      <c r="W396">
        <v>420</v>
      </c>
      <c r="X396">
        <v>0</v>
      </c>
      <c r="Z396">
        <v>0</v>
      </c>
      <c r="AA396">
        <v>0</v>
      </c>
      <c r="AB396">
        <v>24</v>
      </c>
      <c r="AC396">
        <v>408</v>
      </c>
      <c r="AD396">
        <v>1584</v>
      </c>
    </row>
    <row r="397" spans="1:30" x14ac:dyDescent="0.25">
      <c r="H397" t="s">
        <v>890</v>
      </c>
    </row>
    <row r="398" spans="1:30" x14ac:dyDescent="0.25">
      <c r="A398">
        <v>196</v>
      </c>
      <c r="B398">
        <v>2278</v>
      </c>
      <c r="C398" t="s">
        <v>891</v>
      </c>
      <c r="D398" t="s">
        <v>804</v>
      </c>
      <c r="E398" t="s">
        <v>107</v>
      </c>
      <c r="F398" t="s">
        <v>892</v>
      </c>
      <c r="G398" t="str">
        <f>"201406004319"</f>
        <v>201406004319</v>
      </c>
      <c r="H398">
        <v>715</v>
      </c>
      <c r="I398">
        <v>150</v>
      </c>
      <c r="J398">
        <v>0</v>
      </c>
      <c r="K398">
        <v>0</v>
      </c>
      <c r="L398">
        <v>0</v>
      </c>
      <c r="M398">
        <v>0</v>
      </c>
      <c r="N398">
        <v>50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76</v>
      </c>
      <c r="W398">
        <v>532</v>
      </c>
      <c r="X398">
        <v>0</v>
      </c>
      <c r="Z398">
        <v>0</v>
      </c>
      <c r="AA398">
        <v>0</v>
      </c>
      <c r="AB398">
        <v>8</v>
      </c>
      <c r="AC398">
        <v>136</v>
      </c>
      <c r="AD398">
        <v>1583</v>
      </c>
    </row>
    <row r="399" spans="1:30" x14ac:dyDescent="0.25">
      <c r="H399" t="s">
        <v>893</v>
      </c>
    </row>
    <row r="400" spans="1:30" x14ac:dyDescent="0.25">
      <c r="A400">
        <v>197</v>
      </c>
      <c r="B400">
        <v>2004</v>
      </c>
      <c r="C400" t="s">
        <v>894</v>
      </c>
      <c r="D400" t="s">
        <v>526</v>
      </c>
      <c r="E400" t="s">
        <v>39</v>
      </c>
      <c r="F400" t="s">
        <v>895</v>
      </c>
      <c r="G400" t="str">
        <f>"201412005537"</f>
        <v>201412005537</v>
      </c>
      <c r="H400" t="s">
        <v>896</v>
      </c>
      <c r="I400">
        <v>0</v>
      </c>
      <c r="J400">
        <v>0</v>
      </c>
      <c r="K400">
        <v>0</v>
      </c>
      <c r="L400">
        <v>200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84</v>
      </c>
      <c r="W400">
        <v>588</v>
      </c>
      <c r="X400">
        <v>0</v>
      </c>
      <c r="Z400">
        <v>0</v>
      </c>
      <c r="AA400">
        <v>0</v>
      </c>
      <c r="AB400">
        <v>0</v>
      </c>
      <c r="AC400">
        <v>0</v>
      </c>
      <c r="AD400" t="s">
        <v>897</v>
      </c>
    </row>
    <row r="401" spans="1:30" x14ac:dyDescent="0.25">
      <c r="H401" t="s">
        <v>898</v>
      </c>
    </row>
    <row r="402" spans="1:30" x14ac:dyDescent="0.25">
      <c r="A402">
        <v>198</v>
      </c>
      <c r="B402">
        <v>2110</v>
      </c>
      <c r="C402" t="s">
        <v>899</v>
      </c>
      <c r="D402" t="s">
        <v>694</v>
      </c>
      <c r="E402" t="s">
        <v>251</v>
      </c>
      <c r="F402" t="s">
        <v>900</v>
      </c>
      <c r="G402" t="str">
        <f>"00200575"</f>
        <v>00200575</v>
      </c>
      <c r="H402" t="s">
        <v>754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30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60</v>
      </c>
      <c r="W402">
        <v>420</v>
      </c>
      <c r="X402">
        <v>0</v>
      </c>
      <c r="Z402">
        <v>0</v>
      </c>
      <c r="AA402">
        <v>0</v>
      </c>
      <c r="AB402">
        <v>24</v>
      </c>
      <c r="AC402">
        <v>408</v>
      </c>
      <c r="AD402" t="s">
        <v>901</v>
      </c>
    </row>
    <row r="403" spans="1:30" x14ac:dyDescent="0.25">
      <c r="H403" t="s">
        <v>902</v>
      </c>
    </row>
    <row r="404" spans="1:30" x14ac:dyDescent="0.25">
      <c r="A404">
        <v>199</v>
      </c>
      <c r="B404">
        <v>3949</v>
      </c>
      <c r="C404" t="s">
        <v>903</v>
      </c>
      <c r="D404" t="s">
        <v>315</v>
      </c>
      <c r="E404" t="s">
        <v>904</v>
      </c>
      <c r="F404" t="s">
        <v>905</v>
      </c>
      <c r="G404" t="str">
        <f>"200801003576"</f>
        <v>200801003576</v>
      </c>
      <c r="H404">
        <v>803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30</v>
      </c>
      <c r="R404">
        <v>0</v>
      </c>
      <c r="S404">
        <v>0</v>
      </c>
      <c r="T404">
        <v>0</v>
      </c>
      <c r="U404">
        <v>0</v>
      </c>
      <c r="V404">
        <v>71</v>
      </c>
      <c r="W404">
        <v>497</v>
      </c>
      <c r="X404">
        <v>0</v>
      </c>
      <c r="Z404">
        <v>0</v>
      </c>
      <c r="AA404">
        <v>0</v>
      </c>
      <c r="AB404">
        <v>13</v>
      </c>
      <c r="AC404">
        <v>221</v>
      </c>
      <c r="AD404">
        <v>1581</v>
      </c>
    </row>
    <row r="405" spans="1:30" x14ac:dyDescent="0.25">
      <c r="H405" t="s">
        <v>906</v>
      </c>
    </row>
    <row r="406" spans="1:30" x14ac:dyDescent="0.25">
      <c r="A406">
        <v>200</v>
      </c>
      <c r="B406">
        <v>80</v>
      </c>
      <c r="C406" t="s">
        <v>907</v>
      </c>
      <c r="D406" t="s">
        <v>908</v>
      </c>
      <c r="E406" t="s">
        <v>909</v>
      </c>
      <c r="F406" t="s">
        <v>910</v>
      </c>
      <c r="G406" t="str">
        <f>"00150244"</f>
        <v>00150244</v>
      </c>
      <c r="H406" t="s">
        <v>911</v>
      </c>
      <c r="I406">
        <v>0</v>
      </c>
      <c r="J406">
        <v>0</v>
      </c>
      <c r="K406">
        <v>0</v>
      </c>
      <c r="L406">
        <v>200</v>
      </c>
      <c r="M406">
        <v>0</v>
      </c>
      <c r="N406">
        <v>30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63</v>
      </c>
      <c r="W406">
        <v>441</v>
      </c>
      <c r="X406">
        <v>0</v>
      </c>
      <c r="Z406">
        <v>0</v>
      </c>
      <c r="AA406">
        <v>0</v>
      </c>
      <c r="AB406">
        <v>0</v>
      </c>
      <c r="AC406">
        <v>0</v>
      </c>
      <c r="AD406" t="s">
        <v>912</v>
      </c>
    </row>
    <row r="407" spans="1:30" x14ac:dyDescent="0.25">
      <c r="H407" t="s">
        <v>913</v>
      </c>
    </row>
    <row r="408" spans="1:30" x14ac:dyDescent="0.25">
      <c r="A408">
        <v>201</v>
      </c>
      <c r="B408">
        <v>3763</v>
      </c>
      <c r="C408" t="s">
        <v>914</v>
      </c>
      <c r="D408" t="s">
        <v>661</v>
      </c>
      <c r="E408" t="s">
        <v>495</v>
      </c>
      <c r="F408" t="s">
        <v>915</v>
      </c>
      <c r="G408" t="str">
        <f>"00315885"</f>
        <v>00315885</v>
      </c>
      <c r="H408">
        <v>836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48</v>
      </c>
      <c r="W408">
        <v>336</v>
      </c>
      <c r="X408">
        <v>0</v>
      </c>
      <c r="Z408">
        <v>0</v>
      </c>
      <c r="AA408">
        <v>0</v>
      </c>
      <c r="AB408">
        <v>24</v>
      </c>
      <c r="AC408">
        <v>408</v>
      </c>
      <c r="AD408">
        <v>1580</v>
      </c>
    </row>
    <row r="409" spans="1:30" x14ac:dyDescent="0.25">
      <c r="H409">
        <v>1250</v>
      </c>
    </row>
    <row r="410" spans="1:30" x14ac:dyDescent="0.25">
      <c r="A410">
        <v>202</v>
      </c>
      <c r="B410">
        <v>3861</v>
      </c>
      <c r="C410" t="s">
        <v>916</v>
      </c>
      <c r="D410" t="s">
        <v>223</v>
      </c>
      <c r="E410" t="s">
        <v>239</v>
      </c>
      <c r="F410" t="s">
        <v>917</v>
      </c>
      <c r="G410" t="str">
        <f>"201510003632"</f>
        <v>201510003632</v>
      </c>
      <c r="H410">
        <v>759</v>
      </c>
      <c r="I410">
        <v>0</v>
      </c>
      <c r="J410">
        <v>0</v>
      </c>
      <c r="K410">
        <v>0</v>
      </c>
      <c r="L410">
        <v>200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84</v>
      </c>
      <c r="W410">
        <v>588</v>
      </c>
      <c r="X410">
        <v>0</v>
      </c>
      <c r="Z410">
        <v>0</v>
      </c>
      <c r="AA410">
        <v>0</v>
      </c>
      <c r="AB410">
        <v>0</v>
      </c>
      <c r="AC410">
        <v>0</v>
      </c>
      <c r="AD410">
        <v>1577</v>
      </c>
    </row>
    <row r="411" spans="1:30" x14ac:dyDescent="0.25">
      <c r="H411">
        <v>1249</v>
      </c>
    </row>
    <row r="412" spans="1:30" x14ac:dyDescent="0.25">
      <c r="A412">
        <v>203</v>
      </c>
      <c r="B412">
        <v>1158</v>
      </c>
      <c r="C412" t="s">
        <v>918</v>
      </c>
      <c r="D412" t="s">
        <v>919</v>
      </c>
      <c r="E412" t="s">
        <v>140</v>
      </c>
      <c r="F412" t="s">
        <v>920</v>
      </c>
      <c r="G412" t="str">
        <f>"200901000066"</f>
        <v>200901000066</v>
      </c>
      <c r="H412">
        <v>759</v>
      </c>
      <c r="I412">
        <v>0</v>
      </c>
      <c r="J412">
        <v>0</v>
      </c>
      <c r="K412">
        <v>0</v>
      </c>
      <c r="L412">
        <v>200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84</v>
      </c>
      <c r="W412">
        <v>588</v>
      </c>
      <c r="X412">
        <v>0</v>
      </c>
      <c r="Z412">
        <v>0</v>
      </c>
      <c r="AA412">
        <v>0</v>
      </c>
      <c r="AB412">
        <v>0</v>
      </c>
      <c r="AC412">
        <v>0</v>
      </c>
      <c r="AD412">
        <v>1577</v>
      </c>
    </row>
    <row r="413" spans="1:30" x14ac:dyDescent="0.25">
      <c r="H413" t="s">
        <v>921</v>
      </c>
    </row>
    <row r="414" spans="1:30" x14ac:dyDescent="0.25">
      <c r="A414">
        <v>204</v>
      </c>
      <c r="B414">
        <v>3346</v>
      </c>
      <c r="C414" t="s">
        <v>922</v>
      </c>
      <c r="D414" t="s">
        <v>107</v>
      </c>
      <c r="E414" t="s">
        <v>39</v>
      </c>
      <c r="F414" t="s">
        <v>923</v>
      </c>
      <c r="G414" t="str">
        <f>"201001000375"</f>
        <v>201001000375</v>
      </c>
      <c r="H414">
        <v>649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50</v>
      </c>
      <c r="O414">
        <v>0</v>
      </c>
      <c r="P414">
        <v>50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60</v>
      </c>
      <c r="W414">
        <v>420</v>
      </c>
      <c r="X414">
        <v>0</v>
      </c>
      <c r="Z414">
        <v>0</v>
      </c>
      <c r="AA414">
        <v>0</v>
      </c>
      <c r="AB414">
        <v>24</v>
      </c>
      <c r="AC414">
        <v>408</v>
      </c>
      <c r="AD414">
        <v>1577</v>
      </c>
    </row>
    <row r="415" spans="1:30" x14ac:dyDescent="0.25">
      <c r="H415" t="s">
        <v>924</v>
      </c>
    </row>
    <row r="416" spans="1:30" x14ac:dyDescent="0.25">
      <c r="A416">
        <v>205</v>
      </c>
      <c r="B416">
        <v>5766</v>
      </c>
      <c r="C416" t="s">
        <v>649</v>
      </c>
      <c r="D416" t="s">
        <v>39</v>
      </c>
      <c r="E416" t="s">
        <v>140</v>
      </c>
      <c r="F416" t="s">
        <v>925</v>
      </c>
      <c r="G416" t="str">
        <f>"201406005889"</f>
        <v>201406005889</v>
      </c>
      <c r="H416" t="s">
        <v>760</v>
      </c>
      <c r="I416">
        <v>0</v>
      </c>
      <c r="J416">
        <v>0</v>
      </c>
      <c r="K416">
        <v>0</v>
      </c>
      <c r="L416">
        <v>200</v>
      </c>
      <c r="M416">
        <v>0</v>
      </c>
      <c r="N416">
        <v>30</v>
      </c>
      <c r="O416">
        <v>0</v>
      </c>
      <c r="P416">
        <v>0</v>
      </c>
      <c r="Q416">
        <v>50</v>
      </c>
      <c r="R416">
        <v>0</v>
      </c>
      <c r="S416">
        <v>0</v>
      </c>
      <c r="T416">
        <v>0</v>
      </c>
      <c r="U416">
        <v>0</v>
      </c>
      <c r="V416">
        <v>82</v>
      </c>
      <c r="W416">
        <v>574</v>
      </c>
      <c r="X416">
        <v>0</v>
      </c>
      <c r="Z416">
        <v>0</v>
      </c>
      <c r="AA416">
        <v>0</v>
      </c>
      <c r="AB416">
        <v>0</v>
      </c>
      <c r="AC416">
        <v>0</v>
      </c>
      <c r="AD416" t="s">
        <v>926</v>
      </c>
    </row>
    <row r="417" spans="1:30" x14ac:dyDescent="0.25">
      <c r="H417" t="s">
        <v>927</v>
      </c>
    </row>
    <row r="418" spans="1:30" x14ac:dyDescent="0.25">
      <c r="A418">
        <v>206</v>
      </c>
      <c r="B418">
        <v>1857</v>
      </c>
      <c r="C418" t="s">
        <v>928</v>
      </c>
      <c r="D418" t="s">
        <v>39</v>
      </c>
      <c r="E418" t="s">
        <v>929</v>
      </c>
      <c r="F418" t="s">
        <v>930</v>
      </c>
      <c r="G418" t="str">
        <f>"00262686"</f>
        <v>00262686</v>
      </c>
      <c r="H418">
        <v>858</v>
      </c>
      <c r="I418">
        <v>0</v>
      </c>
      <c r="J418">
        <v>0</v>
      </c>
      <c r="K418">
        <v>0</v>
      </c>
      <c r="L418">
        <v>0</v>
      </c>
      <c r="M418">
        <v>100</v>
      </c>
      <c r="N418">
        <v>30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84</v>
      </c>
      <c r="W418">
        <v>588</v>
      </c>
      <c r="X418">
        <v>0</v>
      </c>
      <c r="Z418">
        <v>0</v>
      </c>
      <c r="AA418">
        <v>0</v>
      </c>
      <c r="AB418">
        <v>0</v>
      </c>
      <c r="AC418">
        <v>0</v>
      </c>
      <c r="AD418">
        <v>1576</v>
      </c>
    </row>
    <row r="419" spans="1:30" x14ac:dyDescent="0.25">
      <c r="H419" t="s">
        <v>931</v>
      </c>
    </row>
    <row r="420" spans="1:30" x14ac:dyDescent="0.25">
      <c r="A420">
        <v>207</v>
      </c>
      <c r="B420">
        <v>4815</v>
      </c>
      <c r="C420" t="s">
        <v>750</v>
      </c>
      <c r="D420" t="s">
        <v>115</v>
      </c>
      <c r="E420" t="s">
        <v>40</v>
      </c>
      <c r="F420" t="s">
        <v>932</v>
      </c>
      <c r="G420" t="str">
        <f>"201402005988"</f>
        <v>201402005988</v>
      </c>
      <c r="H420" t="s">
        <v>933</v>
      </c>
      <c r="I420">
        <v>0</v>
      </c>
      <c r="J420">
        <v>0</v>
      </c>
      <c r="K420">
        <v>0</v>
      </c>
      <c r="L420">
        <v>260</v>
      </c>
      <c r="M420">
        <v>0</v>
      </c>
      <c r="N420">
        <v>70</v>
      </c>
      <c r="O420">
        <v>30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13</v>
      </c>
      <c r="W420">
        <v>91</v>
      </c>
      <c r="X420">
        <v>0</v>
      </c>
      <c r="Z420">
        <v>0</v>
      </c>
      <c r="AA420">
        <v>0</v>
      </c>
      <c r="AB420">
        <v>24</v>
      </c>
      <c r="AC420">
        <v>408</v>
      </c>
      <c r="AD420" t="s">
        <v>934</v>
      </c>
    </row>
    <row r="421" spans="1:30" x14ac:dyDescent="0.25">
      <c r="H421" t="s">
        <v>935</v>
      </c>
    </row>
    <row r="422" spans="1:30" x14ac:dyDescent="0.25">
      <c r="A422">
        <v>208</v>
      </c>
      <c r="B422">
        <v>4096</v>
      </c>
      <c r="C422" t="s">
        <v>936</v>
      </c>
      <c r="D422" t="s">
        <v>400</v>
      </c>
      <c r="E422" t="s">
        <v>439</v>
      </c>
      <c r="F422" t="s">
        <v>937</v>
      </c>
      <c r="G422" t="str">
        <f>"200712003799"</f>
        <v>200712003799</v>
      </c>
      <c r="H422" t="s">
        <v>933</v>
      </c>
      <c r="I422">
        <v>0</v>
      </c>
      <c r="J422">
        <v>0</v>
      </c>
      <c r="K422">
        <v>0</v>
      </c>
      <c r="L422">
        <v>200</v>
      </c>
      <c r="M422">
        <v>0</v>
      </c>
      <c r="N422">
        <v>70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84</v>
      </c>
      <c r="W422">
        <v>588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938</v>
      </c>
    </row>
    <row r="423" spans="1:30" x14ac:dyDescent="0.25">
      <c r="H423" t="s">
        <v>939</v>
      </c>
    </row>
    <row r="424" spans="1:30" x14ac:dyDescent="0.25">
      <c r="A424">
        <v>209</v>
      </c>
      <c r="B424">
        <v>1345</v>
      </c>
      <c r="C424" t="s">
        <v>940</v>
      </c>
      <c r="D424" t="s">
        <v>47</v>
      </c>
      <c r="E424" t="s">
        <v>91</v>
      </c>
      <c r="F424" t="s">
        <v>941</v>
      </c>
      <c r="G424" t="str">
        <f>"201411000126"</f>
        <v>201411000126</v>
      </c>
      <c r="H424">
        <v>726</v>
      </c>
      <c r="I424">
        <v>0</v>
      </c>
      <c r="J424">
        <v>0</v>
      </c>
      <c r="K424">
        <v>0</v>
      </c>
      <c r="L424">
        <v>200</v>
      </c>
      <c r="M424">
        <v>30</v>
      </c>
      <c r="N424">
        <v>30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84</v>
      </c>
      <c r="W424">
        <v>588</v>
      </c>
      <c r="X424">
        <v>0</v>
      </c>
      <c r="Z424">
        <v>0</v>
      </c>
      <c r="AA424">
        <v>0</v>
      </c>
      <c r="AB424">
        <v>0</v>
      </c>
      <c r="AC424">
        <v>0</v>
      </c>
      <c r="AD424">
        <v>1574</v>
      </c>
    </row>
    <row r="425" spans="1:30" x14ac:dyDescent="0.25">
      <c r="H425" t="s">
        <v>942</v>
      </c>
    </row>
    <row r="426" spans="1:30" x14ac:dyDescent="0.25">
      <c r="A426">
        <v>210</v>
      </c>
      <c r="B426">
        <v>4995</v>
      </c>
      <c r="C426" t="s">
        <v>943</v>
      </c>
      <c r="D426" t="s">
        <v>140</v>
      </c>
      <c r="E426" t="s">
        <v>162</v>
      </c>
      <c r="F426" t="s">
        <v>944</v>
      </c>
      <c r="G426" t="str">
        <f>"200907000057"</f>
        <v>200907000057</v>
      </c>
      <c r="H426" t="s">
        <v>123</v>
      </c>
      <c r="I426">
        <v>0</v>
      </c>
      <c r="J426">
        <v>0</v>
      </c>
      <c r="K426">
        <v>0</v>
      </c>
      <c r="L426">
        <v>200</v>
      </c>
      <c r="M426">
        <v>0</v>
      </c>
      <c r="N426">
        <v>50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84</v>
      </c>
      <c r="W426">
        <v>588</v>
      </c>
      <c r="X426">
        <v>0</v>
      </c>
      <c r="Z426">
        <v>0</v>
      </c>
      <c r="AA426">
        <v>0</v>
      </c>
      <c r="AB426">
        <v>0</v>
      </c>
      <c r="AC426">
        <v>0</v>
      </c>
      <c r="AD426" t="s">
        <v>945</v>
      </c>
    </row>
    <row r="427" spans="1:30" x14ac:dyDescent="0.25">
      <c r="H427" t="s">
        <v>946</v>
      </c>
    </row>
    <row r="428" spans="1:30" x14ac:dyDescent="0.25">
      <c r="A428">
        <v>211</v>
      </c>
      <c r="B428">
        <v>6</v>
      </c>
      <c r="C428" t="s">
        <v>947</v>
      </c>
      <c r="D428" t="s">
        <v>40</v>
      </c>
      <c r="E428" t="s">
        <v>92</v>
      </c>
      <c r="F428" t="s">
        <v>948</v>
      </c>
      <c r="G428" t="str">
        <f>"201406004501"</f>
        <v>201406004501</v>
      </c>
      <c r="H428">
        <v>792</v>
      </c>
      <c r="I428">
        <v>0</v>
      </c>
      <c r="J428">
        <v>0</v>
      </c>
      <c r="K428">
        <v>0</v>
      </c>
      <c r="L428">
        <v>200</v>
      </c>
      <c r="M428">
        <v>0</v>
      </c>
      <c r="N428">
        <v>70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73</v>
      </c>
      <c r="W428">
        <v>511</v>
      </c>
      <c r="X428">
        <v>0</v>
      </c>
      <c r="Z428">
        <v>0</v>
      </c>
      <c r="AA428">
        <v>0</v>
      </c>
      <c r="AB428">
        <v>0</v>
      </c>
      <c r="AC428">
        <v>0</v>
      </c>
      <c r="AD428">
        <v>1573</v>
      </c>
    </row>
    <row r="429" spans="1:30" x14ac:dyDescent="0.25">
      <c r="H429" t="s">
        <v>949</v>
      </c>
    </row>
    <row r="430" spans="1:30" x14ac:dyDescent="0.25">
      <c r="A430">
        <v>212</v>
      </c>
      <c r="B430">
        <v>401</v>
      </c>
      <c r="C430" t="s">
        <v>394</v>
      </c>
      <c r="D430" t="s">
        <v>950</v>
      </c>
      <c r="E430" t="s">
        <v>87</v>
      </c>
      <c r="F430" t="s">
        <v>951</v>
      </c>
      <c r="G430" t="str">
        <f>"00266146"</f>
        <v>00266146</v>
      </c>
      <c r="H430">
        <v>715</v>
      </c>
      <c r="I430">
        <v>0</v>
      </c>
      <c r="J430">
        <v>0</v>
      </c>
      <c r="K430">
        <v>0</v>
      </c>
      <c r="L430">
        <v>200</v>
      </c>
      <c r="M430">
        <v>0</v>
      </c>
      <c r="N430">
        <v>70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84</v>
      </c>
      <c r="W430">
        <v>588</v>
      </c>
      <c r="X430">
        <v>0</v>
      </c>
      <c r="Z430">
        <v>2</v>
      </c>
      <c r="AA430">
        <v>0</v>
      </c>
      <c r="AB430">
        <v>0</v>
      </c>
      <c r="AC430">
        <v>0</v>
      </c>
      <c r="AD430">
        <v>1573</v>
      </c>
    </row>
    <row r="431" spans="1:30" x14ac:dyDescent="0.25">
      <c r="H431" t="s">
        <v>952</v>
      </c>
    </row>
    <row r="432" spans="1:30" x14ac:dyDescent="0.25">
      <c r="A432">
        <v>213</v>
      </c>
      <c r="B432">
        <v>3066</v>
      </c>
      <c r="C432" t="s">
        <v>953</v>
      </c>
      <c r="D432" t="s">
        <v>223</v>
      </c>
      <c r="E432" t="s">
        <v>39</v>
      </c>
      <c r="F432" t="s">
        <v>954</v>
      </c>
      <c r="G432" t="str">
        <f>"00229997"</f>
        <v>00229997</v>
      </c>
      <c r="H432">
        <v>715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60</v>
      </c>
      <c r="W432">
        <v>420</v>
      </c>
      <c r="X432">
        <v>0</v>
      </c>
      <c r="Z432">
        <v>0</v>
      </c>
      <c r="AA432">
        <v>0</v>
      </c>
      <c r="AB432">
        <v>24</v>
      </c>
      <c r="AC432">
        <v>408</v>
      </c>
      <c r="AD432">
        <v>1573</v>
      </c>
    </row>
    <row r="433" spans="1:30" x14ac:dyDescent="0.25">
      <c r="H433" t="s">
        <v>955</v>
      </c>
    </row>
    <row r="434" spans="1:30" x14ac:dyDescent="0.25">
      <c r="A434">
        <v>214</v>
      </c>
      <c r="B434">
        <v>1616</v>
      </c>
      <c r="C434" t="s">
        <v>956</v>
      </c>
      <c r="D434" t="s">
        <v>346</v>
      </c>
      <c r="E434" t="s">
        <v>183</v>
      </c>
      <c r="F434" t="s">
        <v>957</v>
      </c>
      <c r="G434" t="str">
        <f>"00017436"</f>
        <v>00017436</v>
      </c>
      <c r="H434">
        <v>913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70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84</v>
      </c>
      <c r="W434">
        <v>588</v>
      </c>
      <c r="X434">
        <v>0</v>
      </c>
      <c r="Z434">
        <v>0</v>
      </c>
      <c r="AA434">
        <v>0</v>
      </c>
      <c r="AB434">
        <v>0</v>
      </c>
      <c r="AC434">
        <v>0</v>
      </c>
      <c r="AD434">
        <v>1571</v>
      </c>
    </row>
    <row r="435" spans="1:30" x14ac:dyDescent="0.25">
      <c r="H435" t="s">
        <v>958</v>
      </c>
    </row>
    <row r="436" spans="1:30" x14ac:dyDescent="0.25">
      <c r="A436">
        <v>215</v>
      </c>
      <c r="B436">
        <v>2341</v>
      </c>
      <c r="C436" t="s">
        <v>959</v>
      </c>
      <c r="D436" t="s">
        <v>140</v>
      </c>
      <c r="E436" t="s">
        <v>176</v>
      </c>
      <c r="F436" t="s">
        <v>960</v>
      </c>
      <c r="G436" t="str">
        <f>"00316052"</f>
        <v>00316052</v>
      </c>
      <c r="H436" t="s">
        <v>854</v>
      </c>
      <c r="I436">
        <v>0</v>
      </c>
      <c r="J436">
        <v>0</v>
      </c>
      <c r="K436">
        <v>0</v>
      </c>
      <c r="L436">
        <v>200</v>
      </c>
      <c r="M436">
        <v>0</v>
      </c>
      <c r="N436">
        <v>70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84</v>
      </c>
      <c r="W436">
        <v>588</v>
      </c>
      <c r="X436">
        <v>0</v>
      </c>
      <c r="Z436">
        <v>2</v>
      </c>
      <c r="AA436">
        <v>0</v>
      </c>
      <c r="AB436">
        <v>0</v>
      </c>
      <c r="AC436">
        <v>0</v>
      </c>
      <c r="AD436" t="s">
        <v>961</v>
      </c>
    </row>
    <row r="437" spans="1:30" x14ac:dyDescent="0.25">
      <c r="H437" t="s">
        <v>962</v>
      </c>
    </row>
    <row r="438" spans="1:30" x14ac:dyDescent="0.25">
      <c r="A438">
        <v>216</v>
      </c>
      <c r="B438">
        <v>5107</v>
      </c>
      <c r="C438" t="s">
        <v>963</v>
      </c>
      <c r="D438" t="s">
        <v>162</v>
      </c>
      <c r="E438" t="s">
        <v>964</v>
      </c>
      <c r="F438" t="s">
        <v>965</v>
      </c>
      <c r="G438" t="str">
        <f>"00366644"</f>
        <v>00366644</v>
      </c>
      <c r="H438">
        <v>781</v>
      </c>
      <c r="I438">
        <v>0</v>
      </c>
      <c r="J438">
        <v>0</v>
      </c>
      <c r="K438">
        <v>0</v>
      </c>
      <c r="L438">
        <v>200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84</v>
      </c>
      <c r="W438">
        <v>588</v>
      </c>
      <c r="X438">
        <v>0</v>
      </c>
      <c r="Z438">
        <v>0</v>
      </c>
      <c r="AA438">
        <v>0</v>
      </c>
      <c r="AB438">
        <v>0</v>
      </c>
      <c r="AC438">
        <v>0</v>
      </c>
      <c r="AD438">
        <v>1569</v>
      </c>
    </row>
    <row r="439" spans="1:30" x14ac:dyDescent="0.25">
      <c r="H439" t="s">
        <v>966</v>
      </c>
    </row>
    <row r="440" spans="1:30" x14ac:dyDescent="0.25">
      <c r="A440">
        <v>217</v>
      </c>
      <c r="B440">
        <v>4512</v>
      </c>
      <c r="C440" t="s">
        <v>967</v>
      </c>
      <c r="D440" t="s">
        <v>162</v>
      </c>
      <c r="E440" t="s">
        <v>968</v>
      </c>
      <c r="F440" t="s">
        <v>969</v>
      </c>
      <c r="G440" t="str">
        <f>"200802008736"</f>
        <v>200802008736</v>
      </c>
      <c r="H440" t="s">
        <v>970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50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30</v>
      </c>
      <c r="U440">
        <v>0</v>
      </c>
      <c r="V440">
        <v>84</v>
      </c>
      <c r="W440">
        <v>588</v>
      </c>
      <c r="X440">
        <v>0</v>
      </c>
      <c r="Z440">
        <v>0</v>
      </c>
      <c r="AA440">
        <v>0</v>
      </c>
      <c r="AB440">
        <v>0</v>
      </c>
      <c r="AC440">
        <v>0</v>
      </c>
      <c r="AD440" t="s">
        <v>971</v>
      </c>
    </row>
    <row r="441" spans="1:30" x14ac:dyDescent="0.25">
      <c r="H441" t="s">
        <v>972</v>
      </c>
    </row>
    <row r="442" spans="1:30" x14ac:dyDescent="0.25">
      <c r="A442">
        <v>218</v>
      </c>
      <c r="B442">
        <v>3903</v>
      </c>
      <c r="C442" t="s">
        <v>973</v>
      </c>
      <c r="D442" t="s">
        <v>91</v>
      </c>
      <c r="E442" t="s">
        <v>974</v>
      </c>
      <c r="F442" t="s">
        <v>975</v>
      </c>
      <c r="G442" t="str">
        <f>"200801010456"</f>
        <v>200801010456</v>
      </c>
      <c r="H442" t="s">
        <v>976</v>
      </c>
      <c r="I442">
        <v>0</v>
      </c>
      <c r="J442">
        <v>0</v>
      </c>
      <c r="K442">
        <v>0</v>
      </c>
      <c r="L442">
        <v>200</v>
      </c>
      <c r="M442">
        <v>0</v>
      </c>
      <c r="N442">
        <v>70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12</v>
      </c>
      <c r="W442">
        <v>84</v>
      </c>
      <c r="X442">
        <v>0</v>
      </c>
      <c r="Z442">
        <v>0</v>
      </c>
      <c r="AA442">
        <v>0</v>
      </c>
      <c r="AB442">
        <v>18</v>
      </c>
      <c r="AC442">
        <v>306</v>
      </c>
      <c r="AD442" t="s">
        <v>977</v>
      </c>
    </row>
    <row r="443" spans="1:30" x14ac:dyDescent="0.25">
      <c r="H443" t="s">
        <v>978</v>
      </c>
    </row>
    <row r="444" spans="1:30" x14ac:dyDescent="0.25">
      <c r="A444">
        <v>219</v>
      </c>
      <c r="B444">
        <v>3615</v>
      </c>
      <c r="C444" t="s">
        <v>979</v>
      </c>
      <c r="D444" t="s">
        <v>526</v>
      </c>
      <c r="E444" t="s">
        <v>47</v>
      </c>
      <c r="F444" t="s">
        <v>980</v>
      </c>
      <c r="G444" t="str">
        <f>"200802005912"</f>
        <v>200802005912</v>
      </c>
      <c r="H444">
        <v>748</v>
      </c>
      <c r="I444">
        <v>0</v>
      </c>
      <c r="J444">
        <v>0</v>
      </c>
      <c r="K444">
        <v>0</v>
      </c>
      <c r="L444">
        <v>200</v>
      </c>
      <c r="M444">
        <v>0</v>
      </c>
      <c r="N444">
        <v>30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84</v>
      </c>
      <c r="W444">
        <v>588</v>
      </c>
      <c r="X444">
        <v>0</v>
      </c>
      <c r="Z444">
        <v>0</v>
      </c>
      <c r="AA444">
        <v>0</v>
      </c>
      <c r="AB444">
        <v>0</v>
      </c>
      <c r="AC444">
        <v>0</v>
      </c>
      <c r="AD444">
        <v>1566</v>
      </c>
    </row>
    <row r="445" spans="1:30" x14ac:dyDescent="0.25">
      <c r="H445" t="s">
        <v>981</v>
      </c>
    </row>
    <row r="446" spans="1:30" x14ac:dyDescent="0.25">
      <c r="A446">
        <v>220</v>
      </c>
      <c r="B446">
        <v>2307</v>
      </c>
      <c r="C446" t="s">
        <v>982</v>
      </c>
      <c r="D446" t="s">
        <v>983</v>
      </c>
      <c r="E446" t="s">
        <v>39</v>
      </c>
      <c r="F446" t="s">
        <v>984</v>
      </c>
      <c r="G446" t="str">
        <f>"00251743"</f>
        <v>00251743</v>
      </c>
      <c r="H446">
        <v>715</v>
      </c>
      <c r="I446">
        <v>0</v>
      </c>
      <c r="J446">
        <v>0</v>
      </c>
      <c r="K446">
        <v>0</v>
      </c>
      <c r="L446">
        <v>200</v>
      </c>
      <c r="M446">
        <v>0</v>
      </c>
      <c r="N446">
        <v>70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83</v>
      </c>
      <c r="W446">
        <v>581</v>
      </c>
      <c r="X446">
        <v>0</v>
      </c>
      <c r="Z446">
        <v>0</v>
      </c>
      <c r="AA446">
        <v>0</v>
      </c>
      <c r="AB446">
        <v>0</v>
      </c>
      <c r="AC446">
        <v>0</v>
      </c>
      <c r="AD446">
        <v>1566</v>
      </c>
    </row>
    <row r="447" spans="1:30" x14ac:dyDescent="0.25">
      <c r="H447" t="s">
        <v>985</v>
      </c>
    </row>
    <row r="448" spans="1:30" x14ac:dyDescent="0.25">
      <c r="A448">
        <v>221</v>
      </c>
      <c r="B448">
        <v>1690</v>
      </c>
      <c r="C448" t="s">
        <v>986</v>
      </c>
      <c r="D448" t="s">
        <v>830</v>
      </c>
      <c r="E448" t="s">
        <v>39</v>
      </c>
      <c r="F448" t="s">
        <v>987</v>
      </c>
      <c r="G448" t="str">
        <f>"200802007743"</f>
        <v>200802007743</v>
      </c>
      <c r="H448" t="s">
        <v>988</v>
      </c>
      <c r="I448">
        <v>150</v>
      </c>
      <c r="J448">
        <v>0</v>
      </c>
      <c r="K448">
        <v>0</v>
      </c>
      <c r="L448">
        <v>0</v>
      </c>
      <c r="M448">
        <v>0</v>
      </c>
      <c r="N448">
        <v>50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84</v>
      </c>
      <c r="W448">
        <v>588</v>
      </c>
      <c r="X448">
        <v>0</v>
      </c>
      <c r="Z448">
        <v>0</v>
      </c>
      <c r="AA448">
        <v>0</v>
      </c>
      <c r="AB448">
        <v>0</v>
      </c>
      <c r="AC448">
        <v>0</v>
      </c>
      <c r="AD448" t="s">
        <v>989</v>
      </c>
    </row>
    <row r="449" spans="1:30" x14ac:dyDescent="0.25">
      <c r="H449" t="s">
        <v>990</v>
      </c>
    </row>
    <row r="450" spans="1:30" x14ac:dyDescent="0.25">
      <c r="A450">
        <v>222</v>
      </c>
      <c r="B450">
        <v>3353</v>
      </c>
      <c r="C450" t="s">
        <v>991</v>
      </c>
      <c r="D450" t="s">
        <v>75</v>
      </c>
      <c r="E450" t="s">
        <v>162</v>
      </c>
      <c r="F450" t="s">
        <v>992</v>
      </c>
      <c r="G450" t="str">
        <f>"00368577"</f>
        <v>00368577</v>
      </c>
      <c r="H450">
        <v>737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60</v>
      </c>
      <c r="W450">
        <v>420</v>
      </c>
      <c r="X450">
        <v>0</v>
      </c>
      <c r="Z450">
        <v>2</v>
      </c>
      <c r="AA450">
        <v>0</v>
      </c>
      <c r="AB450">
        <v>24</v>
      </c>
      <c r="AC450">
        <v>408</v>
      </c>
      <c r="AD450">
        <v>1565</v>
      </c>
    </row>
    <row r="451" spans="1:30" x14ac:dyDescent="0.25">
      <c r="H451" t="s">
        <v>993</v>
      </c>
    </row>
    <row r="452" spans="1:30" x14ac:dyDescent="0.25">
      <c r="A452">
        <v>223</v>
      </c>
      <c r="B452">
        <v>4471</v>
      </c>
      <c r="C452" t="s">
        <v>994</v>
      </c>
      <c r="D452" t="s">
        <v>39</v>
      </c>
      <c r="E452" t="s">
        <v>995</v>
      </c>
      <c r="F452" t="s">
        <v>996</v>
      </c>
      <c r="G452" t="str">
        <f>"00249261"</f>
        <v>00249261</v>
      </c>
      <c r="H452">
        <v>737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60</v>
      </c>
      <c r="W452">
        <v>420</v>
      </c>
      <c r="X452">
        <v>0</v>
      </c>
      <c r="Z452">
        <v>0</v>
      </c>
      <c r="AA452">
        <v>0</v>
      </c>
      <c r="AB452">
        <v>24</v>
      </c>
      <c r="AC452">
        <v>408</v>
      </c>
      <c r="AD452">
        <v>1565</v>
      </c>
    </row>
    <row r="453" spans="1:30" x14ac:dyDescent="0.25">
      <c r="H453" t="s">
        <v>997</v>
      </c>
    </row>
    <row r="454" spans="1:30" x14ac:dyDescent="0.25">
      <c r="A454">
        <v>224</v>
      </c>
      <c r="B454">
        <v>1011</v>
      </c>
      <c r="C454" t="s">
        <v>998</v>
      </c>
      <c r="D454" t="s">
        <v>999</v>
      </c>
      <c r="E454" t="s">
        <v>202</v>
      </c>
      <c r="F454" t="s">
        <v>1000</v>
      </c>
      <c r="G454" t="str">
        <f>"201406002907"</f>
        <v>201406002907</v>
      </c>
      <c r="H454">
        <v>726</v>
      </c>
      <c r="I454">
        <v>0</v>
      </c>
      <c r="J454">
        <v>0</v>
      </c>
      <c r="K454">
        <v>0</v>
      </c>
      <c r="L454">
        <v>200</v>
      </c>
      <c r="M454">
        <v>0</v>
      </c>
      <c r="N454">
        <v>50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84</v>
      </c>
      <c r="W454">
        <v>588</v>
      </c>
      <c r="X454">
        <v>0</v>
      </c>
      <c r="Z454">
        <v>0</v>
      </c>
      <c r="AA454">
        <v>0</v>
      </c>
      <c r="AB454">
        <v>0</v>
      </c>
      <c r="AC454">
        <v>0</v>
      </c>
      <c r="AD454">
        <v>1564</v>
      </c>
    </row>
    <row r="455" spans="1:30" x14ac:dyDescent="0.25">
      <c r="H455" t="s">
        <v>1001</v>
      </c>
    </row>
    <row r="456" spans="1:30" x14ac:dyDescent="0.25">
      <c r="A456">
        <v>225</v>
      </c>
      <c r="B456">
        <v>2099</v>
      </c>
      <c r="C456" t="s">
        <v>1002</v>
      </c>
      <c r="D456" t="s">
        <v>140</v>
      </c>
      <c r="E456" t="s">
        <v>99</v>
      </c>
      <c r="F456" t="s">
        <v>1003</v>
      </c>
      <c r="G456" t="str">
        <f>"00228240"</f>
        <v>00228240</v>
      </c>
      <c r="H456" t="s">
        <v>436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70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60</v>
      </c>
      <c r="W456">
        <v>420</v>
      </c>
      <c r="X456">
        <v>0</v>
      </c>
      <c r="Z456">
        <v>0</v>
      </c>
      <c r="AA456">
        <v>0</v>
      </c>
      <c r="AB456">
        <v>24</v>
      </c>
      <c r="AC456">
        <v>408</v>
      </c>
      <c r="AD456" t="s">
        <v>1004</v>
      </c>
    </row>
    <row r="457" spans="1:30" x14ac:dyDescent="0.25">
      <c r="H457" t="s">
        <v>1005</v>
      </c>
    </row>
    <row r="458" spans="1:30" x14ac:dyDescent="0.25">
      <c r="A458">
        <v>226</v>
      </c>
      <c r="B458">
        <v>1298</v>
      </c>
      <c r="C458" t="s">
        <v>1006</v>
      </c>
      <c r="D458" t="s">
        <v>14</v>
      </c>
      <c r="E458" t="s">
        <v>239</v>
      </c>
      <c r="F458" t="s">
        <v>1007</v>
      </c>
      <c r="G458" t="str">
        <f>"00286521"</f>
        <v>00286521</v>
      </c>
      <c r="H458" t="s">
        <v>192</v>
      </c>
      <c r="I458">
        <v>150</v>
      </c>
      <c r="J458">
        <v>0</v>
      </c>
      <c r="K458">
        <v>0</v>
      </c>
      <c r="L458">
        <v>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84</v>
      </c>
      <c r="W458">
        <v>588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1008</v>
      </c>
    </row>
    <row r="459" spans="1:30" x14ac:dyDescent="0.25">
      <c r="H459">
        <v>1249</v>
      </c>
    </row>
    <row r="460" spans="1:30" x14ac:dyDescent="0.25">
      <c r="A460">
        <v>227</v>
      </c>
      <c r="B460">
        <v>367</v>
      </c>
      <c r="C460" t="s">
        <v>1009</v>
      </c>
      <c r="D460" t="s">
        <v>830</v>
      </c>
      <c r="E460" t="s">
        <v>183</v>
      </c>
      <c r="F460" t="s">
        <v>1010</v>
      </c>
      <c r="G460" t="str">
        <f>"200801001453"</f>
        <v>200801001453</v>
      </c>
      <c r="H460">
        <v>748</v>
      </c>
      <c r="I460">
        <v>0</v>
      </c>
      <c r="J460">
        <v>0</v>
      </c>
      <c r="K460">
        <v>0</v>
      </c>
      <c r="L460">
        <v>200</v>
      </c>
      <c r="M460">
        <v>0</v>
      </c>
      <c r="N460">
        <v>30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64</v>
      </c>
      <c r="W460">
        <v>448</v>
      </c>
      <c r="X460">
        <v>0</v>
      </c>
      <c r="Z460">
        <v>0</v>
      </c>
      <c r="AA460">
        <v>0</v>
      </c>
      <c r="AB460">
        <v>8</v>
      </c>
      <c r="AC460">
        <v>136</v>
      </c>
      <c r="AD460">
        <v>1562</v>
      </c>
    </row>
    <row r="461" spans="1:30" x14ac:dyDescent="0.25">
      <c r="H461" t="s">
        <v>1011</v>
      </c>
    </row>
    <row r="462" spans="1:30" x14ac:dyDescent="0.25">
      <c r="A462">
        <v>228</v>
      </c>
      <c r="B462">
        <v>1545</v>
      </c>
      <c r="C462" t="s">
        <v>1012</v>
      </c>
      <c r="D462" t="s">
        <v>335</v>
      </c>
      <c r="E462" t="s">
        <v>40</v>
      </c>
      <c r="F462" t="s">
        <v>1013</v>
      </c>
      <c r="G462" t="str">
        <f>"200902000567"</f>
        <v>200902000567</v>
      </c>
      <c r="H462">
        <v>704</v>
      </c>
      <c r="I462">
        <v>0</v>
      </c>
      <c r="J462">
        <v>0</v>
      </c>
      <c r="K462">
        <v>0</v>
      </c>
      <c r="L462">
        <v>200</v>
      </c>
      <c r="M462">
        <v>0</v>
      </c>
      <c r="N462">
        <v>70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84</v>
      </c>
      <c r="W462">
        <v>588</v>
      </c>
      <c r="X462">
        <v>0</v>
      </c>
      <c r="Z462">
        <v>0</v>
      </c>
      <c r="AA462">
        <v>0</v>
      </c>
      <c r="AB462">
        <v>0</v>
      </c>
      <c r="AC462">
        <v>0</v>
      </c>
      <c r="AD462">
        <v>1562</v>
      </c>
    </row>
    <row r="463" spans="1:30" x14ac:dyDescent="0.25">
      <c r="H463" t="s">
        <v>1014</v>
      </c>
    </row>
    <row r="464" spans="1:30" x14ac:dyDescent="0.25">
      <c r="A464">
        <v>229</v>
      </c>
      <c r="B464">
        <v>617</v>
      </c>
      <c r="C464" t="s">
        <v>1015</v>
      </c>
      <c r="D464" t="s">
        <v>182</v>
      </c>
      <c r="E464" t="s">
        <v>1016</v>
      </c>
      <c r="F464" t="s">
        <v>1017</v>
      </c>
      <c r="G464" t="str">
        <f>"201406014289"</f>
        <v>201406014289</v>
      </c>
      <c r="H464">
        <v>704</v>
      </c>
      <c r="I464">
        <v>0</v>
      </c>
      <c r="J464">
        <v>0</v>
      </c>
      <c r="K464">
        <v>0</v>
      </c>
      <c r="L464">
        <v>200</v>
      </c>
      <c r="M464">
        <v>0</v>
      </c>
      <c r="N464">
        <v>70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84</v>
      </c>
      <c r="W464">
        <v>588</v>
      </c>
      <c r="X464">
        <v>0</v>
      </c>
      <c r="Z464">
        <v>0</v>
      </c>
      <c r="AA464">
        <v>0</v>
      </c>
      <c r="AB464">
        <v>0</v>
      </c>
      <c r="AC464">
        <v>0</v>
      </c>
      <c r="AD464">
        <v>1562</v>
      </c>
    </row>
    <row r="465" spans="1:30" x14ac:dyDescent="0.25">
      <c r="H465" t="s">
        <v>1018</v>
      </c>
    </row>
    <row r="466" spans="1:30" x14ac:dyDescent="0.25">
      <c r="A466">
        <v>230</v>
      </c>
      <c r="B466">
        <v>4065</v>
      </c>
      <c r="C466" t="s">
        <v>1019</v>
      </c>
      <c r="D466" t="s">
        <v>494</v>
      </c>
      <c r="E466" t="s">
        <v>47</v>
      </c>
      <c r="F466" t="s">
        <v>1020</v>
      </c>
      <c r="G466" t="str">
        <f>"00023818"</f>
        <v>00023818</v>
      </c>
      <c r="H466">
        <v>704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30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60</v>
      </c>
      <c r="W466">
        <v>420</v>
      </c>
      <c r="X466">
        <v>0</v>
      </c>
      <c r="Z466">
        <v>0</v>
      </c>
      <c r="AA466">
        <v>0</v>
      </c>
      <c r="AB466">
        <v>24</v>
      </c>
      <c r="AC466">
        <v>408</v>
      </c>
      <c r="AD466">
        <v>1562</v>
      </c>
    </row>
    <row r="467" spans="1:30" x14ac:dyDescent="0.25">
      <c r="H467" t="s">
        <v>1021</v>
      </c>
    </row>
    <row r="468" spans="1:30" x14ac:dyDescent="0.25">
      <c r="A468">
        <v>231</v>
      </c>
      <c r="B468">
        <v>3608</v>
      </c>
      <c r="C468" t="s">
        <v>1022</v>
      </c>
      <c r="D468" t="s">
        <v>98</v>
      </c>
      <c r="E468" t="s">
        <v>107</v>
      </c>
      <c r="F468" t="s">
        <v>1023</v>
      </c>
      <c r="G468" t="str">
        <f>"00360378"</f>
        <v>00360378</v>
      </c>
      <c r="H468">
        <v>803</v>
      </c>
      <c r="I468">
        <v>0</v>
      </c>
      <c r="J468">
        <v>0</v>
      </c>
      <c r="K468">
        <v>0</v>
      </c>
      <c r="L468">
        <v>0</v>
      </c>
      <c r="M468">
        <v>100</v>
      </c>
      <c r="N468">
        <v>70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84</v>
      </c>
      <c r="W468">
        <v>588</v>
      </c>
      <c r="X468">
        <v>0</v>
      </c>
      <c r="Z468">
        <v>0</v>
      </c>
      <c r="AA468">
        <v>0</v>
      </c>
      <c r="AB468">
        <v>0</v>
      </c>
      <c r="AC468">
        <v>0</v>
      </c>
      <c r="AD468">
        <v>1561</v>
      </c>
    </row>
    <row r="469" spans="1:30" x14ac:dyDescent="0.25">
      <c r="H469" t="s">
        <v>746</v>
      </c>
    </row>
    <row r="470" spans="1:30" x14ac:dyDescent="0.25">
      <c r="A470">
        <v>232</v>
      </c>
      <c r="B470">
        <v>3431</v>
      </c>
      <c r="C470" t="s">
        <v>1024</v>
      </c>
      <c r="D470" t="s">
        <v>166</v>
      </c>
      <c r="E470" t="s">
        <v>151</v>
      </c>
      <c r="F470" t="s">
        <v>1025</v>
      </c>
      <c r="G470" t="str">
        <f>"00366011"</f>
        <v>00366011</v>
      </c>
      <c r="H470" t="s">
        <v>332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60</v>
      </c>
      <c r="W470">
        <v>420</v>
      </c>
      <c r="X470">
        <v>0</v>
      </c>
      <c r="Z470">
        <v>0</v>
      </c>
      <c r="AA470">
        <v>0</v>
      </c>
      <c r="AB470">
        <v>24</v>
      </c>
      <c r="AC470">
        <v>408</v>
      </c>
      <c r="AD470" t="s">
        <v>1026</v>
      </c>
    </row>
    <row r="471" spans="1:30" x14ac:dyDescent="0.25">
      <c r="H471" t="s">
        <v>1027</v>
      </c>
    </row>
    <row r="472" spans="1:30" x14ac:dyDescent="0.25">
      <c r="A472">
        <v>233</v>
      </c>
      <c r="B472">
        <v>484</v>
      </c>
      <c r="C472" t="s">
        <v>1028</v>
      </c>
      <c r="D472" t="s">
        <v>335</v>
      </c>
      <c r="E472" t="s">
        <v>40</v>
      </c>
      <c r="F472" t="s">
        <v>1029</v>
      </c>
      <c r="G472" t="str">
        <f>"201510004128"</f>
        <v>201510004128</v>
      </c>
      <c r="H472" t="s">
        <v>1030</v>
      </c>
      <c r="I472">
        <v>150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84</v>
      </c>
      <c r="W472">
        <v>588</v>
      </c>
      <c r="X472">
        <v>0</v>
      </c>
      <c r="Z472">
        <v>0</v>
      </c>
      <c r="AA472">
        <v>0</v>
      </c>
      <c r="AB472">
        <v>0</v>
      </c>
      <c r="AC472">
        <v>0</v>
      </c>
      <c r="AD472" t="s">
        <v>1031</v>
      </c>
    </row>
    <row r="473" spans="1:30" x14ac:dyDescent="0.25">
      <c r="H473" t="s">
        <v>1032</v>
      </c>
    </row>
    <row r="474" spans="1:30" x14ac:dyDescent="0.25">
      <c r="A474">
        <v>234</v>
      </c>
      <c r="B474">
        <v>4683</v>
      </c>
      <c r="C474" t="s">
        <v>1033</v>
      </c>
      <c r="D474" t="s">
        <v>1034</v>
      </c>
      <c r="E474" t="s">
        <v>439</v>
      </c>
      <c r="F474" t="s">
        <v>1035</v>
      </c>
      <c r="G474" t="str">
        <f>"00355393"</f>
        <v>00355393</v>
      </c>
      <c r="H474" t="s">
        <v>117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60</v>
      </c>
      <c r="W474">
        <v>420</v>
      </c>
      <c r="X474">
        <v>0</v>
      </c>
      <c r="Z474">
        <v>0</v>
      </c>
      <c r="AA474">
        <v>0</v>
      </c>
      <c r="AB474">
        <v>24</v>
      </c>
      <c r="AC474">
        <v>408</v>
      </c>
      <c r="AD474" t="s">
        <v>1036</v>
      </c>
    </row>
    <row r="475" spans="1:30" x14ac:dyDescent="0.25">
      <c r="H475" t="s">
        <v>1037</v>
      </c>
    </row>
    <row r="476" spans="1:30" x14ac:dyDescent="0.25">
      <c r="A476">
        <v>235</v>
      </c>
      <c r="B476">
        <v>2461</v>
      </c>
      <c r="C476" t="s">
        <v>1038</v>
      </c>
      <c r="D476" t="s">
        <v>162</v>
      </c>
      <c r="E476" t="s">
        <v>1039</v>
      </c>
      <c r="F476" t="s">
        <v>1040</v>
      </c>
      <c r="G476" t="str">
        <f>"00279161"</f>
        <v>00279161</v>
      </c>
      <c r="H476" t="s">
        <v>117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60</v>
      </c>
      <c r="W476">
        <v>420</v>
      </c>
      <c r="X476">
        <v>0</v>
      </c>
      <c r="Z476">
        <v>0</v>
      </c>
      <c r="AA476">
        <v>0</v>
      </c>
      <c r="AB476">
        <v>24</v>
      </c>
      <c r="AC476">
        <v>408</v>
      </c>
      <c r="AD476" t="s">
        <v>1036</v>
      </c>
    </row>
    <row r="477" spans="1:30" x14ac:dyDescent="0.25">
      <c r="H477">
        <v>1247</v>
      </c>
    </row>
    <row r="478" spans="1:30" x14ac:dyDescent="0.25">
      <c r="A478">
        <v>236</v>
      </c>
      <c r="B478">
        <v>654</v>
      </c>
      <c r="C478" t="s">
        <v>1041</v>
      </c>
      <c r="D478" t="s">
        <v>182</v>
      </c>
      <c r="E478" t="s">
        <v>107</v>
      </c>
      <c r="F478" t="s">
        <v>1042</v>
      </c>
      <c r="G478" t="str">
        <f>"00030794"</f>
        <v>00030794</v>
      </c>
      <c r="H478" t="s">
        <v>1043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70</v>
      </c>
      <c r="O478">
        <v>0</v>
      </c>
      <c r="P478">
        <v>0</v>
      </c>
      <c r="Q478">
        <v>0</v>
      </c>
      <c r="R478">
        <v>30</v>
      </c>
      <c r="S478">
        <v>0</v>
      </c>
      <c r="T478">
        <v>0</v>
      </c>
      <c r="U478">
        <v>0</v>
      </c>
      <c r="V478">
        <v>84</v>
      </c>
      <c r="W478">
        <v>588</v>
      </c>
      <c r="X478">
        <v>0</v>
      </c>
      <c r="Z478">
        <v>0</v>
      </c>
      <c r="AA478">
        <v>0</v>
      </c>
      <c r="AB478">
        <v>0</v>
      </c>
      <c r="AC478">
        <v>0</v>
      </c>
      <c r="AD478" t="s">
        <v>1044</v>
      </c>
    </row>
    <row r="479" spans="1:30" x14ac:dyDescent="0.25">
      <c r="H479" t="s">
        <v>1045</v>
      </c>
    </row>
    <row r="480" spans="1:30" x14ac:dyDescent="0.25">
      <c r="A480">
        <v>237</v>
      </c>
      <c r="B480">
        <v>2800</v>
      </c>
      <c r="C480" t="s">
        <v>1046</v>
      </c>
      <c r="D480" t="s">
        <v>14</v>
      </c>
      <c r="E480" t="s">
        <v>429</v>
      </c>
      <c r="F480" t="s">
        <v>1047</v>
      </c>
      <c r="G480" t="str">
        <f>"00166774"</f>
        <v>00166774</v>
      </c>
      <c r="H480">
        <v>770</v>
      </c>
      <c r="I480">
        <v>0</v>
      </c>
      <c r="J480">
        <v>0</v>
      </c>
      <c r="K480">
        <v>0</v>
      </c>
      <c r="L480">
        <v>200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84</v>
      </c>
      <c r="W480">
        <v>588</v>
      </c>
      <c r="X480">
        <v>0</v>
      </c>
      <c r="Z480">
        <v>0</v>
      </c>
      <c r="AA480">
        <v>0</v>
      </c>
      <c r="AB480">
        <v>0</v>
      </c>
      <c r="AC480">
        <v>0</v>
      </c>
      <c r="AD480">
        <v>1558</v>
      </c>
    </row>
    <row r="481" spans="1:30" x14ac:dyDescent="0.25">
      <c r="H481" t="s">
        <v>1048</v>
      </c>
    </row>
    <row r="482" spans="1:30" x14ac:dyDescent="0.25">
      <c r="A482">
        <v>238</v>
      </c>
      <c r="B482">
        <v>4677</v>
      </c>
      <c r="C482" t="s">
        <v>1049</v>
      </c>
      <c r="D482" t="s">
        <v>335</v>
      </c>
      <c r="E482" t="s">
        <v>92</v>
      </c>
      <c r="F482" t="s">
        <v>1050</v>
      </c>
      <c r="G482" t="str">
        <f>"00310187"</f>
        <v>00310187</v>
      </c>
      <c r="H482">
        <v>759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30</v>
      </c>
      <c r="T482">
        <v>0</v>
      </c>
      <c r="U482">
        <v>0</v>
      </c>
      <c r="V482">
        <v>66</v>
      </c>
      <c r="W482">
        <v>462</v>
      </c>
      <c r="X482">
        <v>0</v>
      </c>
      <c r="Z482">
        <v>0</v>
      </c>
      <c r="AA482">
        <v>0</v>
      </c>
      <c r="AB482">
        <v>18</v>
      </c>
      <c r="AC482">
        <v>306</v>
      </c>
      <c r="AD482">
        <v>1557</v>
      </c>
    </row>
    <row r="483" spans="1:30" x14ac:dyDescent="0.25">
      <c r="H483" t="s">
        <v>1051</v>
      </c>
    </row>
    <row r="484" spans="1:30" x14ac:dyDescent="0.25">
      <c r="A484">
        <v>239</v>
      </c>
      <c r="B484">
        <v>2562</v>
      </c>
      <c r="C484" t="s">
        <v>1052</v>
      </c>
      <c r="D484" t="s">
        <v>143</v>
      </c>
      <c r="E484" t="s">
        <v>140</v>
      </c>
      <c r="F484" t="s">
        <v>1053</v>
      </c>
      <c r="G484" t="str">
        <f>"201406012772"</f>
        <v>201406012772</v>
      </c>
      <c r="H484" t="s">
        <v>1054</v>
      </c>
      <c r="I484">
        <v>0</v>
      </c>
      <c r="J484">
        <v>0</v>
      </c>
      <c r="K484">
        <v>0</v>
      </c>
      <c r="L484">
        <v>200</v>
      </c>
      <c r="M484">
        <v>0</v>
      </c>
      <c r="N484">
        <v>70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75</v>
      </c>
      <c r="W484">
        <v>525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1055</v>
      </c>
    </row>
    <row r="485" spans="1:30" x14ac:dyDescent="0.25">
      <c r="H485" t="s">
        <v>1056</v>
      </c>
    </row>
    <row r="486" spans="1:30" x14ac:dyDescent="0.25">
      <c r="A486">
        <v>240</v>
      </c>
      <c r="B486">
        <v>2805</v>
      </c>
      <c r="C486" t="s">
        <v>1057</v>
      </c>
      <c r="D486" t="s">
        <v>75</v>
      </c>
      <c r="E486" t="s">
        <v>47</v>
      </c>
      <c r="F486" t="s">
        <v>1058</v>
      </c>
      <c r="G486" t="str">
        <f>"00198768"</f>
        <v>00198768</v>
      </c>
      <c r="H486" t="s">
        <v>574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60</v>
      </c>
      <c r="W486">
        <v>420</v>
      </c>
      <c r="X486">
        <v>0</v>
      </c>
      <c r="Z486">
        <v>0</v>
      </c>
      <c r="AA486">
        <v>0</v>
      </c>
      <c r="AB486">
        <v>24</v>
      </c>
      <c r="AC486">
        <v>408</v>
      </c>
      <c r="AD486" t="s">
        <v>1055</v>
      </c>
    </row>
    <row r="487" spans="1:30" x14ac:dyDescent="0.25">
      <c r="H487" t="s">
        <v>1059</v>
      </c>
    </row>
    <row r="488" spans="1:30" x14ac:dyDescent="0.25">
      <c r="A488">
        <v>241</v>
      </c>
      <c r="B488">
        <v>3157</v>
      </c>
      <c r="C488" t="s">
        <v>1060</v>
      </c>
      <c r="D488" t="s">
        <v>1061</v>
      </c>
      <c r="E488" t="s">
        <v>91</v>
      </c>
      <c r="F488" t="s">
        <v>1062</v>
      </c>
      <c r="G488" t="str">
        <f>"201406015714"</f>
        <v>201406015714</v>
      </c>
      <c r="H488" t="s">
        <v>1063</v>
      </c>
      <c r="I488">
        <v>0</v>
      </c>
      <c r="J488">
        <v>0</v>
      </c>
      <c r="K488">
        <v>0</v>
      </c>
      <c r="L488">
        <v>200</v>
      </c>
      <c r="M488">
        <v>0</v>
      </c>
      <c r="N488">
        <v>70</v>
      </c>
      <c r="O488">
        <v>0</v>
      </c>
      <c r="P488">
        <v>30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73</v>
      </c>
      <c r="W488">
        <v>511</v>
      </c>
      <c r="X488">
        <v>0</v>
      </c>
      <c r="Z488">
        <v>0</v>
      </c>
      <c r="AA488">
        <v>0</v>
      </c>
      <c r="AB488">
        <v>0</v>
      </c>
      <c r="AC488">
        <v>0</v>
      </c>
      <c r="AD488" t="s">
        <v>1064</v>
      </c>
    </row>
    <row r="489" spans="1:30" x14ac:dyDescent="0.25">
      <c r="H489" t="s">
        <v>1065</v>
      </c>
    </row>
    <row r="490" spans="1:30" x14ac:dyDescent="0.25">
      <c r="A490">
        <v>242</v>
      </c>
      <c r="B490">
        <v>235</v>
      </c>
      <c r="C490" t="s">
        <v>1066</v>
      </c>
      <c r="D490" t="s">
        <v>51</v>
      </c>
      <c r="E490" t="s">
        <v>39</v>
      </c>
      <c r="F490" t="s">
        <v>1067</v>
      </c>
      <c r="G490" t="str">
        <f>"201406010313"</f>
        <v>201406010313</v>
      </c>
      <c r="H490">
        <v>737</v>
      </c>
      <c r="I490">
        <v>0</v>
      </c>
      <c r="J490">
        <v>0</v>
      </c>
      <c r="K490">
        <v>0</v>
      </c>
      <c r="L490">
        <v>200</v>
      </c>
      <c r="M490">
        <v>0</v>
      </c>
      <c r="N490">
        <v>30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84</v>
      </c>
      <c r="W490">
        <v>588</v>
      </c>
      <c r="X490">
        <v>0</v>
      </c>
      <c r="Z490">
        <v>2</v>
      </c>
      <c r="AA490">
        <v>0</v>
      </c>
      <c r="AB490">
        <v>0</v>
      </c>
      <c r="AC490">
        <v>0</v>
      </c>
      <c r="AD490">
        <v>1555</v>
      </c>
    </row>
    <row r="491" spans="1:30" x14ac:dyDescent="0.25">
      <c r="H491" t="s">
        <v>1068</v>
      </c>
    </row>
    <row r="492" spans="1:30" x14ac:dyDescent="0.25">
      <c r="A492">
        <v>243</v>
      </c>
      <c r="B492">
        <v>3460</v>
      </c>
      <c r="C492" t="s">
        <v>1069</v>
      </c>
      <c r="D492" t="s">
        <v>335</v>
      </c>
      <c r="E492" t="s">
        <v>1070</v>
      </c>
      <c r="F492" t="s">
        <v>1071</v>
      </c>
      <c r="G492" t="str">
        <f>"00161941"</f>
        <v>00161941</v>
      </c>
      <c r="H492">
        <v>726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60</v>
      </c>
      <c r="W492">
        <v>420</v>
      </c>
      <c r="X492">
        <v>0</v>
      </c>
      <c r="Z492">
        <v>0</v>
      </c>
      <c r="AA492">
        <v>0</v>
      </c>
      <c r="AB492">
        <v>24</v>
      </c>
      <c r="AC492">
        <v>408</v>
      </c>
      <c r="AD492">
        <v>1554</v>
      </c>
    </row>
    <row r="493" spans="1:30" x14ac:dyDescent="0.25">
      <c r="H493" t="s">
        <v>1072</v>
      </c>
    </row>
    <row r="494" spans="1:30" x14ac:dyDescent="0.25">
      <c r="A494">
        <v>244</v>
      </c>
      <c r="B494">
        <v>4274</v>
      </c>
      <c r="C494" t="s">
        <v>1073</v>
      </c>
      <c r="D494" t="s">
        <v>335</v>
      </c>
      <c r="E494" t="s">
        <v>107</v>
      </c>
      <c r="F494" t="s">
        <v>1074</v>
      </c>
      <c r="G494" t="str">
        <f>"201512001543"</f>
        <v>201512001543</v>
      </c>
      <c r="H494">
        <v>814</v>
      </c>
      <c r="I494">
        <v>150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84</v>
      </c>
      <c r="W494">
        <v>588</v>
      </c>
      <c r="X494">
        <v>0</v>
      </c>
      <c r="Z494">
        <v>0</v>
      </c>
      <c r="AA494">
        <v>0</v>
      </c>
      <c r="AB494">
        <v>0</v>
      </c>
      <c r="AC494">
        <v>0</v>
      </c>
      <c r="AD494">
        <v>1552</v>
      </c>
    </row>
    <row r="495" spans="1:30" x14ac:dyDescent="0.25">
      <c r="H495" t="s">
        <v>1075</v>
      </c>
    </row>
    <row r="496" spans="1:30" x14ac:dyDescent="0.25">
      <c r="A496">
        <v>245</v>
      </c>
      <c r="B496">
        <v>3596</v>
      </c>
      <c r="C496" t="s">
        <v>1076</v>
      </c>
      <c r="D496" t="s">
        <v>14</v>
      </c>
      <c r="E496" t="s">
        <v>40</v>
      </c>
      <c r="F496" t="s">
        <v>1077</v>
      </c>
      <c r="G496" t="str">
        <f>"201511034329"</f>
        <v>201511034329</v>
      </c>
      <c r="H496" t="s">
        <v>754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60</v>
      </c>
      <c r="W496">
        <v>420</v>
      </c>
      <c r="X496">
        <v>0</v>
      </c>
      <c r="Z496">
        <v>0</v>
      </c>
      <c r="AA496">
        <v>0</v>
      </c>
      <c r="AB496">
        <v>24</v>
      </c>
      <c r="AC496">
        <v>408</v>
      </c>
      <c r="AD496" t="s">
        <v>1078</v>
      </c>
    </row>
    <row r="497" spans="1:30" x14ac:dyDescent="0.25">
      <c r="H497" t="s">
        <v>1079</v>
      </c>
    </row>
    <row r="498" spans="1:30" x14ac:dyDescent="0.25">
      <c r="A498">
        <v>246</v>
      </c>
      <c r="B498">
        <v>1182</v>
      </c>
      <c r="C498" t="s">
        <v>1080</v>
      </c>
      <c r="D498" t="s">
        <v>616</v>
      </c>
      <c r="E498" t="s">
        <v>1081</v>
      </c>
      <c r="F498" t="s">
        <v>1082</v>
      </c>
      <c r="G498" t="str">
        <f>"00095901"</f>
        <v>00095901</v>
      </c>
      <c r="H498" t="s">
        <v>1054</v>
      </c>
      <c r="I498">
        <v>0</v>
      </c>
      <c r="J498">
        <v>0</v>
      </c>
      <c r="K498">
        <v>0</v>
      </c>
      <c r="L498">
        <v>200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84</v>
      </c>
      <c r="W498">
        <v>588</v>
      </c>
      <c r="X498">
        <v>0</v>
      </c>
      <c r="Z498">
        <v>2</v>
      </c>
      <c r="AA498">
        <v>0</v>
      </c>
      <c r="AB498">
        <v>0</v>
      </c>
      <c r="AC498">
        <v>0</v>
      </c>
      <c r="AD498" t="s">
        <v>1083</v>
      </c>
    </row>
    <row r="499" spans="1:30" x14ac:dyDescent="0.25">
      <c r="H499" t="s">
        <v>1084</v>
      </c>
    </row>
    <row r="500" spans="1:30" x14ac:dyDescent="0.25">
      <c r="A500">
        <v>247</v>
      </c>
      <c r="B500">
        <v>5171</v>
      </c>
      <c r="C500" t="s">
        <v>1085</v>
      </c>
      <c r="D500" t="s">
        <v>91</v>
      </c>
      <c r="E500" t="s">
        <v>151</v>
      </c>
      <c r="F500" t="s">
        <v>1086</v>
      </c>
      <c r="G500" t="str">
        <f>"201505000185"</f>
        <v>201505000185</v>
      </c>
      <c r="H500" t="s">
        <v>422</v>
      </c>
      <c r="I500">
        <v>0</v>
      </c>
      <c r="J500">
        <v>0</v>
      </c>
      <c r="K500">
        <v>0</v>
      </c>
      <c r="L500">
        <v>200</v>
      </c>
      <c r="M500">
        <v>0</v>
      </c>
      <c r="N500">
        <v>70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84</v>
      </c>
      <c r="W500">
        <v>588</v>
      </c>
      <c r="X500">
        <v>0</v>
      </c>
      <c r="Z500">
        <v>0</v>
      </c>
      <c r="AA500">
        <v>0</v>
      </c>
      <c r="AB500">
        <v>0</v>
      </c>
      <c r="AC500">
        <v>0</v>
      </c>
      <c r="AD500" t="s">
        <v>1087</v>
      </c>
    </row>
    <row r="501" spans="1:30" x14ac:dyDescent="0.25">
      <c r="H501">
        <v>1247</v>
      </c>
    </row>
    <row r="502" spans="1:30" x14ac:dyDescent="0.25">
      <c r="A502">
        <v>248</v>
      </c>
      <c r="B502">
        <v>3564</v>
      </c>
      <c r="C502" t="s">
        <v>1088</v>
      </c>
      <c r="D502" t="s">
        <v>1089</v>
      </c>
      <c r="E502" t="s">
        <v>115</v>
      </c>
      <c r="F502" t="s">
        <v>1090</v>
      </c>
      <c r="G502" t="str">
        <f>"200801010601"</f>
        <v>200801010601</v>
      </c>
      <c r="H502" t="s">
        <v>1091</v>
      </c>
      <c r="I502">
        <v>0</v>
      </c>
      <c r="J502">
        <v>0</v>
      </c>
      <c r="K502">
        <v>0</v>
      </c>
      <c r="L502">
        <v>200</v>
      </c>
      <c r="M502">
        <v>0</v>
      </c>
      <c r="N502">
        <v>50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84</v>
      </c>
      <c r="W502">
        <v>588</v>
      </c>
      <c r="X502">
        <v>0</v>
      </c>
      <c r="Z502">
        <v>0</v>
      </c>
      <c r="AA502">
        <v>0</v>
      </c>
      <c r="AB502">
        <v>0</v>
      </c>
      <c r="AC502">
        <v>0</v>
      </c>
      <c r="AD502" t="s">
        <v>1092</v>
      </c>
    </row>
    <row r="503" spans="1:30" x14ac:dyDescent="0.25">
      <c r="H503" t="s">
        <v>1093</v>
      </c>
    </row>
    <row r="504" spans="1:30" x14ac:dyDescent="0.25">
      <c r="A504">
        <v>249</v>
      </c>
      <c r="B504">
        <v>4281</v>
      </c>
      <c r="C504" t="s">
        <v>1094</v>
      </c>
      <c r="D504" t="s">
        <v>420</v>
      </c>
      <c r="E504" t="s">
        <v>752</v>
      </c>
      <c r="F504" t="s">
        <v>1095</v>
      </c>
      <c r="G504" t="str">
        <f>"00256604"</f>
        <v>00256604</v>
      </c>
      <c r="H504" t="s">
        <v>1096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30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29</v>
      </c>
      <c r="W504">
        <v>203</v>
      </c>
      <c r="X504">
        <v>0</v>
      </c>
      <c r="Z504">
        <v>0</v>
      </c>
      <c r="AA504">
        <v>0</v>
      </c>
      <c r="AB504">
        <v>24</v>
      </c>
      <c r="AC504">
        <v>408</v>
      </c>
      <c r="AD504" t="s">
        <v>1097</v>
      </c>
    </row>
    <row r="505" spans="1:30" x14ac:dyDescent="0.25">
      <c r="H505" t="s">
        <v>1098</v>
      </c>
    </row>
    <row r="506" spans="1:30" x14ac:dyDescent="0.25">
      <c r="A506">
        <v>250</v>
      </c>
      <c r="B506">
        <v>1862</v>
      </c>
      <c r="C506" t="s">
        <v>1099</v>
      </c>
      <c r="D506" t="s">
        <v>182</v>
      </c>
      <c r="E506" t="s">
        <v>190</v>
      </c>
      <c r="F506" t="s">
        <v>1100</v>
      </c>
      <c r="G506" t="str">
        <f>"200801004826"</f>
        <v>200801004826</v>
      </c>
      <c r="H506" t="s">
        <v>1101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30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60</v>
      </c>
      <c r="W506">
        <v>420</v>
      </c>
      <c r="X506">
        <v>0</v>
      </c>
      <c r="Z506">
        <v>0</v>
      </c>
      <c r="AA506">
        <v>0</v>
      </c>
      <c r="AB506">
        <v>24</v>
      </c>
      <c r="AC506">
        <v>408</v>
      </c>
      <c r="AD506" t="s">
        <v>1102</v>
      </c>
    </row>
    <row r="507" spans="1:30" x14ac:dyDescent="0.25">
      <c r="H507" t="s">
        <v>1103</v>
      </c>
    </row>
    <row r="508" spans="1:30" x14ac:dyDescent="0.25">
      <c r="A508">
        <v>251</v>
      </c>
      <c r="B508">
        <v>4270</v>
      </c>
      <c r="C508" t="s">
        <v>1104</v>
      </c>
      <c r="D508" t="s">
        <v>544</v>
      </c>
      <c r="E508" t="s">
        <v>162</v>
      </c>
      <c r="F508" t="s">
        <v>1105</v>
      </c>
      <c r="G508" t="str">
        <f>"00361350"</f>
        <v>00361350</v>
      </c>
      <c r="H508">
        <v>726</v>
      </c>
      <c r="I508">
        <v>0</v>
      </c>
      <c r="J508">
        <v>0</v>
      </c>
      <c r="K508">
        <v>0</v>
      </c>
      <c r="L508">
        <v>200</v>
      </c>
      <c r="M508">
        <v>0</v>
      </c>
      <c r="N508">
        <v>0</v>
      </c>
      <c r="O508">
        <v>30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84</v>
      </c>
      <c r="W508">
        <v>588</v>
      </c>
      <c r="X508">
        <v>0</v>
      </c>
      <c r="Z508">
        <v>0</v>
      </c>
      <c r="AA508">
        <v>0</v>
      </c>
      <c r="AB508">
        <v>0</v>
      </c>
      <c r="AC508">
        <v>0</v>
      </c>
      <c r="AD508">
        <v>1544</v>
      </c>
    </row>
    <row r="509" spans="1:30" x14ac:dyDescent="0.25">
      <c r="H509">
        <v>1247</v>
      </c>
    </row>
    <row r="510" spans="1:30" x14ac:dyDescent="0.25">
      <c r="A510">
        <v>252</v>
      </c>
      <c r="B510">
        <v>1129</v>
      </c>
      <c r="C510" t="s">
        <v>1106</v>
      </c>
      <c r="D510" t="s">
        <v>830</v>
      </c>
      <c r="E510" t="s">
        <v>162</v>
      </c>
      <c r="F510" t="s">
        <v>1107</v>
      </c>
      <c r="G510" t="str">
        <f>"00154340"</f>
        <v>00154340</v>
      </c>
      <c r="H510">
        <v>726</v>
      </c>
      <c r="I510">
        <v>0</v>
      </c>
      <c r="J510">
        <v>0</v>
      </c>
      <c r="K510">
        <v>0</v>
      </c>
      <c r="L510">
        <v>200</v>
      </c>
      <c r="M510">
        <v>0</v>
      </c>
      <c r="N510">
        <v>30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84</v>
      </c>
      <c r="W510">
        <v>588</v>
      </c>
      <c r="X510">
        <v>0</v>
      </c>
      <c r="Z510">
        <v>0</v>
      </c>
      <c r="AA510">
        <v>0</v>
      </c>
      <c r="AB510">
        <v>0</v>
      </c>
      <c r="AC510">
        <v>0</v>
      </c>
      <c r="AD510">
        <v>1544</v>
      </c>
    </row>
    <row r="511" spans="1:30" x14ac:dyDescent="0.25">
      <c r="H511" t="s">
        <v>1108</v>
      </c>
    </row>
    <row r="512" spans="1:30" x14ac:dyDescent="0.25">
      <c r="A512">
        <v>253</v>
      </c>
      <c r="B512">
        <v>1860</v>
      </c>
      <c r="C512" t="s">
        <v>1109</v>
      </c>
      <c r="D512" t="s">
        <v>75</v>
      </c>
      <c r="E512" t="s">
        <v>107</v>
      </c>
      <c r="F512" t="s">
        <v>1110</v>
      </c>
      <c r="G512" t="str">
        <f>"201511036361"</f>
        <v>201511036361</v>
      </c>
      <c r="H512">
        <v>715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60</v>
      </c>
      <c r="W512">
        <v>420</v>
      </c>
      <c r="X512">
        <v>0</v>
      </c>
      <c r="Z512">
        <v>0</v>
      </c>
      <c r="AA512">
        <v>0</v>
      </c>
      <c r="AB512">
        <v>24</v>
      </c>
      <c r="AC512">
        <v>408</v>
      </c>
      <c r="AD512">
        <v>1543</v>
      </c>
    </row>
    <row r="513" spans="1:30" x14ac:dyDescent="0.25">
      <c r="H513" t="s">
        <v>1111</v>
      </c>
    </row>
    <row r="514" spans="1:30" x14ac:dyDescent="0.25">
      <c r="A514">
        <v>254</v>
      </c>
      <c r="B514">
        <v>2932</v>
      </c>
      <c r="C514" t="s">
        <v>1112</v>
      </c>
      <c r="D514" t="s">
        <v>1113</v>
      </c>
      <c r="E514" t="s">
        <v>190</v>
      </c>
      <c r="F514" t="s">
        <v>1114</v>
      </c>
      <c r="G514" t="str">
        <f>"201511010758"</f>
        <v>201511010758</v>
      </c>
      <c r="H514" t="s">
        <v>1115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30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48</v>
      </c>
      <c r="W514">
        <v>336</v>
      </c>
      <c r="X514">
        <v>0</v>
      </c>
      <c r="Z514">
        <v>0</v>
      </c>
      <c r="AA514">
        <v>0</v>
      </c>
      <c r="AB514">
        <v>24</v>
      </c>
      <c r="AC514">
        <v>408</v>
      </c>
      <c r="AD514" t="s">
        <v>1116</v>
      </c>
    </row>
    <row r="515" spans="1:30" x14ac:dyDescent="0.25">
      <c r="H515" t="s">
        <v>1117</v>
      </c>
    </row>
    <row r="516" spans="1:30" x14ac:dyDescent="0.25">
      <c r="A516">
        <v>255</v>
      </c>
      <c r="B516">
        <v>6219</v>
      </c>
      <c r="C516" t="s">
        <v>1118</v>
      </c>
      <c r="D516" t="s">
        <v>1119</v>
      </c>
      <c r="E516" t="s">
        <v>151</v>
      </c>
      <c r="F516" t="s">
        <v>1120</v>
      </c>
      <c r="G516" t="str">
        <f>"200911000602"</f>
        <v>200911000602</v>
      </c>
      <c r="H516" t="s">
        <v>1121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30</v>
      </c>
      <c r="O516">
        <v>0</v>
      </c>
      <c r="P516">
        <v>0</v>
      </c>
      <c r="Q516">
        <v>0</v>
      </c>
      <c r="R516">
        <v>0</v>
      </c>
      <c r="S516">
        <v>70</v>
      </c>
      <c r="T516">
        <v>0</v>
      </c>
      <c r="U516">
        <v>0</v>
      </c>
      <c r="V516">
        <v>72</v>
      </c>
      <c r="W516">
        <v>504</v>
      </c>
      <c r="X516">
        <v>0</v>
      </c>
      <c r="Z516">
        <v>0</v>
      </c>
      <c r="AA516">
        <v>0</v>
      </c>
      <c r="AB516">
        <v>0</v>
      </c>
      <c r="AC516">
        <v>0</v>
      </c>
      <c r="AD516" t="s">
        <v>1122</v>
      </c>
    </row>
    <row r="517" spans="1:30" x14ac:dyDescent="0.25">
      <c r="H517" t="s">
        <v>1123</v>
      </c>
    </row>
    <row r="518" spans="1:30" x14ac:dyDescent="0.25">
      <c r="A518">
        <v>256</v>
      </c>
      <c r="B518">
        <v>6020</v>
      </c>
      <c r="C518" t="s">
        <v>1124</v>
      </c>
      <c r="D518" t="s">
        <v>373</v>
      </c>
      <c r="E518" t="s">
        <v>495</v>
      </c>
      <c r="F518" t="s">
        <v>1125</v>
      </c>
      <c r="G518" t="str">
        <f>"201402001015"</f>
        <v>201402001015</v>
      </c>
      <c r="H518">
        <v>704</v>
      </c>
      <c r="I518">
        <v>0</v>
      </c>
      <c r="J518">
        <v>0</v>
      </c>
      <c r="K518">
        <v>0</v>
      </c>
      <c r="L518">
        <v>200</v>
      </c>
      <c r="M518">
        <v>0</v>
      </c>
      <c r="N518">
        <v>50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84</v>
      </c>
      <c r="W518">
        <v>588</v>
      </c>
      <c r="X518">
        <v>0</v>
      </c>
      <c r="Z518">
        <v>0</v>
      </c>
      <c r="AA518">
        <v>0</v>
      </c>
      <c r="AB518">
        <v>0</v>
      </c>
      <c r="AC518">
        <v>0</v>
      </c>
      <c r="AD518">
        <v>1542</v>
      </c>
    </row>
    <row r="519" spans="1:30" x14ac:dyDescent="0.25">
      <c r="H519" t="s">
        <v>451</v>
      </c>
    </row>
    <row r="520" spans="1:30" x14ac:dyDescent="0.25">
      <c r="A520">
        <v>257</v>
      </c>
      <c r="B520">
        <v>1906</v>
      </c>
      <c r="C520" t="s">
        <v>1126</v>
      </c>
      <c r="D520" t="s">
        <v>51</v>
      </c>
      <c r="E520" t="s">
        <v>47</v>
      </c>
      <c r="F520" t="s">
        <v>1127</v>
      </c>
      <c r="G520" t="str">
        <f>"200712003072"</f>
        <v>200712003072</v>
      </c>
      <c r="H520">
        <v>693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30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61</v>
      </c>
      <c r="W520">
        <v>427</v>
      </c>
      <c r="X520">
        <v>0</v>
      </c>
      <c r="Z520">
        <v>0</v>
      </c>
      <c r="AA520">
        <v>0</v>
      </c>
      <c r="AB520">
        <v>23</v>
      </c>
      <c r="AC520">
        <v>391</v>
      </c>
      <c r="AD520">
        <v>1541</v>
      </c>
    </row>
    <row r="521" spans="1:30" x14ac:dyDescent="0.25">
      <c r="H521" t="s">
        <v>1128</v>
      </c>
    </row>
    <row r="522" spans="1:30" x14ac:dyDescent="0.25">
      <c r="A522">
        <v>258</v>
      </c>
      <c r="B522">
        <v>5914</v>
      </c>
      <c r="C522" t="s">
        <v>1129</v>
      </c>
      <c r="D522" t="s">
        <v>665</v>
      </c>
      <c r="E522" t="s">
        <v>47</v>
      </c>
      <c r="F522" t="s">
        <v>1130</v>
      </c>
      <c r="G522" t="str">
        <f>"200802006010"</f>
        <v>200802006010</v>
      </c>
      <c r="H522" t="s">
        <v>1131</v>
      </c>
      <c r="I522">
        <v>150</v>
      </c>
      <c r="J522">
        <v>0</v>
      </c>
      <c r="K522">
        <v>0</v>
      </c>
      <c r="L522">
        <v>0</v>
      </c>
      <c r="M522">
        <v>0</v>
      </c>
      <c r="N522">
        <v>70</v>
      </c>
      <c r="O522">
        <v>0</v>
      </c>
      <c r="P522">
        <v>30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84</v>
      </c>
      <c r="W522">
        <v>588</v>
      </c>
      <c r="X522">
        <v>0</v>
      </c>
      <c r="Z522">
        <v>0</v>
      </c>
      <c r="AA522">
        <v>0</v>
      </c>
      <c r="AB522">
        <v>0</v>
      </c>
      <c r="AC522">
        <v>0</v>
      </c>
      <c r="AD522" t="s">
        <v>1132</v>
      </c>
    </row>
    <row r="523" spans="1:30" x14ac:dyDescent="0.25">
      <c r="H523" t="s">
        <v>1133</v>
      </c>
    </row>
    <row r="524" spans="1:30" x14ac:dyDescent="0.25">
      <c r="A524">
        <v>259</v>
      </c>
      <c r="B524">
        <v>3081</v>
      </c>
      <c r="C524" t="s">
        <v>1134</v>
      </c>
      <c r="D524" t="s">
        <v>223</v>
      </c>
      <c r="E524" t="s">
        <v>144</v>
      </c>
      <c r="F524" t="s">
        <v>1135</v>
      </c>
      <c r="G524" t="str">
        <f>"201511029158"</f>
        <v>201511029158</v>
      </c>
      <c r="H524" t="s">
        <v>1136</v>
      </c>
      <c r="I524">
        <v>0</v>
      </c>
      <c r="J524">
        <v>0</v>
      </c>
      <c r="K524">
        <v>0</v>
      </c>
      <c r="L524">
        <v>200</v>
      </c>
      <c r="M524">
        <v>0</v>
      </c>
      <c r="N524">
        <v>30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76</v>
      </c>
      <c r="W524">
        <v>532</v>
      </c>
      <c r="X524">
        <v>0</v>
      </c>
      <c r="Z524">
        <v>0</v>
      </c>
      <c r="AA524">
        <v>0</v>
      </c>
      <c r="AB524">
        <v>0</v>
      </c>
      <c r="AC524">
        <v>0</v>
      </c>
      <c r="AD524" t="s">
        <v>1137</v>
      </c>
    </row>
    <row r="525" spans="1:30" x14ac:dyDescent="0.25">
      <c r="H525" t="s">
        <v>1138</v>
      </c>
    </row>
    <row r="526" spans="1:30" x14ac:dyDescent="0.25">
      <c r="A526">
        <v>260</v>
      </c>
      <c r="B526">
        <v>839</v>
      </c>
      <c r="C526" t="s">
        <v>649</v>
      </c>
      <c r="D526" t="s">
        <v>869</v>
      </c>
      <c r="E526" t="s">
        <v>151</v>
      </c>
      <c r="F526" t="s">
        <v>1139</v>
      </c>
      <c r="G526" t="str">
        <f>"201406011141"</f>
        <v>201406011141</v>
      </c>
      <c r="H526" t="s">
        <v>470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70</v>
      </c>
      <c r="O526">
        <v>0</v>
      </c>
      <c r="P526">
        <v>0</v>
      </c>
      <c r="Q526">
        <v>70</v>
      </c>
      <c r="R526">
        <v>30</v>
      </c>
      <c r="S526">
        <v>0</v>
      </c>
      <c r="T526">
        <v>0</v>
      </c>
      <c r="U526">
        <v>0</v>
      </c>
      <c r="V526">
        <v>84</v>
      </c>
      <c r="W526">
        <v>588</v>
      </c>
      <c r="X526">
        <v>0</v>
      </c>
      <c r="Z526">
        <v>0</v>
      </c>
      <c r="AA526">
        <v>0</v>
      </c>
      <c r="AB526">
        <v>0</v>
      </c>
      <c r="AC526">
        <v>0</v>
      </c>
      <c r="AD526" t="s">
        <v>1140</v>
      </c>
    </row>
    <row r="527" spans="1:30" x14ac:dyDescent="0.25">
      <c r="H527" t="s">
        <v>1141</v>
      </c>
    </row>
    <row r="528" spans="1:30" x14ac:dyDescent="0.25">
      <c r="A528">
        <v>261</v>
      </c>
      <c r="B528">
        <v>839</v>
      </c>
      <c r="C528" t="s">
        <v>649</v>
      </c>
      <c r="D528" t="s">
        <v>869</v>
      </c>
      <c r="E528" t="s">
        <v>151</v>
      </c>
      <c r="F528" t="s">
        <v>1139</v>
      </c>
      <c r="G528" t="str">
        <f>"201406011141"</f>
        <v>201406011141</v>
      </c>
      <c r="H528" t="s">
        <v>470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70</v>
      </c>
      <c r="O528">
        <v>0</v>
      </c>
      <c r="P528">
        <v>0</v>
      </c>
      <c r="Q528">
        <v>70</v>
      </c>
      <c r="R528">
        <v>30</v>
      </c>
      <c r="S528">
        <v>0</v>
      </c>
      <c r="T528">
        <v>0</v>
      </c>
      <c r="U528">
        <v>0</v>
      </c>
      <c r="V528">
        <v>84</v>
      </c>
      <c r="W528">
        <v>588</v>
      </c>
      <c r="X528">
        <v>6</v>
      </c>
      <c r="Y528">
        <v>1251</v>
      </c>
      <c r="Z528">
        <v>0</v>
      </c>
      <c r="AA528">
        <v>0</v>
      </c>
      <c r="AB528">
        <v>0</v>
      </c>
      <c r="AC528">
        <v>0</v>
      </c>
      <c r="AD528" t="s">
        <v>1140</v>
      </c>
    </row>
    <row r="529" spans="1:30" x14ac:dyDescent="0.25">
      <c r="H529" t="s">
        <v>1141</v>
      </c>
    </row>
    <row r="530" spans="1:30" x14ac:dyDescent="0.25">
      <c r="A530">
        <v>262</v>
      </c>
      <c r="B530">
        <v>1791</v>
      </c>
      <c r="C530" t="s">
        <v>1142</v>
      </c>
      <c r="D530" t="s">
        <v>494</v>
      </c>
      <c r="E530" t="s">
        <v>40</v>
      </c>
      <c r="F530" t="s">
        <v>1143</v>
      </c>
      <c r="G530" t="str">
        <f>"00021294"</f>
        <v>00021294</v>
      </c>
      <c r="H530">
        <v>682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30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60</v>
      </c>
      <c r="W530">
        <v>420</v>
      </c>
      <c r="X530">
        <v>0</v>
      </c>
      <c r="Z530">
        <v>0</v>
      </c>
      <c r="AA530">
        <v>0</v>
      </c>
      <c r="AB530">
        <v>24</v>
      </c>
      <c r="AC530">
        <v>408</v>
      </c>
      <c r="AD530">
        <v>1540</v>
      </c>
    </row>
    <row r="531" spans="1:30" x14ac:dyDescent="0.25">
      <c r="H531" t="s">
        <v>864</v>
      </c>
    </row>
    <row r="532" spans="1:30" x14ac:dyDescent="0.25">
      <c r="A532">
        <v>263</v>
      </c>
      <c r="B532">
        <v>5426</v>
      </c>
      <c r="C532" t="s">
        <v>1144</v>
      </c>
      <c r="D532" t="s">
        <v>1145</v>
      </c>
      <c r="E532" t="s">
        <v>183</v>
      </c>
      <c r="F532" t="s">
        <v>1146</v>
      </c>
      <c r="G532" t="str">
        <f>"200801006827"</f>
        <v>200801006827</v>
      </c>
      <c r="H532">
        <v>682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30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60</v>
      </c>
      <c r="W532">
        <v>420</v>
      </c>
      <c r="X532">
        <v>0</v>
      </c>
      <c r="Z532">
        <v>0</v>
      </c>
      <c r="AA532">
        <v>0</v>
      </c>
      <c r="AB532">
        <v>24</v>
      </c>
      <c r="AC532">
        <v>408</v>
      </c>
      <c r="AD532">
        <v>1540</v>
      </c>
    </row>
    <row r="533" spans="1:30" x14ac:dyDescent="0.25">
      <c r="H533" t="s">
        <v>1147</v>
      </c>
    </row>
    <row r="534" spans="1:30" x14ac:dyDescent="0.25">
      <c r="A534">
        <v>264</v>
      </c>
      <c r="B534">
        <v>4693</v>
      </c>
      <c r="C534" t="s">
        <v>1148</v>
      </c>
      <c r="D534" t="s">
        <v>33</v>
      </c>
      <c r="E534" t="s">
        <v>69</v>
      </c>
      <c r="F534" t="s">
        <v>1149</v>
      </c>
      <c r="G534" t="str">
        <f>"00007743"</f>
        <v>00007743</v>
      </c>
      <c r="H534" t="s">
        <v>1150</v>
      </c>
      <c r="I534">
        <v>0</v>
      </c>
      <c r="J534">
        <v>0</v>
      </c>
      <c r="K534">
        <v>0</v>
      </c>
      <c r="L534">
        <v>200</v>
      </c>
      <c r="M534">
        <v>0</v>
      </c>
      <c r="N534">
        <v>50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84</v>
      </c>
      <c r="W534">
        <v>588</v>
      </c>
      <c r="X534">
        <v>0</v>
      </c>
      <c r="Z534">
        <v>0</v>
      </c>
      <c r="AA534">
        <v>0</v>
      </c>
      <c r="AB534">
        <v>0</v>
      </c>
      <c r="AC534">
        <v>0</v>
      </c>
      <c r="AD534" t="s">
        <v>1151</v>
      </c>
    </row>
    <row r="535" spans="1:30" x14ac:dyDescent="0.25">
      <c r="H535" t="s">
        <v>1152</v>
      </c>
    </row>
    <row r="536" spans="1:30" x14ac:dyDescent="0.25">
      <c r="A536">
        <v>265</v>
      </c>
      <c r="B536">
        <v>1711</v>
      </c>
      <c r="C536" t="s">
        <v>1153</v>
      </c>
      <c r="D536" t="s">
        <v>335</v>
      </c>
      <c r="E536" t="s">
        <v>162</v>
      </c>
      <c r="F536" t="s">
        <v>1154</v>
      </c>
      <c r="G536" t="str">
        <f>"00197721"</f>
        <v>00197721</v>
      </c>
      <c r="H536" t="s">
        <v>1155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50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84</v>
      </c>
      <c r="W536">
        <v>588</v>
      </c>
      <c r="X536">
        <v>0</v>
      </c>
      <c r="Z536">
        <v>0</v>
      </c>
      <c r="AA536">
        <v>0</v>
      </c>
      <c r="AB536">
        <v>0</v>
      </c>
      <c r="AC536">
        <v>0</v>
      </c>
      <c r="AD536" t="s">
        <v>1156</v>
      </c>
    </row>
    <row r="537" spans="1:30" x14ac:dyDescent="0.25">
      <c r="H537" t="s">
        <v>1157</v>
      </c>
    </row>
    <row r="538" spans="1:30" x14ac:dyDescent="0.25">
      <c r="A538">
        <v>266</v>
      </c>
      <c r="B538">
        <v>1781</v>
      </c>
      <c r="C538" t="s">
        <v>1158</v>
      </c>
      <c r="D538" t="s">
        <v>1159</v>
      </c>
      <c r="E538" t="s">
        <v>1160</v>
      </c>
      <c r="F538" t="s">
        <v>1161</v>
      </c>
      <c r="G538" t="str">
        <f>"00318914"</f>
        <v>00318914</v>
      </c>
      <c r="H538" t="s">
        <v>813</v>
      </c>
      <c r="I538">
        <v>150</v>
      </c>
      <c r="J538">
        <v>0</v>
      </c>
      <c r="K538">
        <v>0</v>
      </c>
      <c r="L538">
        <v>200</v>
      </c>
      <c r="M538">
        <v>0</v>
      </c>
      <c r="N538">
        <v>70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54</v>
      </c>
      <c r="W538">
        <v>378</v>
      </c>
      <c r="X538">
        <v>0</v>
      </c>
      <c r="Z538">
        <v>0</v>
      </c>
      <c r="AA538">
        <v>0</v>
      </c>
      <c r="AB538">
        <v>0</v>
      </c>
      <c r="AC538">
        <v>0</v>
      </c>
      <c r="AD538" t="s">
        <v>1162</v>
      </c>
    </row>
    <row r="539" spans="1:30" x14ac:dyDescent="0.25">
      <c r="H539" t="s">
        <v>1163</v>
      </c>
    </row>
    <row r="540" spans="1:30" x14ac:dyDescent="0.25">
      <c r="A540">
        <v>267</v>
      </c>
      <c r="B540">
        <v>2208</v>
      </c>
      <c r="C540" t="s">
        <v>1164</v>
      </c>
      <c r="D540" t="s">
        <v>599</v>
      </c>
      <c r="E540" t="s">
        <v>40</v>
      </c>
      <c r="F540" t="s">
        <v>1165</v>
      </c>
      <c r="G540" t="str">
        <f>"00297856"</f>
        <v>00297856</v>
      </c>
      <c r="H540" t="s">
        <v>1166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70</v>
      </c>
      <c r="O540">
        <v>0</v>
      </c>
      <c r="P540">
        <v>50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84</v>
      </c>
      <c r="W540">
        <v>588</v>
      </c>
      <c r="X540">
        <v>0</v>
      </c>
      <c r="Z540">
        <v>0</v>
      </c>
      <c r="AA540">
        <v>0</v>
      </c>
      <c r="AB540">
        <v>0</v>
      </c>
      <c r="AC540">
        <v>0</v>
      </c>
      <c r="AD540" t="s">
        <v>1167</v>
      </c>
    </row>
    <row r="541" spans="1:30" x14ac:dyDescent="0.25">
      <c r="H541" t="s">
        <v>521</v>
      </c>
    </row>
    <row r="542" spans="1:30" x14ac:dyDescent="0.25">
      <c r="A542">
        <v>268</v>
      </c>
      <c r="B542">
        <v>4050</v>
      </c>
      <c r="C542" t="s">
        <v>1168</v>
      </c>
      <c r="D542" t="s">
        <v>1169</v>
      </c>
      <c r="E542" t="s">
        <v>40</v>
      </c>
      <c r="F542" t="s">
        <v>1170</v>
      </c>
      <c r="G542" t="str">
        <f>"200803000042"</f>
        <v>200803000042</v>
      </c>
      <c r="H542" t="s">
        <v>402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60</v>
      </c>
      <c r="W542">
        <v>420</v>
      </c>
      <c r="X542">
        <v>0</v>
      </c>
      <c r="Z542">
        <v>0</v>
      </c>
      <c r="AA542">
        <v>0</v>
      </c>
      <c r="AB542">
        <v>24</v>
      </c>
      <c r="AC542">
        <v>408</v>
      </c>
      <c r="AD542" t="s">
        <v>1171</v>
      </c>
    </row>
    <row r="543" spans="1:30" x14ac:dyDescent="0.25">
      <c r="H543" t="s">
        <v>1172</v>
      </c>
    </row>
    <row r="544" spans="1:30" x14ac:dyDescent="0.25">
      <c r="A544">
        <v>269</v>
      </c>
      <c r="B544">
        <v>1666</v>
      </c>
      <c r="C544" t="s">
        <v>1173</v>
      </c>
      <c r="D544" t="s">
        <v>140</v>
      </c>
      <c r="E544" t="s">
        <v>47</v>
      </c>
      <c r="F544" t="s">
        <v>1174</v>
      </c>
      <c r="G544" t="str">
        <f>"200805000842"</f>
        <v>200805000842</v>
      </c>
      <c r="H544">
        <v>715</v>
      </c>
      <c r="I544">
        <v>0</v>
      </c>
      <c r="J544">
        <v>0</v>
      </c>
      <c r="K544">
        <v>0</v>
      </c>
      <c r="L544">
        <v>200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84</v>
      </c>
      <c r="W544">
        <v>588</v>
      </c>
      <c r="X544">
        <v>0</v>
      </c>
      <c r="Z544">
        <v>0</v>
      </c>
      <c r="AA544">
        <v>0</v>
      </c>
      <c r="AB544">
        <v>0</v>
      </c>
      <c r="AC544">
        <v>0</v>
      </c>
      <c r="AD544">
        <v>1533</v>
      </c>
    </row>
    <row r="545" spans="1:30" x14ac:dyDescent="0.25">
      <c r="H545" t="s">
        <v>1175</v>
      </c>
    </row>
    <row r="546" spans="1:30" x14ac:dyDescent="0.25">
      <c r="A546">
        <v>270</v>
      </c>
      <c r="B546">
        <v>232</v>
      </c>
      <c r="C546" t="s">
        <v>1176</v>
      </c>
      <c r="D546" t="s">
        <v>335</v>
      </c>
      <c r="E546" t="s">
        <v>238</v>
      </c>
      <c r="F546" t="s">
        <v>1177</v>
      </c>
      <c r="G546" t="str">
        <f>"00147192"</f>
        <v>00147192</v>
      </c>
      <c r="H546">
        <v>715</v>
      </c>
      <c r="I546">
        <v>0</v>
      </c>
      <c r="J546">
        <v>0</v>
      </c>
      <c r="K546">
        <v>0</v>
      </c>
      <c r="L546">
        <v>200</v>
      </c>
      <c r="M546">
        <v>0</v>
      </c>
      <c r="N546">
        <v>30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84</v>
      </c>
      <c r="W546">
        <v>588</v>
      </c>
      <c r="X546">
        <v>0</v>
      </c>
      <c r="Z546">
        <v>0</v>
      </c>
      <c r="AA546">
        <v>0</v>
      </c>
      <c r="AB546">
        <v>0</v>
      </c>
      <c r="AC546">
        <v>0</v>
      </c>
      <c r="AD546">
        <v>1533</v>
      </c>
    </row>
    <row r="547" spans="1:30" x14ac:dyDescent="0.25">
      <c r="H547" t="s">
        <v>1178</v>
      </c>
    </row>
    <row r="548" spans="1:30" x14ac:dyDescent="0.25">
      <c r="A548">
        <v>271</v>
      </c>
      <c r="B548">
        <v>1731</v>
      </c>
      <c r="C548" t="s">
        <v>1179</v>
      </c>
      <c r="D548" t="s">
        <v>694</v>
      </c>
      <c r="E548" t="s">
        <v>40</v>
      </c>
      <c r="F548" t="s">
        <v>1180</v>
      </c>
      <c r="G548" t="str">
        <f>"00123631"</f>
        <v>00123631</v>
      </c>
      <c r="H548">
        <v>715</v>
      </c>
      <c r="I548">
        <v>0</v>
      </c>
      <c r="J548">
        <v>0</v>
      </c>
      <c r="K548">
        <v>0</v>
      </c>
      <c r="L548">
        <v>200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84</v>
      </c>
      <c r="W548">
        <v>588</v>
      </c>
      <c r="X548">
        <v>0</v>
      </c>
      <c r="Z548">
        <v>0</v>
      </c>
      <c r="AA548">
        <v>0</v>
      </c>
      <c r="AB548">
        <v>0</v>
      </c>
      <c r="AC548">
        <v>0</v>
      </c>
      <c r="AD548">
        <v>1533</v>
      </c>
    </row>
    <row r="549" spans="1:30" x14ac:dyDescent="0.25">
      <c r="H549" t="s">
        <v>1181</v>
      </c>
    </row>
    <row r="550" spans="1:30" x14ac:dyDescent="0.25">
      <c r="A550">
        <v>272</v>
      </c>
      <c r="B550">
        <v>4545</v>
      </c>
      <c r="C550" t="s">
        <v>1182</v>
      </c>
      <c r="D550" t="s">
        <v>974</v>
      </c>
      <c r="E550" t="s">
        <v>40</v>
      </c>
      <c r="F550" t="s">
        <v>1183</v>
      </c>
      <c r="G550" t="str">
        <f>"201402006623"</f>
        <v>201402006623</v>
      </c>
      <c r="H550">
        <v>715</v>
      </c>
      <c r="I550">
        <v>0</v>
      </c>
      <c r="J550">
        <v>0</v>
      </c>
      <c r="K550">
        <v>0</v>
      </c>
      <c r="L550">
        <v>200</v>
      </c>
      <c r="M550">
        <v>0</v>
      </c>
      <c r="N550">
        <v>30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84</v>
      </c>
      <c r="W550">
        <v>588</v>
      </c>
      <c r="X550">
        <v>0</v>
      </c>
      <c r="Z550">
        <v>0</v>
      </c>
      <c r="AA550">
        <v>0</v>
      </c>
      <c r="AB550">
        <v>0</v>
      </c>
      <c r="AC550">
        <v>0</v>
      </c>
      <c r="AD550">
        <v>1533</v>
      </c>
    </row>
    <row r="551" spans="1:30" x14ac:dyDescent="0.25">
      <c r="H551" t="s">
        <v>1184</v>
      </c>
    </row>
    <row r="552" spans="1:30" x14ac:dyDescent="0.25">
      <c r="A552">
        <v>273</v>
      </c>
      <c r="B552">
        <v>3997</v>
      </c>
      <c r="C552" t="s">
        <v>1185</v>
      </c>
      <c r="D552" t="s">
        <v>1186</v>
      </c>
      <c r="E552" t="s">
        <v>40</v>
      </c>
      <c r="F552" t="s">
        <v>1187</v>
      </c>
      <c r="G552" t="str">
        <f>"00315590"</f>
        <v>00315590</v>
      </c>
      <c r="H552" t="s">
        <v>1188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70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84</v>
      </c>
      <c r="W552">
        <v>588</v>
      </c>
      <c r="X552">
        <v>0</v>
      </c>
      <c r="Z552">
        <v>0</v>
      </c>
      <c r="AA552">
        <v>0</v>
      </c>
      <c r="AB552">
        <v>0</v>
      </c>
      <c r="AC552">
        <v>0</v>
      </c>
      <c r="AD552" t="s">
        <v>1189</v>
      </c>
    </row>
    <row r="553" spans="1:30" x14ac:dyDescent="0.25">
      <c r="H553" t="s">
        <v>1190</v>
      </c>
    </row>
    <row r="554" spans="1:30" x14ac:dyDescent="0.25">
      <c r="A554">
        <v>274</v>
      </c>
      <c r="B554">
        <v>2418</v>
      </c>
      <c r="C554" t="s">
        <v>1191</v>
      </c>
      <c r="D554" t="s">
        <v>176</v>
      </c>
      <c r="E554" t="s">
        <v>39</v>
      </c>
      <c r="F554" t="s">
        <v>1192</v>
      </c>
      <c r="G554" t="str">
        <f>"00153752"</f>
        <v>00153752</v>
      </c>
      <c r="H554" t="s">
        <v>1193</v>
      </c>
      <c r="I554">
        <v>0</v>
      </c>
      <c r="J554">
        <v>0</v>
      </c>
      <c r="K554">
        <v>0</v>
      </c>
      <c r="L554">
        <v>200</v>
      </c>
      <c r="M554">
        <v>0</v>
      </c>
      <c r="N554">
        <v>30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66</v>
      </c>
      <c r="W554">
        <v>462</v>
      </c>
      <c r="X554">
        <v>0</v>
      </c>
      <c r="Z554">
        <v>0</v>
      </c>
      <c r="AA554">
        <v>0</v>
      </c>
      <c r="AB554">
        <v>0</v>
      </c>
      <c r="AC554">
        <v>0</v>
      </c>
      <c r="AD554" t="s">
        <v>1194</v>
      </c>
    </row>
    <row r="555" spans="1:30" x14ac:dyDescent="0.25">
      <c r="H555" t="s">
        <v>1195</v>
      </c>
    </row>
    <row r="556" spans="1:30" x14ac:dyDescent="0.25">
      <c r="A556">
        <v>275</v>
      </c>
      <c r="B556">
        <v>1284</v>
      </c>
      <c r="C556" t="s">
        <v>1196</v>
      </c>
      <c r="D556" t="s">
        <v>39</v>
      </c>
      <c r="E556" t="s">
        <v>47</v>
      </c>
      <c r="F556" t="s">
        <v>1197</v>
      </c>
      <c r="G556" t="str">
        <f>"200911000461"</f>
        <v>200911000461</v>
      </c>
      <c r="H556" t="s">
        <v>321</v>
      </c>
      <c r="I556">
        <v>150</v>
      </c>
      <c r="J556">
        <v>0</v>
      </c>
      <c r="K556">
        <v>0</v>
      </c>
      <c r="L556">
        <v>200</v>
      </c>
      <c r="M556">
        <v>0</v>
      </c>
      <c r="N556">
        <v>70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38</v>
      </c>
      <c r="W556">
        <v>266</v>
      </c>
      <c r="X556">
        <v>0</v>
      </c>
      <c r="Z556">
        <v>0</v>
      </c>
      <c r="AA556">
        <v>0</v>
      </c>
      <c r="AB556">
        <v>0</v>
      </c>
      <c r="AC556">
        <v>0</v>
      </c>
      <c r="AD556" t="s">
        <v>1198</v>
      </c>
    </row>
    <row r="557" spans="1:30" x14ac:dyDescent="0.25">
      <c r="H557" t="s">
        <v>1199</v>
      </c>
    </row>
    <row r="558" spans="1:30" x14ac:dyDescent="0.25">
      <c r="A558">
        <v>276</v>
      </c>
      <c r="B558">
        <v>2670</v>
      </c>
      <c r="C558" t="s">
        <v>1200</v>
      </c>
      <c r="D558" t="s">
        <v>134</v>
      </c>
      <c r="E558" t="s">
        <v>40</v>
      </c>
      <c r="F558" t="s">
        <v>1201</v>
      </c>
      <c r="G558" t="str">
        <f>"201406017543"</f>
        <v>201406017543</v>
      </c>
      <c r="H558" t="s">
        <v>158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50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84</v>
      </c>
      <c r="W558">
        <v>588</v>
      </c>
      <c r="X558">
        <v>0</v>
      </c>
      <c r="Z558">
        <v>0</v>
      </c>
      <c r="AA558">
        <v>0</v>
      </c>
      <c r="AB558">
        <v>0</v>
      </c>
      <c r="AC558">
        <v>0</v>
      </c>
      <c r="AD558" t="s">
        <v>1202</v>
      </c>
    </row>
    <row r="559" spans="1:30" x14ac:dyDescent="0.25">
      <c r="H559" t="s">
        <v>1203</v>
      </c>
    </row>
    <row r="560" spans="1:30" x14ac:dyDescent="0.25">
      <c r="A560">
        <v>277</v>
      </c>
      <c r="B560">
        <v>2006</v>
      </c>
      <c r="C560" t="s">
        <v>1204</v>
      </c>
      <c r="D560" t="s">
        <v>879</v>
      </c>
      <c r="E560" t="s">
        <v>107</v>
      </c>
      <c r="F560" t="s">
        <v>1205</v>
      </c>
      <c r="G560" t="str">
        <f>"201406001672"</f>
        <v>201406001672</v>
      </c>
      <c r="H560">
        <v>913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84</v>
      </c>
      <c r="W560">
        <v>588</v>
      </c>
      <c r="X560">
        <v>0</v>
      </c>
      <c r="Z560">
        <v>0</v>
      </c>
      <c r="AA560">
        <v>0</v>
      </c>
      <c r="AB560">
        <v>0</v>
      </c>
      <c r="AC560">
        <v>0</v>
      </c>
      <c r="AD560">
        <v>1531</v>
      </c>
    </row>
    <row r="561" spans="1:30" x14ac:dyDescent="0.25">
      <c r="H561" t="s">
        <v>1206</v>
      </c>
    </row>
    <row r="562" spans="1:30" x14ac:dyDescent="0.25">
      <c r="A562">
        <v>278</v>
      </c>
      <c r="B562">
        <v>3910</v>
      </c>
      <c r="C562" t="s">
        <v>1207</v>
      </c>
      <c r="D562" t="s">
        <v>1208</v>
      </c>
      <c r="E562" t="s">
        <v>239</v>
      </c>
      <c r="F562" t="s">
        <v>1209</v>
      </c>
      <c r="G562" t="str">
        <f>"200907000326"</f>
        <v>200907000326</v>
      </c>
      <c r="H562">
        <v>803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70</v>
      </c>
      <c r="O562">
        <v>0</v>
      </c>
      <c r="P562">
        <v>70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84</v>
      </c>
      <c r="W562">
        <v>588</v>
      </c>
      <c r="X562">
        <v>0</v>
      </c>
      <c r="Z562">
        <v>0</v>
      </c>
      <c r="AA562">
        <v>0</v>
      </c>
      <c r="AB562">
        <v>0</v>
      </c>
      <c r="AC562">
        <v>0</v>
      </c>
      <c r="AD562">
        <v>1531</v>
      </c>
    </row>
    <row r="563" spans="1:30" x14ac:dyDescent="0.25">
      <c r="H563" t="s">
        <v>1210</v>
      </c>
    </row>
    <row r="564" spans="1:30" x14ac:dyDescent="0.25">
      <c r="A564">
        <v>279</v>
      </c>
      <c r="B564">
        <v>3395</v>
      </c>
      <c r="C564" t="s">
        <v>1211</v>
      </c>
      <c r="D564" t="s">
        <v>694</v>
      </c>
      <c r="E564" t="s">
        <v>183</v>
      </c>
      <c r="F564" t="s">
        <v>1212</v>
      </c>
      <c r="G564" t="str">
        <f>"00160317"</f>
        <v>00160317</v>
      </c>
      <c r="H564">
        <v>748</v>
      </c>
      <c r="I564">
        <v>0</v>
      </c>
      <c r="J564">
        <v>0</v>
      </c>
      <c r="K564">
        <v>0</v>
      </c>
      <c r="L564">
        <v>200</v>
      </c>
      <c r="M564">
        <v>0</v>
      </c>
      <c r="N564">
        <v>30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79</v>
      </c>
      <c r="W564">
        <v>553</v>
      </c>
      <c r="X564">
        <v>0</v>
      </c>
      <c r="Z564">
        <v>0</v>
      </c>
      <c r="AA564">
        <v>0</v>
      </c>
      <c r="AB564">
        <v>0</v>
      </c>
      <c r="AC564">
        <v>0</v>
      </c>
      <c r="AD564">
        <v>1531</v>
      </c>
    </row>
    <row r="565" spans="1:30" x14ac:dyDescent="0.25">
      <c r="H565" t="s">
        <v>1213</v>
      </c>
    </row>
    <row r="566" spans="1:30" x14ac:dyDescent="0.25">
      <c r="A566">
        <v>280</v>
      </c>
      <c r="B566">
        <v>6282</v>
      </c>
      <c r="C566" t="s">
        <v>1214</v>
      </c>
      <c r="D566" t="s">
        <v>694</v>
      </c>
      <c r="E566" t="s">
        <v>1215</v>
      </c>
      <c r="F566" t="s">
        <v>1216</v>
      </c>
      <c r="G566" t="str">
        <f>"00011070"</f>
        <v>00011070</v>
      </c>
      <c r="H566" t="s">
        <v>226</v>
      </c>
      <c r="I566">
        <v>0</v>
      </c>
      <c r="J566">
        <v>0</v>
      </c>
      <c r="K566">
        <v>0</v>
      </c>
      <c r="L566">
        <v>0</v>
      </c>
      <c r="M566">
        <v>100</v>
      </c>
      <c r="N566">
        <v>70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84</v>
      </c>
      <c r="W566">
        <v>588</v>
      </c>
      <c r="X566">
        <v>0</v>
      </c>
      <c r="Z566">
        <v>0</v>
      </c>
      <c r="AA566">
        <v>0</v>
      </c>
      <c r="AB566">
        <v>0</v>
      </c>
      <c r="AC566">
        <v>0</v>
      </c>
      <c r="AD566" t="s">
        <v>1217</v>
      </c>
    </row>
    <row r="567" spans="1:30" x14ac:dyDescent="0.25">
      <c r="H567" t="s">
        <v>1218</v>
      </c>
    </row>
    <row r="568" spans="1:30" x14ac:dyDescent="0.25">
      <c r="A568">
        <v>281</v>
      </c>
      <c r="B568">
        <v>3936</v>
      </c>
      <c r="C568" t="s">
        <v>1219</v>
      </c>
      <c r="D568" t="s">
        <v>40</v>
      </c>
      <c r="E568" t="s">
        <v>39</v>
      </c>
      <c r="F568" t="s">
        <v>1220</v>
      </c>
      <c r="G568" t="str">
        <f>"00225842"</f>
        <v>00225842</v>
      </c>
      <c r="H568">
        <v>671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30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60</v>
      </c>
      <c r="W568">
        <v>420</v>
      </c>
      <c r="X568">
        <v>0</v>
      </c>
      <c r="Z568">
        <v>0</v>
      </c>
      <c r="AA568">
        <v>0</v>
      </c>
      <c r="AB568">
        <v>24</v>
      </c>
      <c r="AC568">
        <v>408</v>
      </c>
      <c r="AD568">
        <v>1529</v>
      </c>
    </row>
    <row r="569" spans="1:30" x14ac:dyDescent="0.25">
      <c r="H569" t="s">
        <v>1221</v>
      </c>
    </row>
    <row r="570" spans="1:30" x14ac:dyDescent="0.25">
      <c r="A570">
        <v>282</v>
      </c>
      <c r="B570">
        <v>3635</v>
      </c>
      <c r="C570" t="s">
        <v>1222</v>
      </c>
      <c r="D570" t="s">
        <v>429</v>
      </c>
      <c r="E570" t="s">
        <v>238</v>
      </c>
      <c r="F570" t="s">
        <v>1223</v>
      </c>
      <c r="G570" t="str">
        <f>"00315183"</f>
        <v>00315183</v>
      </c>
      <c r="H570">
        <v>671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30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60</v>
      </c>
      <c r="W570">
        <v>420</v>
      </c>
      <c r="X570">
        <v>0</v>
      </c>
      <c r="Z570">
        <v>0</v>
      </c>
      <c r="AA570">
        <v>0</v>
      </c>
      <c r="AB570">
        <v>24</v>
      </c>
      <c r="AC570">
        <v>408</v>
      </c>
      <c r="AD570">
        <v>1529</v>
      </c>
    </row>
    <row r="571" spans="1:30" x14ac:dyDescent="0.25">
      <c r="H571" t="s">
        <v>1224</v>
      </c>
    </row>
    <row r="572" spans="1:30" x14ac:dyDescent="0.25">
      <c r="A572">
        <v>283</v>
      </c>
      <c r="B572">
        <v>3464</v>
      </c>
      <c r="C572" t="s">
        <v>1225</v>
      </c>
      <c r="D572" t="s">
        <v>335</v>
      </c>
      <c r="E572" t="s">
        <v>107</v>
      </c>
      <c r="F572" t="s">
        <v>1226</v>
      </c>
      <c r="G572" t="str">
        <f>"00263898"</f>
        <v>00263898</v>
      </c>
      <c r="H572" t="s">
        <v>1227</v>
      </c>
      <c r="I572">
        <v>0</v>
      </c>
      <c r="J572">
        <v>0</v>
      </c>
      <c r="K572">
        <v>0</v>
      </c>
      <c r="L572">
        <v>200</v>
      </c>
      <c r="M572">
        <v>0</v>
      </c>
      <c r="N572">
        <v>30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84</v>
      </c>
      <c r="W572">
        <v>588</v>
      </c>
      <c r="X572">
        <v>0</v>
      </c>
      <c r="Z572">
        <v>0</v>
      </c>
      <c r="AA572">
        <v>0</v>
      </c>
      <c r="AB572">
        <v>0</v>
      </c>
      <c r="AC572">
        <v>0</v>
      </c>
      <c r="AD572" t="s">
        <v>1228</v>
      </c>
    </row>
    <row r="573" spans="1:30" x14ac:dyDescent="0.25">
      <c r="H573" t="s">
        <v>1229</v>
      </c>
    </row>
    <row r="574" spans="1:30" x14ac:dyDescent="0.25">
      <c r="A574">
        <v>284</v>
      </c>
      <c r="B574">
        <v>1321</v>
      </c>
      <c r="C574" t="s">
        <v>1230</v>
      </c>
      <c r="D574" t="s">
        <v>140</v>
      </c>
      <c r="E574" t="s">
        <v>190</v>
      </c>
      <c r="F574" t="s">
        <v>1231</v>
      </c>
      <c r="G574" t="str">
        <f>"201406016100"</f>
        <v>201406016100</v>
      </c>
      <c r="H574" t="s">
        <v>818</v>
      </c>
      <c r="I574">
        <v>0</v>
      </c>
      <c r="J574">
        <v>0</v>
      </c>
      <c r="K574">
        <v>0</v>
      </c>
      <c r="L574">
        <v>200</v>
      </c>
      <c r="M574">
        <v>0</v>
      </c>
      <c r="N574">
        <v>50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73</v>
      </c>
      <c r="W574">
        <v>511</v>
      </c>
      <c r="X574">
        <v>0</v>
      </c>
      <c r="Z574">
        <v>0</v>
      </c>
      <c r="AA574">
        <v>0</v>
      </c>
      <c r="AB574">
        <v>0</v>
      </c>
      <c r="AC574">
        <v>0</v>
      </c>
      <c r="AD574" t="s">
        <v>1232</v>
      </c>
    </row>
    <row r="575" spans="1:30" x14ac:dyDescent="0.25">
      <c r="H575" t="s">
        <v>1233</v>
      </c>
    </row>
    <row r="576" spans="1:30" x14ac:dyDescent="0.25">
      <c r="A576">
        <v>285</v>
      </c>
      <c r="B576">
        <v>1879</v>
      </c>
      <c r="C576" t="s">
        <v>657</v>
      </c>
      <c r="D576" t="s">
        <v>830</v>
      </c>
      <c r="E576" t="s">
        <v>400</v>
      </c>
      <c r="F576" t="s">
        <v>1234</v>
      </c>
      <c r="G576" t="str">
        <f>"200801008592"</f>
        <v>200801008592</v>
      </c>
      <c r="H576" t="s">
        <v>1235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30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60</v>
      </c>
      <c r="W576">
        <v>420</v>
      </c>
      <c r="X576">
        <v>0</v>
      </c>
      <c r="Z576">
        <v>2</v>
      </c>
      <c r="AA576">
        <v>0</v>
      </c>
      <c r="AB576">
        <v>24</v>
      </c>
      <c r="AC576">
        <v>408</v>
      </c>
      <c r="AD576" t="s">
        <v>1236</v>
      </c>
    </row>
    <row r="577" spans="1:30" x14ac:dyDescent="0.25">
      <c r="H577" t="s">
        <v>1237</v>
      </c>
    </row>
    <row r="578" spans="1:30" x14ac:dyDescent="0.25">
      <c r="A578">
        <v>286</v>
      </c>
      <c r="B578">
        <v>3683</v>
      </c>
      <c r="C578" t="s">
        <v>1238</v>
      </c>
      <c r="D578" t="s">
        <v>879</v>
      </c>
      <c r="E578" t="s">
        <v>107</v>
      </c>
      <c r="F578" t="s">
        <v>1239</v>
      </c>
      <c r="G578" t="str">
        <f>"00336197"</f>
        <v>00336197</v>
      </c>
      <c r="H578" t="s">
        <v>219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30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45</v>
      </c>
      <c r="W578">
        <v>315</v>
      </c>
      <c r="X578">
        <v>0</v>
      </c>
      <c r="Z578">
        <v>0</v>
      </c>
      <c r="AA578">
        <v>0</v>
      </c>
      <c r="AB578">
        <v>24</v>
      </c>
      <c r="AC578">
        <v>408</v>
      </c>
      <c r="AD578" t="s">
        <v>1240</v>
      </c>
    </row>
    <row r="579" spans="1:30" x14ac:dyDescent="0.25">
      <c r="H579" t="s">
        <v>1241</v>
      </c>
    </row>
    <row r="580" spans="1:30" x14ac:dyDescent="0.25">
      <c r="A580">
        <v>287</v>
      </c>
      <c r="B580">
        <v>4742</v>
      </c>
      <c r="C580" t="s">
        <v>1242</v>
      </c>
      <c r="D580" t="s">
        <v>420</v>
      </c>
      <c r="E580" t="s">
        <v>1243</v>
      </c>
      <c r="F580" t="s">
        <v>1244</v>
      </c>
      <c r="G580" t="str">
        <f>"201406013781"</f>
        <v>201406013781</v>
      </c>
      <c r="H580">
        <v>836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50</v>
      </c>
      <c r="O580">
        <v>0</v>
      </c>
      <c r="P580">
        <v>50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84</v>
      </c>
      <c r="W580">
        <v>588</v>
      </c>
      <c r="X580">
        <v>0</v>
      </c>
      <c r="Z580">
        <v>1</v>
      </c>
      <c r="AA580">
        <v>0</v>
      </c>
      <c r="AB580">
        <v>0</v>
      </c>
      <c r="AC580">
        <v>0</v>
      </c>
      <c r="AD580">
        <v>1524</v>
      </c>
    </row>
    <row r="581" spans="1:30" x14ac:dyDescent="0.25">
      <c r="H581" t="s">
        <v>1245</v>
      </c>
    </row>
    <row r="582" spans="1:30" x14ac:dyDescent="0.25">
      <c r="A582">
        <v>288</v>
      </c>
      <c r="B582">
        <v>5125</v>
      </c>
      <c r="C582" t="s">
        <v>1246</v>
      </c>
      <c r="D582" t="s">
        <v>616</v>
      </c>
      <c r="E582" t="s">
        <v>183</v>
      </c>
      <c r="F582" t="s">
        <v>1247</v>
      </c>
      <c r="G582" t="str">
        <f>"00159271"</f>
        <v>00159271</v>
      </c>
      <c r="H582" t="s">
        <v>690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50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72</v>
      </c>
      <c r="W582">
        <v>504</v>
      </c>
      <c r="X582">
        <v>0</v>
      </c>
      <c r="Z582">
        <v>1</v>
      </c>
      <c r="AA582">
        <v>0</v>
      </c>
      <c r="AB582">
        <v>12</v>
      </c>
      <c r="AC582">
        <v>204</v>
      </c>
      <c r="AD582" t="s">
        <v>1248</v>
      </c>
    </row>
    <row r="583" spans="1:30" x14ac:dyDescent="0.25">
      <c r="H583" t="s">
        <v>521</v>
      </c>
    </row>
    <row r="584" spans="1:30" x14ac:dyDescent="0.25">
      <c r="A584">
        <v>289</v>
      </c>
      <c r="B584">
        <v>4186</v>
      </c>
      <c r="C584" t="s">
        <v>1249</v>
      </c>
      <c r="D584" t="s">
        <v>151</v>
      </c>
      <c r="E584" t="s">
        <v>40</v>
      </c>
      <c r="F584" t="s">
        <v>1250</v>
      </c>
      <c r="G584" t="str">
        <f>"201406014673"</f>
        <v>201406014673</v>
      </c>
      <c r="H584" t="s">
        <v>1251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60</v>
      </c>
      <c r="W584">
        <v>420</v>
      </c>
      <c r="X584">
        <v>0</v>
      </c>
      <c r="Z584">
        <v>0</v>
      </c>
      <c r="AA584">
        <v>0</v>
      </c>
      <c r="AB584">
        <v>24</v>
      </c>
      <c r="AC584">
        <v>408</v>
      </c>
      <c r="AD584" t="s">
        <v>1252</v>
      </c>
    </row>
    <row r="585" spans="1:30" x14ac:dyDescent="0.25">
      <c r="H585" t="s">
        <v>1253</v>
      </c>
    </row>
    <row r="586" spans="1:30" x14ac:dyDescent="0.25">
      <c r="A586">
        <v>290</v>
      </c>
      <c r="B586">
        <v>257</v>
      </c>
      <c r="C586" t="s">
        <v>1254</v>
      </c>
      <c r="D586" t="s">
        <v>39</v>
      </c>
      <c r="E586" t="s">
        <v>79</v>
      </c>
      <c r="F586" t="s">
        <v>1255</v>
      </c>
      <c r="G586" t="str">
        <f>"00107632"</f>
        <v>00107632</v>
      </c>
      <c r="H586" t="s">
        <v>1256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30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60</v>
      </c>
      <c r="W586">
        <v>420</v>
      </c>
      <c r="X586">
        <v>0</v>
      </c>
      <c r="Z586">
        <v>2</v>
      </c>
      <c r="AA586">
        <v>0</v>
      </c>
      <c r="AB586">
        <v>24</v>
      </c>
      <c r="AC586">
        <v>408</v>
      </c>
      <c r="AD586" t="s">
        <v>1257</v>
      </c>
    </row>
    <row r="587" spans="1:30" x14ac:dyDescent="0.25">
      <c r="H587" t="s">
        <v>1258</v>
      </c>
    </row>
    <row r="588" spans="1:30" x14ac:dyDescent="0.25">
      <c r="A588">
        <v>291</v>
      </c>
      <c r="B588">
        <v>2579</v>
      </c>
      <c r="C588" t="s">
        <v>1259</v>
      </c>
      <c r="D588" t="s">
        <v>176</v>
      </c>
      <c r="E588" t="s">
        <v>1039</v>
      </c>
      <c r="F588" t="s">
        <v>1260</v>
      </c>
      <c r="G588" t="str">
        <f>"200801005382"</f>
        <v>200801005382</v>
      </c>
      <c r="H588" t="s">
        <v>1261</v>
      </c>
      <c r="I588">
        <v>0</v>
      </c>
      <c r="J588">
        <v>0</v>
      </c>
      <c r="K588">
        <v>0</v>
      </c>
      <c r="L588">
        <v>200</v>
      </c>
      <c r="M588">
        <v>0</v>
      </c>
      <c r="N588">
        <v>70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84</v>
      </c>
      <c r="W588">
        <v>588</v>
      </c>
      <c r="X588">
        <v>0</v>
      </c>
      <c r="Z588">
        <v>0</v>
      </c>
      <c r="AA588">
        <v>0</v>
      </c>
      <c r="AB588">
        <v>0</v>
      </c>
      <c r="AC588">
        <v>0</v>
      </c>
      <c r="AD588" t="s">
        <v>1262</v>
      </c>
    </row>
    <row r="589" spans="1:30" x14ac:dyDescent="0.25">
      <c r="H589" t="s">
        <v>1263</v>
      </c>
    </row>
    <row r="590" spans="1:30" x14ac:dyDescent="0.25">
      <c r="A590">
        <v>292</v>
      </c>
      <c r="B590">
        <v>2608</v>
      </c>
      <c r="C590" t="s">
        <v>1264</v>
      </c>
      <c r="D590" t="s">
        <v>75</v>
      </c>
      <c r="E590" t="s">
        <v>1265</v>
      </c>
      <c r="F590" t="s">
        <v>1266</v>
      </c>
      <c r="G590" t="str">
        <f>"00157085"</f>
        <v>00157085</v>
      </c>
      <c r="H590">
        <v>693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30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63</v>
      </c>
      <c r="W590">
        <v>441</v>
      </c>
      <c r="X590">
        <v>0</v>
      </c>
      <c r="Z590">
        <v>2</v>
      </c>
      <c r="AA590">
        <v>0</v>
      </c>
      <c r="AB590">
        <v>21</v>
      </c>
      <c r="AC590">
        <v>357</v>
      </c>
      <c r="AD590">
        <v>1521</v>
      </c>
    </row>
    <row r="591" spans="1:30" x14ac:dyDescent="0.25">
      <c r="H591" t="s">
        <v>1267</v>
      </c>
    </row>
    <row r="592" spans="1:30" x14ac:dyDescent="0.25">
      <c r="A592">
        <v>293</v>
      </c>
      <c r="B592">
        <v>6126</v>
      </c>
      <c r="C592" t="s">
        <v>1268</v>
      </c>
      <c r="D592" t="s">
        <v>1269</v>
      </c>
      <c r="E592" t="s">
        <v>162</v>
      </c>
      <c r="F592" t="s">
        <v>1270</v>
      </c>
      <c r="G592" t="str">
        <f>"00365880"</f>
        <v>00365880</v>
      </c>
      <c r="H592">
        <v>693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60</v>
      </c>
      <c r="W592">
        <v>420</v>
      </c>
      <c r="X592">
        <v>0</v>
      </c>
      <c r="Z592">
        <v>0</v>
      </c>
      <c r="AA592">
        <v>0</v>
      </c>
      <c r="AB592">
        <v>24</v>
      </c>
      <c r="AC592">
        <v>408</v>
      </c>
      <c r="AD592">
        <v>1521</v>
      </c>
    </row>
    <row r="593" spans="1:30" x14ac:dyDescent="0.25">
      <c r="H593" t="s">
        <v>1271</v>
      </c>
    </row>
    <row r="594" spans="1:30" x14ac:dyDescent="0.25">
      <c r="A594">
        <v>294</v>
      </c>
      <c r="B594">
        <v>1629</v>
      </c>
      <c r="C594" t="s">
        <v>1088</v>
      </c>
      <c r="D594" t="s">
        <v>290</v>
      </c>
      <c r="E594" t="s">
        <v>115</v>
      </c>
      <c r="F594" t="s">
        <v>1272</v>
      </c>
      <c r="G594" t="str">
        <f>"201406012435"</f>
        <v>201406012435</v>
      </c>
      <c r="H594">
        <v>693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60</v>
      </c>
      <c r="W594">
        <v>420</v>
      </c>
      <c r="X594">
        <v>0</v>
      </c>
      <c r="Z594">
        <v>0</v>
      </c>
      <c r="AA594">
        <v>0</v>
      </c>
      <c r="AB594">
        <v>24</v>
      </c>
      <c r="AC594">
        <v>408</v>
      </c>
      <c r="AD594">
        <v>1521</v>
      </c>
    </row>
    <row r="595" spans="1:30" x14ac:dyDescent="0.25">
      <c r="H595" t="s">
        <v>1273</v>
      </c>
    </row>
    <row r="596" spans="1:30" x14ac:dyDescent="0.25">
      <c r="A596">
        <v>295</v>
      </c>
      <c r="B596">
        <v>4774</v>
      </c>
      <c r="C596" t="s">
        <v>1274</v>
      </c>
      <c r="D596" t="s">
        <v>1275</v>
      </c>
      <c r="E596" t="s">
        <v>1276</v>
      </c>
      <c r="F596" t="s">
        <v>1277</v>
      </c>
      <c r="G596" t="str">
        <f>"00003979"</f>
        <v>00003979</v>
      </c>
      <c r="H596">
        <v>682</v>
      </c>
      <c r="I596">
        <v>0</v>
      </c>
      <c r="J596">
        <v>0</v>
      </c>
      <c r="K596">
        <v>0</v>
      </c>
      <c r="L596">
        <v>200</v>
      </c>
      <c r="M596">
        <v>0</v>
      </c>
      <c r="N596">
        <v>50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84</v>
      </c>
      <c r="W596">
        <v>588</v>
      </c>
      <c r="X596">
        <v>0</v>
      </c>
      <c r="Z596">
        <v>0</v>
      </c>
      <c r="AA596">
        <v>0</v>
      </c>
      <c r="AB596">
        <v>0</v>
      </c>
      <c r="AC596">
        <v>0</v>
      </c>
      <c r="AD596">
        <v>1520</v>
      </c>
    </row>
    <row r="597" spans="1:30" x14ac:dyDescent="0.25">
      <c r="H597" t="s">
        <v>1278</v>
      </c>
    </row>
    <row r="598" spans="1:30" x14ac:dyDescent="0.25">
      <c r="A598">
        <v>296</v>
      </c>
      <c r="B598">
        <v>2802</v>
      </c>
      <c r="C598" t="s">
        <v>1279</v>
      </c>
      <c r="D598" t="s">
        <v>661</v>
      </c>
      <c r="E598" t="s">
        <v>1280</v>
      </c>
      <c r="F598" t="s">
        <v>1281</v>
      </c>
      <c r="G598" t="str">
        <f>"200801009535"</f>
        <v>200801009535</v>
      </c>
      <c r="H598" t="s">
        <v>1150</v>
      </c>
      <c r="I598">
        <v>0</v>
      </c>
      <c r="J598">
        <v>0</v>
      </c>
      <c r="K598">
        <v>0</v>
      </c>
      <c r="L598">
        <v>200</v>
      </c>
      <c r="M598">
        <v>0</v>
      </c>
      <c r="N598">
        <v>30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84</v>
      </c>
      <c r="W598">
        <v>588</v>
      </c>
      <c r="X598">
        <v>0</v>
      </c>
      <c r="Z598">
        <v>0</v>
      </c>
      <c r="AA598">
        <v>0</v>
      </c>
      <c r="AB598">
        <v>0</v>
      </c>
      <c r="AC598">
        <v>0</v>
      </c>
      <c r="AD598" t="s">
        <v>1282</v>
      </c>
    </row>
    <row r="599" spans="1:30" x14ac:dyDescent="0.25">
      <c r="H599" t="s">
        <v>1283</v>
      </c>
    </row>
    <row r="600" spans="1:30" x14ac:dyDescent="0.25">
      <c r="A600">
        <v>297</v>
      </c>
      <c r="B600">
        <v>4152</v>
      </c>
      <c r="C600" t="s">
        <v>1284</v>
      </c>
      <c r="D600" t="s">
        <v>1285</v>
      </c>
      <c r="E600" t="s">
        <v>87</v>
      </c>
      <c r="F600" t="s">
        <v>1286</v>
      </c>
      <c r="G600" t="str">
        <f>"00361008"</f>
        <v>00361008</v>
      </c>
      <c r="H600">
        <v>880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50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84</v>
      </c>
      <c r="W600">
        <v>588</v>
      </c>
      <c r="X600">
        <v>0</v>
      </c>
      <c r="Z600">
        <v>0</v>
      </c>
      <c r="AA600">
        <v>0</v>
      </c>
      <c r="AB600">
        <v>0</v>
      </c>
      <c r="AC600">
        <v>0</v>
      </c>
      <c r="AD600">
        <v>1518</v>
      </c>
    </row>
    <row r="601" spans="1:30" x14ac:dyDescent="0.25">
      <c r="H601" t="s">
        <v>1287</v>
      </c>
    </row>
    <row r="602" spans="1:30" x14ac:dyDescent="0.25">
      <c r="A602">
        <v>298</v>
      </c>
      <c r="B602">
        <v>5105</v>
      </c>
      <c r="C602" t="s">
        <v>1288</v>
      </c>
      <c r="D602" t="s">
        <v>1289</v>
      </c>
      <c r="E602" t="s">
        <v>108</v>
      </c>
      <c r="F602" t="s">
        <v>1290</v>
      </c>
      <c r="G602" t="str">
        <f>"00150368"</f>
        <v>00150368</v>
      </c>
      <c r="H602">
        <v>660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60</v>
      </c>
      <c r="W602">
        <v>420</v>
      </c>
      <c r="X602">
        <v>0</v>
      </c>
      <c r="Z602">
        <v>0</v>
      </c>
      <c r="AA602">
        <v>0</v>
      </c>
      <c r="AB602">
        <v>24</v>
      </c>
      <c r="AC602">
        <v>408</v>
      </c>
      <c r="AD602">
        <v>1518</v>
      </c>
    </row>
    <row r="603" spans="1:30" x14ac:dyDescent="0.25">
      <c r="H603">
        <v>1249</v>
      </c>
    </row>
    <row r="604" spans="1:30" x14ac:dyDescent="0.25">
      <c r="A604">
        <v>299</v>
      </c>
      <c r="B604">
        <v>5192</v>
      </c>
      <c r="C604" t="s">
        <v>1291</v>
      </c>
      <c r="D604" t="s">
        <v>335</v>
      </c>
      <c r="E604" t="s">
        <v>1292</v>
      </c>
      <c r="F604" t="s">
        <v>1293</v>
      </c>
      <c r="G604" t="str">
        <f>"00368511"</f>
        <v>00368511</v>
      </c>
      <c r="H604" t="s">
        <v>1294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60</v>
      </c>
      <c r="W604">
        <v>420</v>
      </c>
      <c r="X604">
        <v>0</v>
      </c>
      <c r="Z604">
        <v>0</v>
      </c>
      <c r="AA604">
        <v>0</v>
      </c>
      <c r="AB604">
        <v>24</v>
      </c>
      <c r="AC604">
        <v>408</v>
      </c>
      <c r="AD604" t="s">
        <v>1295</v>
      </c>
    </row>
    <row r="605" spans="1:30" x14ac:dyDescent="0.25">
      <c r="H605" t="s">
        <v>1296</v>
      </c>
    </row>
    <row r="606" spans="1:30" x14ac:dyDescent="0.25">
      <c r="A606">
        <v>300</v>
      </c>
      <c r="B606">
        <v>6225</v>
      </c>
      <c r="C606" t="s">
        <v>1297</v>
      </c>
      <c r="D606" t="s">
        <v>526</v>
      </c>
      <c r="E606" t="s">
        <v>151</v>
      </c>
      <c r="F606" t="s">
        <v>1298</v>
      </c>
      <c r="G606" t="str">
        <f>"00158164"</f>
        <v>00158164</v>
      </c>
      <c r="H606" t="s">
        <v>826</v>
      </c>
      <c r="I606">
        <v>0</v>
      </c>
      <c r="J606">
        <v>0</v>
      </c>
      <c r="K606">
        <v>0</v>
      </c>
      <c r="L606">
        <v>200</v>
      </c>
      <c r="M606">
        <v>0</v>
      </c>
      <c r="N606">
        <v>30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73</v>
      </c>
      <c r="W606">
        <v>511</v>
      </c>
      <c r="X606">
        <v>0</v>
      </c>
      <c r="Z606">
        <v>0</v>
      </c>
      <c r="AA606">
        <v>0</v>
      </c>
      <c r="AB606">
        <v>0</v>
      </c>
      <c r="AC606">
        <v>0</v>
      </c>
      <c r="AD606" t="s">
        <v>1299</v>
      </c>
    </row>
    <row r="607" spans="1:30" x14ac:dyDescent="0.25">
      <c r="H607" t="s">
        <v>1300</v>
      </c>
    </row>
    <row r="608" spans="1:30" x14ac:dyDescent="0.25">
      <c r="A608">
        <v>301</v>
      </c>
      <c r="B608">
        <v>5365</v>
      </c>
      <c r="C608" t="s">
        <v>1301</v>
      </c>
      <c r="D608" t="s">
        <v>75</v>
      </c>
      <c r="E608" t="s">
        <v>950</v>
      </c>
      <c r="F608" t="s">
        <v>1302</v>
      </c>
      <c r="G608" t="str">
        <f>"201406007603"</f>
        <v>201406007603</v>
      </c>
      <c r="H608" t="s">
        <v>1303</v>
      </c>
      <c r="I608">
        <v>0</v>
      </c>
      <c r="J608">
        <v>0</v>
      </c>
      <c r="K608">
        <v>0</v>
      </c>
      <c r="L608">
        <v>200</v>
      </c>
      <c r="M608">
        <v>0</v>
      </c>
      <c r="N608">
        <v>30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83</v>
      </c>
      <c r="W608">
        <v>581</v>
      </c>
      <c r="X608">
        <v>0</v>
      </c>
      <c r="Z608">
        <v>0</v>
      </c>
      <c r="AA608">
        <v>0</v>
      </c>
      <c r="AB608">
        <v>0</v>
      </c>
      <c r="AC608">
        <v>0</v>
      </c>
      <c r="AD608" t="s">
        <v>1304</v>
      </c>
    </row>
    <row r="609" spans="1:30" x14ac:dyDescent="0.25">
      <c r="H609" t="s">
        <v>1305</v>
      </c>
    </row>
    <row r="610" spans="1:30" x14ac:dyDescent="0.25">
      <c r="A610">
        <v>302</v>
      </c>
      <c r="B610">
        <v>298</v>
      </c>
      <c r="C610" t="s">
        <v>1306</v>
      </c>
      <c r="D610" t="s">
        <v>182</v>
      </c>
      <c r="E610" t="s">
        <v>151</v>
      </c>
      <c r="F610" t="s">
        <v>1307</v>
      </c>
      <c r="G610" t="str">
        <f>"00030252"</f>
        <v>00030252</v>
      </c>
      <c r="H610">
        <v>748</v>
      </c>
      <c r="I610">
        <v>0</v>
      </c>
      <c r="J610">
        <v>0</v>
      </c>
      <c r="K610">
        <v>0</v>
      </c>
      <c r="L610">
        <v>200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77</v>
      </c>
      <c r="W610">
        <v>539</v>
      </c>
      <c r="X610">
        <v>0</v>
      </c>
      <c r="Z610">
        <v>0</v>
      </c>
      <c r="AA610">
        <v>0</v>
      </c>
      <c r="AB610">
        <v>0</v>
      </c>
      <c r="AC610">
        <v>0</v>
      </c>
      <c r="AD610">
        <v>1517</v>
      </c>
    </row>
    <row r="611" spans="1:30" x14ac:dyDescent="0.25">
      <c r="H611" t="s">
        <v>1308</v>
      </c>
    </row>
    <row r="612" spans="1:30" x14ac:dyDescent="0.25">
      <c r="A612">
        <v>303</v>
      </c>
      <c r="B612">
        <v>4489</v>
      </c>
      <c r="C612" t="s">
        <v>1309</v>
      </c>
      <c r="D612" t="s">
        <v>869</v>
      </c>
      <c r="E612" t="s">
        <v>51</v>
      </c>
      <c r="F612" t="s">
        <v>1310</v>
      </c>
      <c r="G612" t="str">
        <f>"201406012138"</f>
        <v>201406012138</v>
      </c>
      <c r="H612" t="s">
        <v>696</v>
      </c>
      <c r="I612">
        <v>0</v>
      </c>
      <c r="J612">
        <v>0</v>
      </c>
      <c r="K612">
        <v>0</v>
      </c>
      <c r="L612">
        <v>200</v>
      </c>
      <c r="M612">
        <v>0</v>
      </c>
      <c r="N612">
        <v>70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9</v>
      </c>
      <c r="W612">
        <v>63</v>
      </c>
      <c r="X612">
        <v>0</v>
      </c>
      <c r="Z612">
        <v>0</v>
      </c>
      <c r="AA612">
        <v>0</v>
      </c>
      <c r="AB612">
        <v>24</v>
      </c>
      <c r="AC612">
        <v>408</v>
      </c>
      <c r="AD612" t="s">
        <v>1311</v>
      </c>
    </row>
    <row r="613" spans="1:30" x14ac:dyDescent="0.25">
      <c r="H613" t="s">
        <v>1312</v>
      </c>
    </row>
    <row r="614" spans="1:30" x14ac:dyDescent="0.25">
      <c r="A614">
        <v>304</v>
      </c>
      <c r="B614">
        <v>3390</v>
      </c>
      <c r="C614" t="s">
        <v>1313</v>
      </c>
      <c r="D614" t="s">
        <v>51</v>
      </c>
      <c r="E614" t="s">
        <v>40</v>
      </c>
      <c r="F614" t="s">
        <v>1314</v>
      </c>
      <c r="G614" t="str">
        <f>"00242389"</f>
        <v>00242389</v>
      </c>
      <c r="H614" t="s">
        <v>1315</v>
      </c>
      <c r="I614">
        <v>0</v>
      </c>
      <c r="J614">
        <v>0</v>
      </c>
      <c r="K614">
        <v>0</v>
      </c>
      <c r="L614">
        <v>200</v>
      </c>
      <c r="M614">
        <v>0</v>
      </c>
      <c r="N614">
        <v>30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84</v>
      </c>
      <c r="W614">
        <v>588</v>
      </c>
      <c r="X614">
        <v>0</v>
      </c>
      <c r="Z614">
        <v>0</v>
      </c>
      <c r="AA614">
        <v>0</v>
      </c>
      <c r="AB614">
        <v>0</v>
      </c>
      <c r="AC614">
        <v>0</v>
      </c>
      <c r="AD614" t="s">
        <v>1311</v>
      </c>
    </row>
    <row r="615" spans="1:30" x14ac:dyDescent="0.25">
      <c r="H615" t="s">
        <v>1316</v>
      </c>
    </row>
    <row r="616" spans="1:30" x14ac:dyDescent="0.25">
      <c r="A616">
        <v>305</v>
      </c>
      <c r="B616">
        <v>1204</v>
      </c>
      <c r="C616" t="s">
        <v>1317</v>
      </c>
      <c r="D616" t="s">
        <v>46</v>
      </c>
      <c r="E616" t="s">
        <v>40</v>
      </c>
      <c r="F616" t="s">
        <v>1318</v>
      </c>
      <c r="G616" t="str">
        <f>"201406004797"</f>
        <v>201406004797</v>
      </c>
      <c r="H616" t="s">
        <v>1315</v>
      </c>
      <c r="I616">
        <v>0</v>
      </c>
      <c r="J616">
        <v>0</v>
      </c>
      <c r="K616">
        <v>0</v>
      </c>
      <c r="L616">
        <v>200</v>
      </c>
      <c r="M616">
        <v>0</v>
      </c>
      <c r="N616">
        <v>30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84</v>
      </c>
      <c r="W616">
        <v>588</v>
      </c>
      <c r="X616">
        <v>0</v>
      </c>
      <c r="Z616">
        <v>1</v>
      </c>
      <c r="AA616">
        <v>0</v>
      </c>
      <c r="AB616">
        <v>0</v>
      </c>
      <c r="AC616">
        <v>0</v>
      </c>
      <c r="AD616" t="s">
        <v>1311</v>
      </c>
    </row>
    <row r="617" spans="1:30" x14ac:dyDescent="0.25">
      <c r="H617" t="s">
        <v>1319</v>
      </c>
    </row>
    <row r="618" spans="1:30" x14ac:dyDescent="0.25">
      <c r="A618">
        <v>306</v>
      </c>
      <c r="B618">
        <v>2954</v>
      </c>
      <c r="C618" t="s">
        <v>1320</v>
      </c>
      <c r="D618" t="s">
        <v>1321</v>
      </c>
      <c r="E618" t="s">
        <v>47</v>
      </c>
      <c r="F618" t="s">
        <v>1322</v>
      </c>
      <c r="G618" t="str">
        <f>"00230842"</f>
        <v>00230842</v>
      </c>
      <c r="H618">
        <v>858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70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84</v>
      </c>
      <c r="W618">
        <v>588</v>
      </c>
      <c r="X618">
        <v>0</v>
      </c>
      <c r="Z618">
        <v>0</v>
      </c>
      <c r="AA618">
        <v>0</v>
      </c>
      <c r="AB618">
        <v>0</v>
      </c>
      <c r="AC618">
        <v>0</v>
      </c>
      <c r="AD618">
        <v>1516</v>
      </c>
    </row>
    <row r="619" spans="1:30" x14ac:dyDescent="0.25">
      <c r="H619" t="s">
        <v>1323</v>
      </c>
    </row>
    <row r="620" spans="1:30" x14ac:dyDescent="0.25">
      <c r="A620">
        <v>307</v>
      </c>
      <c r="B620">
        <v>4852</v>
      </c>
      <c r="C620" t="s">
        <v>1324</v>
      </c>
      <c r="D620" t="s">
        <v>296</v>
      </c>
      <c r="E620" t="s">
        <v>40</v>
      </c>
      <c r="F620" t="s">
        <v>1325</v>
      </c>
      <c r="G620" t="str">
        <f>"200802006216"</f>
        <v>200802006216</v>
      </c>
      <c r="H620">
        <v>748</v>
      </c>
      <c r="I620">
        <v>150</v>
      </c>
      <c r="J620">
        <v>0</v>
      </c>
      <c r="K620">
        <v>0</v>
      </c>
      <c r="L620">
        <v>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84</v>
      </c>
      <c r="W620">
        <v>588</v>
      </c>
      <c r="X620">
        <v>0</v>
      </c>
      <c r="Z620">
        <v>0</v>
      </c>
      <c r="AA620">
        <v>0</v>
      </c>
      <c r="AB620">
        <v>0</v>
      </c>
      <c r="AC620">
        <v>0</v>
      </c>
      <c r="AD620">
        <v>1516</v>
      </c>
    </row>
    <row r="621" spans="1:30" x14ac:dyDescent="0.25">
      <c r="H621" t="s">
        <v>1326</v>
      </c>
    </row>
    <row r="622" spans="1:30" x14ac:dyDescent="0.25">
      <c r="A622">
        <v>308</v>
      </c>
      <c r="B622">
        <v>2920</v>
      </c>
      <c r="C622" t="s">
        <v>1327</v>
      </c>
      <c r="D622" t="s">
        <v>346</v>
      </c>
      <c r="E622" t="s">
        <v>107</v>
      </c>
      <c r="F622" t="s">
        <v>1328</v>
      </c>
      <c r="G622" t="str">
        <f>"201406010554"</f>
        <v>201406010554</v>
      </c>
      <c r="H622">
        <v>726</v>
      </c>
      <c r="I622">
        <v>0</v>
      </c>
      <c r="J622">
        <v>0</v>
      </c>
      <c r="K622">
        <v>0</v>
      </c>
      <c r="L622">
        <v>200</v>
      </c>
      <c r="M622">
        <v>0</v>
      </c>
      <c r="N622">
        <v>70</v>
      </c>
      <c r="O622">
        <v>0</v>
      </c>
      <c r="P622">
        <v>0</v>
      </c>
      <c r="Q622">
        <v>0</v>
      </c>
      <c r="R622">
        <v>30</v>
      </c>
      <c r="S622">
        <v>0</v>
      </c>
      <c r="T622">
        <v>0</v>
      </c>
      <c r="U622">
        <v>0</v>
      </c>
      <c r="V622">
        <v>70</v>
      </c>
      <c r="W622">
        <v>490</v>
      </c>
      <c r="X622">
        <v>0</v>
      </c>
      <c r="Z622">
        <v>0</v>
      </c>
      <c r="AA622">
        <v>0</v>
      </c>
      <c r="AB622">
        <v>0</v>
      </c>
      <c r="AC622">
        <v>0</v>
      </c>
      <c r="AD622">
        <v>1516</v>
      </c>
    </row>
    <row r="623" spans="1:30" x14ac:dyDescent="0.25">
      <c r="H623" t="s">
        <v>1329</v>
      </c>
    </row>
    <row r="624" spans="1:30" x14ac:dyDescent="0.25">
      <c r="A624">
        <v>309</v>
      </c>
      <c r="B624">
        <v>5754</v>
      </c>
      <c r="C624" t="s">
        <v>916</v>
      </c>
      <c r="D624" t="s">
        <v>75</v>
      </c>
      <c r="E624" t="s">
        <v>107</v>
      </c>
      <c r="F624" t="s">
        <v>1330</v>
      </c>
      <c r="G624" t="str">
        <f>"201406011941"</f>
        <v>201406011941</v>
      </c>
      <c r="H624" t="s">
        <v>735</v>
      </c>
      <c r="I624">
        <v>0</v>
      </c>
      <c r="J624">
        <v>0</v>
      </c>
      <c r="K624">
        <v>0</v>
      </c>
      <c r="L624">
        <v>200</v>
      </c>
      <c r="M624">
        <v>0</v>
      </c>
      <c r="N624">
        <v>70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61</v>
      </c>
      <c r="W624">
        <v>427</v>
      </c>
      <c r="X624">
        <v>0</v>
      </c>
      <c r="Z624">
        <v>0</v>
      </c>
      <c r="AA624">
        <v>0</v>
      </c>
      <c r="AB624">
        <v>0</v>
      </c>
      <c r="AC624">
        <v>0</v>
      </c>
      <c r="AD624" t="s">
        <v>1331</v>
      </c>
    </row>
    <row r="625" spans="1:30" x14ac:dyDescent="0.25">
      <c r="H625" t="s">
        <v>1332</v>
      </c>
    </row>
    <row r="626" spans="1:30" x14ac:dyDescent="0.25">
      <c r="A626">
        <v>310</v>
      </c>
      <c r="B626">
        <v>1772</v>
      </c>
      <c r="C626" t="s">
        <v>1333</v>
      </c>
      <c r="D626" t="s">
        <v>223</v>
      </c>
      <c r="E626" t="s">
        <v>183</v>
      </c>
      <c r="F626" t="s">
        <v>1334</v>
      </c>
      <c r="G626" t="str">
        <f>"00227470"</f>
        <v>00227470</v>
      </c>
      <c r="H626" t="s">
        <v>369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30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60</v>
      </c>
      <c r="W626">
        <v>420</v>
      </c>
      <c r="X626">
        <v>0</v>
      </c>
      <c r="Z626">
        <v>0</v>
      </c>
      <c r="AA626">
        <v>0</v>
      </c>
      <c r="AB626">
        <v>24</v>
      </c>
      <c r="AC626">
        <v>408</v>
      </c>
      <c r="AD626" t="s">
        <v>1335</v>
      </c>
    </row>
    <row r="627" spans="1:30" x14ac:dyDescent="0.25">
      <c r="H627" t="s">
        <v>1336</v>
      </c>
    </row>
    <row r="628" spans="1:30" x14ac:dyDescent="0.25">
      <c r="A628">
        <v>311</v>
      </c>
      <c r="B628">
        <v>5108</v>
      </c>
      <c r="C628" t="s">
        <v>1337</v>
      </c>
      <c r="D628" t="s">
        <v>51</v>
      </c>
      <c r="E628" t="s">
        <v>151</v>
      </c>
      <c r="F628" t="s">
        <v>1338</v>
      </c>
      <c r="G628" t="str">
        <f>"00336726"</f>
        <v>00336726</v>
      </c>
      <c r="H628" t="s">
        <v>1339</v>
      </c>
      <c r="I628">
        <v>0</v>
      </c>
      <c r="J628">
        <v>0</v>
      </c>
      <c r="K628">
        <v>0</v>
      </c>
      <c r="L628">
        <v>200</v>
      </c>
      <c r="M628">
        <v>0</v>
      </c>
      <c r="N628">
        <v>30</v>
      </c>
      <c r="O628">
        <v>0</v>
      </c>
      <c r="P628">
        <v>0</v>
      </c>
      <c r="Q628">
        <v>30</v>
      </c>
      <c r="R628">
        <v>0</v>
      </c>
      <c r="S628">
        <v>0</v>
      </c>
      <c r="T628">
        <v>0</v>
      </c>
      <c r="U628">
        <v>0</v>
      </c>
      <c r="V628">
        <v>83</v>
      </c>
      <c r="W628">
        <v>581</v>
      </c>
      <c r="X628">
        <v>0</v>
      </c>
      <c r="Z628">
        <v>0</v>
      </c>
      <c r="AA628">
        <v>0</v>
      </c>
      <c r="AB628">
        <v>0</v>
      </c>
      <c r="AC628">
        <v>0</v>
      </c>
      <c r="AD628" t="s">
        <v>1340</v>
      </c>
    </row>
    <row r="629" spans="1:30" x14ac:dyDescent="0.25">
      <c r="H629" t="s">
        <v>1341</v>
      </c>
    </row>
    <row r="630" spans="1:30" x14ac:dyDescent="0.25">
      <c r="A630">
        <v>312</v>
      </c>
      <c r="B630">
        <v>215</v>
      </c>
      <c r="C630" t="s">
        <v>1342</v>
      </c>
      <c r="D630" t="s">
        <v>1343</v>
      </c>
      <c r="E630" t="s">
        <v>495</v>
      </c>
      <c r="F630" t="s">
        <v>1344</v>
      </c>
      <c r="G630" t="str">
        <f>"200802004169"</f>
        <v>200802004169</v>
      </c>
      <c r="H630" t="s">
        <v>1345</v>
      </c>
      <c r="I630">
        <v>150</v>
      </c>
      <c r="J630">
        <v>0</v>
      </c>
      <c r="K630">
        <v>0</v>
      </c>
      <c r="L630">
        <v>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84</v>
      </c>
      <c r="W630">
        <v>588</v>
      </c>
      <c r="X630">
        <v>0</v>
      </c>
      <c r="Z630">
        <v>0</v>
      </c>
      <c r="AA630">
        <v>0</v>
      </c>
      <c r="AB630">
        <v>0</v>
      </c>
      <c r="AC630">
        <v>0</v>
      </c>
      <c r="AD630" t="s">
        <v>1346</v>
      </c>
    </row>
    <row r="631" spans="1:30" x14ac:dyDescent="0.25">
      <c r="H631" t="s">
        <v>1347</v>
      </c>
    </row>
    <row r="632" spans="1:30" x14ac:dyDescent="0.25">
      <c r="A632">
        <v>313</v>
      </c>
      <c r="B632">
        <v>6213</v>
      </c>
      <c r="C632" t="s">
        <v>1348</v>
      </c>
      <c r="D632" t="s">
        <v>804</v>
      </c>
      <c r="E632" t="s">
        <v>91</v>
      </c>
      <c r="F632" t="s">
        <v>1349</v>
      </c>
      <c r="G632" t="str">
        <f>"201304002291"</f>
        <v>201304002291</v>
      </c>
      <c r="H632">
        <v>704</v>
      </c>
      <c r="I632">
        <v>150</v>
      </c>
      <c r="J632">
        <v>0</v>
      </c>
      <c r="K632">
        <v>0</v>
      </c>
      <c r="L632">
        <v>0</v>
      </c>
      <c r="M632">
        <v>0</v>
      </c>
      <c r="N632">
        <v>70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84</v>
      </c>
      <c r="W632">
        <v>588</v>
      </c>
      <c r="X632">
        <v>0</v>
      </c>
      <c r="Z632">
        <v>0</v>
      </c>
      <c r="AA632">
        <v>0</v>
      </c>
      <c r="AB632">
        <v>0</v>
      </c>
      <c r="AC632">
        <v>0</v>
      </c>
      <c r="AD632">
        <v>1512</v>
      </c>
    </row>
    <row r="633" spans="1:30" x14ac:dyDescent="0.25">
      <c r="H633" t="s">
        <v>1350</v>
      </c>
    </row>
    <row r="634" spans="1:30" x14ac:dyDescent="0.25">
      <c r="A634">
        <v>314</v>
      </c>
      <c r="B634">
        <v>2125</v>
      </c>
      <c r="C634" t="s">
        <v>1351</v>
      </c>
      <c r="D634" t="s">
        <v>296</v>
      </c>
      <c r="E634" t="s">
        <v>33</v>
      </c>
      <c r="F634" t="s">
        <v>1352</v>
      </c>
      <c r="G634" t="str">
        <f>"200802011976"</f>
        <v>200802011976</v>
      </c>
      <c r="H634">
        <v>693</v>
      </c>
      <c r="I634">
        <v>0</v>
      </c>
      <c r="J634">
        <v>0</v>
      </c>
      <c r="K634">
        <v>0</v>
      </c>
      <c r="L634">
        <v>200</v>
      </c>
      <c r="M634">
        <v>0</v>
      </c>
      <c r="N634">
        <v>30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84</v>
      </c>
      <c r="W634">
        <v>588</v>
      </c>
      <c r="X634">
        <v>0</v>
      </c>
      <c r="Z634">
        <v>0</v>
      </c>
      <c r="AA634">
        <v>0</v>
      </c>
      <c r="AB634">
        <v>0</v>
      </c>
      <c r="AC634">
        <v>0</v>
      </c>
      <c r="AD634">
        <v>1511</v>
      </c>
    </row>
    <row r="635" spans="1:30" x14ac:dyDescent="0.25">
      <c r="H635" t="s">
        <v>1353</v>
      </c>
    </row>
    <row r="636" spans="1:30" x14ac:dyDescent="0.25">
      <c r="A636">
        <v>315</v>
      </c>
      <c r="B636">
        <v>1276</v>
      </c>
      <c r="C636" t="s">
        <v>1354</v>
      </c>
      <c r="D636" t="s">
        <v>182</v>
      </c>
      <c r="E636" t="s">
        <v>51</v>
      </c>
      <c r="F636" t="s">
        <v>1355</v>
      </c>
      <c r="G636" t="str">
        <f>"00023261"</f>
        <v>00023261</v>
      </c>
      <c r="H636" t="s">
        <v>754</v>
      </c>
      <c r="I636">
        <v>150</v>
      </c>
      <c r="J636">
        <v>0</v>
      </c>
      <c r="K636">
        <v>0</v>
      </c>
      <c r="L636">
        <v>0</v>
      </c>
      <c r="M636">
        <v>0</v>
      </c>
      <c r="N636">
        <v>70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81</v>
      </c>
      <c r="W636">
        <v>567</v>
      </c>
      <c r="X636">
        <v>0</v>
      </c>
      <c r="Z636">
        <v>0</v>
      </c>
      <c r="AA636">
        <v>0</v>
      </c>
      <c r="AB636">
        <v>0</v>
      </c>
      <c r="AC636">
        <v>0</v>
      </c>
      <c r="AD636" t="s">
        <v>1356</v>
      </c>
    </row>
    <row r="637" spans="1:30" x14ac:dyDescent="0.25">
      <c r="H637" t="s">
        <v>1357</v>
      </c>
    </row>
    <row r="638" spans="1:30" x14ac:dyDescent="0.25">
      <c r="A638">
        <v>316</v>
      </c>
      <c r="B638">
        <v>2222</v>
      </c>
      <c r="C638" t="s">
        <v>1358</v>
      </c>
      <c r="D638" t="s">
        <v>1359</v>
      </c>
      <c r="E638" t="s">
        <v>107</v>
      </c>
      <c r="F638" t="s">
        <v>1360</v>
      </c>
      <c r="G638" t="str">
        <f>"200801003527"</f>
        <v>200801003527</v>
      </c>
      <c r="H638">
        <v>792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50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76</v>
      </c>
      <c r="W638">
        <v>532</v>
      </c>
      <c r="X638">
        <v>0</v>
      </c>
      <c r="Z638">
        <v>0</v>
      </c>
      <c r="AA638">
        <v>0</v>
      </c>
      <c r="AB638">
        <v>8</v>
      </c>
      <c r="AC638">
        <v>136</v>
      </c>
      <c r="AD638">
        <v>1510</v>
      </c>
    </row>
    <row r="639" spans="1:30" x14ac:dyDescent="0.25">
      <c r="H639" t="s">
        <v>1361</v>
      </c>
    </row>
    <row r="640" spans="1:30" x14ac:dyDescent="0.25">
      <c r="A640">
        <v>317</v>
      </c>
      <c r="B640">
        <v>944</v>
      </c>
      <c r="C640" t="s">
        <v>1362</v>
      </c>
      <c r="D640" t="s">
        <v>1363</v>
      </c>
      <c r="E640" t="s">
        <v>33</v>
      </c>
      <c r="F640" t="s">
        <v>1364</v>
      </c>
      <c r="G640" t="str">
        <f>"200712005777"</f>
        <v>200712005777</v>
      </c>
      <c r="H640">
        <v>682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60</v>
      </c>
      <c r="W640">
        <v>420</v>
      </c>
      <c r="X640">
        <v>0</v>
      </c>
      <c r="Z640">
        <v>0</v>
      </c>
      <c r="AA640">
        <v>0</v>
      </c>
      <c r="AB640">
        <v>24</v>
      </c>
      <c r="AC640">
        <v>408</v>
      </c>
      <c r="AD640">
        <v>1510</v>
      </c>
    </row>
    <row r="641" spans="1:30" x14ac:dyDescent="0.25">
      <c r="H641" t="s">
        <v>1365</v>
      </c>
    </row>
    <row r="642" spans="1:30" x14ac:dyDescent="0.25">
      <c r="A642">
        <v>318</v>
      </c>
      <c r="B642">
        <v>6229</v>
      </c>
      <c r="C642" t="s">
        <v>1366</v>
      </c>
      <c r="D642" t="s">
        <v>1367</v>
      </c>
      <c r="E642" t="s">
        <v>140</v>
      </c>
      <c r="F642" t="s">
        <v>1368</v>
      </c>
      <c r="G642" t="str">
        <f>"00147111"</f>
        <v>00147111</v>
      </c>
      <c r="H642">
        <v>671</v>
      </c>
      <c r="I642">
        <v>0</v>
      </c>
      <c r="J642">
        <v>0</v>
      </c>
      <c r="K642">
        <v>0</v>
      </c>
      <c r="L642">
        <v>200</v>
      </c>
      <c r="M642">
        <v>0</v>
      </c>
      <c r="N642">
        <v>50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84</v>
      </c>
      <c r="W642">
        <v>588</v>
      </c>
      <c r="X642">
        <v>0</v>
      </c>
      <c r="Z642">
        <v>0</v>
      </c>
      <c r="AA642">
        <v>0</v>
      </c>
      <c r="AB642">
        <v>0</v>
      </c>
      <c r="AC642">
        <v>0</v>
      </c>
      <c r="AD642">
        <v>1509</v>
      </c>
    </row>
    <row r="643" spans="1:30" x14ac:dyDescent="0.25">
      <c r="H643" t="s">
        <v>1369</v>
      </c>
    </row>
    <row r="644" spans="1:30" x14ac:dyDescent="0.25">
      <c r="A644">
        <v>319</v>
      </c>
      <c r="B644">
        <v>2780</v>
      </c>
      <c r="C644" t="s">
        <v>467</v>
      </c>
      <c r="D644" t="s">
        <v>335</v>
      </c>
      <c r="E644" t="s">
        <v>91</v>
      </c>
      <c r="F644" t="s">
        <v>1370</v>
      </c>
      <c r="G644" t="str">
        <f>"201406011500"</f>
        <v>201406011500</v>
      </c>
      <c r="H644" t="s">
        <v>1371</v>
      </c>
      <c r="I644">
        <v>150</v>
      </c>
      <c r="J644">
        <v>0</v>
      </c>
      <c r="K644">
        <v>0</v>
      </c>
      <c r="L644">
        <v>200</v>
      </c>
      <c r="M644">
        <v>0</v>
      </c>
      <c r="N644">
        <v>50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13</v>
      </c>
      <c r="W644">
        <v>91</v>
      </c>
      <c r="X644">
        <v>0</v>
      </c>
      <c r="Z644">
        <v>0</v>
      </c>
      <c r="AA644">
        <v>0</v>
      </c>
      <c r="AB644">
        <v>15</v>
      </c>
      <c r="AC644">
        <v>255</v>
      </c>
      <c r="AD644" t="s">
        <v>1372</v>
      </c>
    </row>
    <row r="645" spans="1:30" x14ac:dyDescent="0.25">
      <c r="H645" t="s">
        <v>1373</v>
      </c>
    </row>
    <row r="646" spans="1:30" x14ac:dyDescent="0.25">
      <c r="A646">
        <v>320</v>
      </c>
      <c r="B646">
        <v>5371</v>
      </c>
      <c r="C646" t="s">
        <v>1374</v>
      </c>
      <c r="D646" t="s">
        <v>335</v>
      </c>
      <c r="E646" t="s">
        <v>91</v>
      </c>
      <c r="F646" t="s">
        <v>1375</v>
      </c>
      <c r="G646" t="str">
        <f>"00190787"</f>
        <v>00190787</v>
      </c>
      <c r="H646" t="s">
        <v>1376</v>
      </c>
      <c r="I646">
        <v>0</v>
      </c>
      <c r="J646">
        <v>0</v>
      </c>
      <c r="K646">
        <v>0</v>
      </c>
      <c r="L646">
        <v>200</v>
      </c>
      <c r="M646">
        <v>0</v>
      </c>
      <c r="N646">
        <v>70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84</v>
      </c>
      <c r="W646">
        <v>588</v>
      </c>
      <c r="X646">
        <v>0</v>
      </c>
      <c r="Z646">
        <v>0</v>
      </c>
      <c r="AA646">
        <v>0</v>
      </c>
      <c r="AB646">
        <v>0</v>
      </c>
      <c r="AC646">
        <v>0</v>
      </c>
      <c r="AD646" t="s">
        <v>1377</v>
      </c>
    </row>
    <row r="647" spans="1:30" x14ac:dyDescent="0.25">
      <c r="H647" t="s">
        <v>1378</v>
      </c>
    </row>
    <row r="648" spans="1:30" x14ac:dyDescent="0.25">
      <c r="A648">
        <v>321</v>
      </c>
      <c r="B648">
        <v>5767</v>
      </c>
      <c r="C648" t="s">
        <v>1379</v>
      </c>
      <c r="D648" t="s">
        <v>830</v>
      </c>
      <c r="E648" t="s">
        <v>40</v>
      </c>
      <c r="F648" t="s">
        <v>1380</v>
      </c>
      <c r="G648" t="str">
        <f>"00105320"</f>
        <v>00105320</v>
      </c>
      <c r="H648">
        <v>770</v>
      </c>
      <c r="I648">
        <v>150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84</v>
      </c>
      <c r="W648">
        <v>588</v>
      </c>
      <c r="X648">
        <v>0</v>
      </c>
      <c r="Z648">
        <v>0</v>
      </c>
      <c r="AA648">
        <v>0</v>
      </c>
      <c r="AB648">
        <v>0</v>
      </c>
      <c r="AC648">
        <v>0</v>
      </c>
      <c r="AD648">
        <v>1508</v>
      </c>
    </row>
    <row r="649" spans="1:30" x14ac:dyDescent="0.25">
      <c r="H649" t="s">
        <v>1381</v>
      </c>
    </row>
    <row r="650" spans="1:30" x14ac:dyDescent="0.25">
      <c r="A650">
        <v>322</v>
      </c>
      <c r="B650">
        <v>6036</v>
      </c>
      <c r="C650" t="s">
        <v>1382</v>
      </c>
      <c r="D650" t="s">
        <v>33</v>
      </c>
      <c r="E650" t="s">
        <v>1383</v>
      </c>
      <c r="F650" t="s">
        <v>1384</v>
      </c>
      <c r="G650" t="str">
        <f>"00352611"</f>
        <v>00352611</v>
      </c>
      <c r="H650" t="s">
        <v>1385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60</v>
      </c>
      <c r="W650">
        <v>420</v>
      </c>
      <c r="X650">
        <v>0</v>
      </c>
      <c r="Z650">
        <v>1</v>
      </c>
      <c r="AA650">
        <v>0</v>
      </c>
      <c r="AB650">
        <v>24</v>
      </c>
      <c r="AC650">
        <v>408</v>
      </c>
      <c r="AD650" t="s">
        <v>1386</v>
      </c>
    </row>
    <row r="651" spans="1:30" x14ac:dyDescent="0.25">
      <c r="H651" t="s">
        <v>1387</v>
      </c>
    </row>
    <row r="652" spans="1:30" x14ac:dyDescent="0.25">
      <c r="A652">
        <v>323</v>
      </c>
      <c r="B652">
        <v>4008</v>
      </c>
      <c r="C652" t="s">
        <v>467</v>
      </c>
      <c r="D652" t="s">
        <v>373</v>
      </c>
      <c r="E652" t="s">
        <v>400</v>
      </c>
      <c r="F652" t="s">
        <v>1388</v>
      </c>
      <c r="G652" t="str">
        <f>"00202171"</f>
        <v>00202171</v>
      </c>
      <c r="H652">
        <v>759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70</v>
      </c>
      <c r="O652">
        <v>0</v>
      </c>
      <c r="P652">
        <v>30</v>
      </c>
      <c r="Q652">
        <v>30</v>
      </c>
      <c r="R652">
        <v>30</v>
      </c>
      <c r="S652">
        <v>0</v>
      </c>
      <c r="T652">
        <v>0</v>
      </c>
      <c r="U652">
        <v>0</v>
      </c>
      <c r="V652">
        <v>84</v>
      </c>
      <c r="W652">
        <v>588</v>
      </c>
      <c r="X652">
        <v>0</v>
      </c>
      <c r="Z652">
        <v>0</v>
      </c>
      <c r="AA652">
        <v>0</v>
      </c>
      <c r="AB652">
        <v>0</v>
      </c>
      <c r="AC652">
        <v>0</v>
      </c>
      <c r="AD652">
        <v>1507</v>
      </c>
    </row>
    <row r="653" spans="1:30" x14ac:dyDescent="0.25">
      <c r="H653" t="s">
        <v>1389</v>
      </c>
    </row>
    <row r="654" spans="1:30" x14ac:dyDescent="0.25">
      <c r="A654">
        <v>324</v>
      </c>
      <c r="B654">
        <v>2129</v>
      </c>
      <c r="C654" t="s">
        <v>903</v>
      </c>
      <c r="D654" t="s">
        <v>1390</v>
      </c>
      <c r="E654" t="s">
        <v>1391</v>
      </c>
      <c r="F654" t="s">
        <v>1392</v>
      </c>
      <c r="G654" t="str">
        <f>"201406014704"</f>
        <v>201406014704</v>
      </c>
      <c r="H654">
        <v>649</v>
      </c>
      <c r="I654">
        <v>0</v>
      </c>
      <c r="J654">
        <v>0</v>
      </c>
      <c r="K654">
        <v>0</v>
      </c>
      <c r="L654">
        <v>200</v>
      </c>
      <c r="M654">
        <v>0</v>
      </c>
      <c r="N654">
        <v>70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84</v>
      </c>
      <c r="W654">
        <v>588</v>
      </c>
      <c r="X654">
        <v>0</v>
      </c>
      <c r="Z654">
        <v>0</v>
      </c>
      <c r="AA654">
        <v>0</v>
      </c>
      <c r="AB654">
        <v>0</v>
      </c>
      <c r="AC654">
        <v>0</v>
      </c>
      <c r="AD654">
        <v>1507</v>
      </c>
    </row>
    <row r="655" spans="1:30" x14ac:dyDescent="0.25">
      <c r="H655" t="s">
        <v>1393</v>
      </c>
    </row>
    <row r="656" spans="1:30" x14ac:dyDescent="0.25">
      <c r="A656">
        <v>325</v>
      </c>
      <c r="B656">
        <v>2822</v>
      </c>
      <c r="C656" t="s">
        <v>1394</v>
      </c>
      <c r="D656" t="s">
        <v>1395</v>
      </c>
      <c r="E656" t="s">
        <v>40</v>
      </c>
      <c r="F656" t="s">
        <v>1396</v>
      </c>
      <c r="G656" t="str">
        <f>"00342884"</f>
        <v>00342884</v>
      </c>
      <c r="H656">
        <v>649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30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60</v>
      </c>
      <c r="W656">
        <v>420</v>
      </c>
      <c r="X656">
        <v>0</v>
      </c>
      <c r="Z656">
        <v>0</v>
      </c>
      <c r="AA656">
        <v>0</v>
      </c>
      <c r="AB656">
        <v>24</v>
      </c>
      <c r="AC656">
        <v>408</v>
      </c>
      <c r="AD656">
        <v>1507</v>
      </c>
    </row>
    <row r="657" spans="1:30" x14ac:dyDescent="0.25">
      <c r="H657" t="s">
        <v>1397</v>
      </c>
    </row>
    <row r="658" spans="1:30" x14ac:dyDescent="0.25">
      <c r="A658">
        <v>326</v>
      </c>
      <c r="B658">
        <v>4947</v>
      </c>
      <c r="C658" t="s">
        <v>1398</v>
      </c>
      <c r="D658" t="s">
        <v>1186</v>
      </c>
      <c r="E658" t="s">
        <v>1399</v>
      </c>
      <c r="F658" t="s">
        <v>1400</v>
      </c>
      <c r="G658" t="str">
        <f>"00280868"</f>
        <v>00280868</v>
      </c>
      <c r="H658">
        <v>858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30</v>
      </c>
      <c r="O658">
        <v>0</v>
      </c>
      <c r="P658">
        <v>30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84</v>
      </c>
      <c r="W658">
        <v>588</v>
      </c>
      <c r="X658">
        <v>0</v>
      </c>
      <c r="Z658">
        <v>2</v>
      </c>
      <c r="AA658">
        <v>0</v>
      </c>
      <c r="AB658">
        <v>0</v>
      </c>
      <c r="AC658">
        <v>0</v>
      </c>
      <c r="AD658">
        <v>1506</v>
      </c>
    </row>
    <row r="659" spans="1:30" x14ac:dyDescent="0.25">
      <c r="H659" t="s">
        <v>1401</v>
      </c>
    </row>
    <row r="660" spans="1:30" x14ac:dyDescent="0.25">
      <c r="A660">
        <v>327</v>
      </c>
      <c r="B660">
        <v>4607</v>
      </c>
      <c r="C660" t="s">
        <v>1402</v>
      </c>
      <c r="D660" t="s">
        <v>335</v>
      </c>
      <c r="E660" t="s">
        <v>162</v>
      </c>
      <c r="F660" t="s">
        <v>1403</v>
      </c>
      <c r="G660" t="str">
        <f>"00366199"</f>
        <v>00366199</v>
      </c>
      <c r="H660" t="s">
        <v>1404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70</v>
      </c>
      <c r="O660">
        <v>30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84</v>
      </c>
      <c r="W660">
        <v>588</v>
      </c>
      <c r="X660">
        <v>0</v>
      </c>
      <c r="Z660">
        <v>0</v>
      </c>
      <c r="AA660">
        <v>0</v>
      </c>
      <c r="AB660">
        <v>0</v>
      </c>
      <c r="AC660">
        <v>0</v>
      </c>
      <c r="AD660" t="s">
        <v>1405</v>
      </c>
    </row>
    <row r="661" spans="1:30" x14ac:dyDescent="0.25">
      <c r="H661" t="s">
        <v>1406</v>
      </c>
    </row>
    <row r="662" spans="1:30" x14ac:dyDescent="0.25">
      <c r="A662">
        <v>328</v>
      </c>
      <c r="B662">
        <v>4868</v>
      </c>
      <c r="C662" t="s">
        <v>1407</v>
      </c>
      <c r="D662" t="s">
        <v>14</v>
      </c>
      <c r="E662" t="s">
        <v>449</v>
      </c>
      <c r="F662" t="s">
        <v>1408</v>
      </c>
      <c r="G662" t="str">
        <f>"00368651"</f>
        <v>00368651</v>
      </c>
      <c r="H662">
        <v>880</v>
      </c>
      <c r="I662">
        <v>150</v>
      </c>
      <c r="J662">
        <v>0</v>
      </c>
      <c r="K662">
        <v>0</v>
      </c>
      <c r="L662">
        <v>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63</v>
      </c>
      <c r="W662">
        <v>441</v>
      </c>
      <c r="X662">
        <v>0</v>
      </c>
      <c r="Z662">
        <v>0</v>
      </c>
      <c r="AA662">
        <v>0</v>
      </c>
      <c r="AB662">
        <v>0</v>
      </c>
      <c r="AC662">
        <v>0</v>
      </c>
      <c r="AD662">
        <v>1501</v>
      </c>
    </row>
    <row r="663" spans="1:30" x14ac:dyDescent="0.25">
      <c r="H663" t="s">
        <v>1409</v>
      </c>
    </row>
    <row r="664" spans="1:30" x14ac:dyDescent="0.25">
      <c r="A664">
        <v>329</v>
      </c>
      <c r="B664">
        <v>3994</v>
      </c>
      <c r="C664" t="s">
        <v>1410</v>
      </c>
      <c r="D664" t="s">
        <v>1411</v>
      </c>
      <c r="E664" t="s">
        <v>290</v>
      </c>
      <c r="F664" t="s">
        <v>1412</v>
      </c>
      <c r="G664" t="str">
        <f>"00360780"</f>
        <v>00360780</v>
      </c>
      <c r="H664">
        <v>682</v>
      </c>
      <c r="I664">
        <v>0</v>
      </c>
      <c r="J664">
        <v>0</v>
      </c>
      <c r="K664">
        <v>0</v>
      </c>
      <c r="L664">
        <v>200</v>
      </c>
      <c r="M664">
        <v>0</v>
      </c>
      <c r="N664">
        <v>30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84</v>
      </c>
      <c r="W664">
        <v>588</v>
      </c>
      <c r="X664">
        <v>0</v>
      </c>
      <c r="Z664">
        <v>0</v>
      </c>
      <c r="AA664">
        <v>0</v>
      </c>
      <c r="AB664">
        <v>0</v>
      </c>
      <c r="AC664">
        <v>0</v>
      </c>
      <c r="AD664">
        <v>1500</v>
      </c>
    </row>
    <row r="665" spans="1:30" x14ac:dyDescent="0.25">
      <c r="H665" t="s">
        <v>1413</v>
      </c>
    </row>
    <row r="666" spans="1:30" x14ac:dyDescent="0.25">
      <c r="A666">
        <v>330</v>
      </c>
      <c r="B666">
        <v>785</v>
      </c>
      <c r="C666" t="s">
        <v>1414</v>
      </c>
      <c r="D666" t="s">
        <v>40</v>
      </c>
      <c r="E666" t="s">
        <v>162</v>
      </c>
      <c r="F666" t="s">
        <v>1415</v>
      </c>
      <c r="G666" t="str">
        <f>"00218296"</f>
        <v>00218296</v>
      </c>
      <c r="H666">
        <v>682</v>
      </c>
      <c r="I666">
        <v>0</v>
      </c>
      <c r="J666">
        <v>0</v>
      </c>
      <c r="K666">
        <v>0</v>
      </c>
      <c r="L666">
        <v>200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84</v>
      </c>
      <c r="W666">
        <v>588</v>
      </c>
      <c r="X666">
        <v>0</v>
      </c>
      <c r="Z666">
        <v>0</v>
      </c>
      <c r="AA666">
        <v>0</v>
      </c>
      <c r="AB666">
        <v>0</v>
      </c>
      <c r="AC666">
        <v>0</v>
      </c>
      <c r="AD666">
        <v>1500</v>
      </c>
    </row>
    <row r="667" spans="1:30" x14ac:dyDescent="0.25">
      <c r="H667" t="s">
        <v>1416</v>
      </c>
    </row>
    <row r="668" spans="1:30" x14ac:dyDescent="0.25">
      <c r="A668">
        <v>331</v>
      </c>
      <c r="B668">
        <v>3516</v>
      </c>
      <c r="C668" t="s">
        <v>1417</v>
      </c>
      <c r="D668" t="s">
        <v>1113</v>
      </c>
      <c r="E668" t="s">
        <v>162</v>
      </c>
      <c r="F668" t="s">
        <v>1418</v>
      </c>
      <c r="G668" t="str">
        <f>"200801006089"</f>
        <v>200801006089</v>
      </c>
      <c r="H668" t="s">
        <v>1419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70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84</v>
      </c>
      <c r="W668">
        <v>588</v>
      </c>
      <c r="X668">
        <v>0</v>
      </c>
      <c r="Z668">
        <v>0</v>
      </c>
      <c r="AA668">
        <v>0</v>
      </c>
      <c r="AB668">
        <v>0</v>
      </c>
      <c r="AC668">
        <v>0</v>
      </c>
      <c r="AD668" t="s">
        <v>1420</v>
      </c>
    </row>
    <row r="669" spans="1:30" x14ac:dyDescent="0.25">
      <c r="H669" t="s">
        <v>1421</v>
      </c>
    </row>
    <row r="670" spans="1:30" x14ac:dyDescent="0.25">
      <c r="A670">
        <v>332</v>
      </c>
      <c r="B670">
        <v>4550</v>
      </c>
      <c r="C670" t="s">
        <v>1422</v>
      </c>
      <c r="D670" t="s">
        <v>1423</v>
      </c>
      <c r="E670" t="s">
        <v>107</v>
      </c>
      <c r="F670" t="s">
        <v>1424</v>
      </c>
      <c r="G670" t="str">
        <f>"00367738"</f>
        <v>00367738</v>
      </c>
      <c r="H670">
        <v>671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60</v>
      </c>
      <c r="W670">
        <v>420</v>
      </c>
      <c r="X670">
        <v>0</v>
      </c>
      <c r="Z670">
        <v>2</v>
      </c>
      <c r="AA670">
        <v>0</v>
      </c>
      <c r="AB670">
        <v>24</v>
      </c>
      <c r="AC670">
        <v>408</v>
      </c>
      <c r="AD670">
        <v>1499</v>
      </c>
    </row>
    <row r="671" spans="1:30" x14ac:dyDescent="0.25">
      <c r="H671" t="s">
        <v>1425</v>
      </c>
    </row>
    <row r="672" spans="1:30" x14ac:dyDescent="0.25">
      <c r="A672">
        <v>333</v>
      </c>
      <c r="B672">
        <v>3364</v>
      </c>
      <c r="C672" t="s">
        <v>1426</v>
      </c>
      <c r="D672" t="s">
        <v>40</v>
      </c>
      <c r="E672" t="s">
        <v>91</v>
      </c>
      <c r="F672" t="s">
        <v>1427</v>
      </c>
      <c r="G672" t="str">
        <f>"200801007797"</f>
        <v>200801007797</v>
      </c>
      <c r="H672">
        <v>660</v>
      </c>
      <c r="I672">
        <v>0</v>
      </c>
      <c r="J672">
        <v>0</v>
      </c>
      <c r="K672">
        <v>0</v>
      </c>
      <c r="L672">
        <v>200</v>
      </c>
      <c r="M672">
        <v>0</v>
      </c>
      <c r="N672">
        <v>50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84</v>
      </c>
      <c r="W672">
        <v>588</v>
      </c>
      <c r="X672">
        <v>0</v>
      </c>
      <c r="Z672">
        <v>0</v>
      </c>
      <c r="AA672">
        <v>0</v>
      </c>
      <c r="AB672">
        <v>0</v>
      </c>
      <c r="AC672">
        <v>0</v>
      </c>
      <c r="AD672">
        <v>1498</v>
      </c>
    </row>
    <row r="673" spans="1:30" x14ac:dyDescent="0.25">
      <c r="H673" t="s">
        <v>1428</v>
      </c>
    </row>
    <row r="674" spans="1:30" x14ac:dyDescent="0.25">
      <c r="A674">
        <v>334</v>
      </c>
      <c r="B674">
        <v>3684</v>
      </c>
      <c r="C674" t="s">
        <v>1429</v>
      </c>
      <c r="D674" t="s">
        <v>566</v>
      </c>
      <c r="E674" t="s">
        <v>40</v>
      </c>
      <c r="F674" t="s">
        <v>1430</v>
      </c>
      <c r="G674" t="str">
        <f>"00155344"</f>
        <v>00155344</v>
      </c>
      <c r="H674" t="s">
        <v>553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70</v>
      </c>
      <c r="O674">
        <v>0</v>
      </c>
      <c r="P674">
        <v>0</v>
      </c>
      <c r="Q674">
        <v>30</v>
      </c>
      <c r="R674">
        <v>0</v>
      </c>
      <c r="S674">
        <v>0</v>
      </c>
      <c r="T674">
        <v>0</v>
      </c>
      <c r="U674">
        <v>0</v>
      </c>
      <c r="V674">
        <v>84</v>
      </c>
      <c r="W674">
        <v>588</v>
      </c>
      <c r="X674">
        <v>0</v>
      </c>
      <c r="Z674">
        <v>0</v>
      </c>
      <c r="AA674">
        <v>0</v>
      </c>
      <c r="AB674">
        <v>0</v>
      </c>
      <c r="AC674">
        <v>0</v>
      </c>
      <c r="AD674" t="s">
        <v>1431</v>
      </c>
    </row>
    <row r="675" spans="1:30" x14ac:dyDescent="0.25">
      <c r="H675" t="s">
        <v>1432</v>
      </c>
    </row>
    <row r="676" spans="1:30" x14ac:dyDescent="0.25">
      <c r="A676">
        <v>335</v>
      </c>
      <c r="B676">
        <v>1928</v>
      </c>
      <c r="C676" t="s">
        <v>1433</v>
      </c>
      <c r="D676" t="s">
        <v>1434</v>
      </c>
      <c r="E676" t="s">
        <v>595</v>
      </c>
      <c r="F676" t="s">
        <v>1435</v>
      </c>
      <c r="G676" t="str">
        <f>"201406009690"</f>
        <v>201406009690</v>
      </c>
      <c r="H676">
        <v>759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70</v>
      </c>
      <c r="O676">
        <v>0</v>
      </c>
      <c r="P676">
        <v>0</v>
      </c>
      <c r="Q676">
        <v>50</v>
      </c>
      <c r="R676">
        <v>30</v>
      </c>
      <c r="S676">
        <v>0</v>
      </c>
      <c r="T676">
        <v>0</v>
      </c>
      <c r="U676">
        <v>0</v>
      </c>
      <c r="V676">
        <v>84</v>
      </c>
      <c r="W676">
        <v>588</v>
      </c>
      <c r="X676">
        <v>0</v>
      </c>
      <c r="Z676">
        <v>0</v>
      </c>
      <c r="AA676">
        <v>0</v>
      </c>
      <c r="AB676">
        <v>0</v>
      </c>
      <c r="AC676">
        <v>0</v>
      </c>
      <c r="AD676">
        <v>1497</v>
      </c>
    </row>
    <row r="677" spans="1:30" x14ac:dyDescent="0.25">
      <c r="H677" t="s">
        <v>1436</v>
      </c>
    </row>
    <row r="678" spans="1:30" x14ac:dyDescent="0.25">
      <c r="A678">
        <v>336</v>
      </c>
      <c r="B678">
        <v>673</v>
      </c>
      <c r="C678" t="s">
        <v>1437</v>
      </c>
      <c r="D678" t="s">
        <v>400</v>
      </c>
      <c r="E678" t="s">
        <v>47</v>
      </c>
      <c r="F678" t="s">
        <v>1438</v>
      </c>
      <c r="G678" t="str">
        <f>"00013695"</f>
        <v>00013695</v>
      </c>
      <c r="H678">
        <v>858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50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84</v>
      </c>
      <c r="W678">
        <v>588</v>
      </c>
      <c r="X678">
        <v>0</v>
      </c>
      <c r="Z678">
        <v>0</v>
      </c>
      <c r="AA678">
        <v>0</v>
      </c>
      <c r="AB678">
        <v>0</v>
      </c>
      <c r="AC678">
        <v>0</v>
      </c>
      <c r="AD678">
        <v>1496</v>
      </c>
    </row>
    <row r="679" spans="1:30" x14ac:dyDescent="0.25">
      <c r="H679" t="s">
        <v>1439</v>
      </c>
    </row>
    <row r="680" spans="1:30" x14ac:dyDescent="0.25">
      <c r="A680">
        <v>337</v>
      </c>
      <c r="B680">
        <v>3934</v>
      </c>
      <c r="C680" t="s">
        <v>1440</v>
      </c>
      <c r="D680" t="s">
        <v>1359</v>
      </c>
      <c r="E680" t="s">
        <v>40</v>
      </c>
      <c r="F680" t="s">
        <v>1441</v>
      </c>
      <c r="G680" t="str">
        <f>"00228828"</f>
        <v>00228828</v>
      </c>
      <c r="H680">
        <v>858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50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84</v>
      </c>
      <c r="W680">
        <v>588</v>
      </c>
      <c r="X680">
        <v>0</v>
      </c>
      <c r="Z680">
        <v>0</v>
      </c>
      <c r="AA680">
        <v>0</v>
      </c>
      <c r="AB680">
        <v>0</v>
      </c>
      <c r="AC680">
        <v>0</v>
      </c>
      <c r="AD680">
        <v>1496</v>
      </c>
    </row>
    <row r="681" spans="1:30" x14ac:dyDescent="0.25">
      <c r="H681" t="s">
        <v>1442</v>
      </c>
    </row>
    <row r="682" spans="1:30" x14ac:dyDescent="0.25">
      <c r="A682">
        <v>338</v>
      </c>
      <c r="B682">
        <v>370</v>
      </c>
      <c r="C682" t="s">
        <v>1443</v>
      </c>
      <c r="D682" t="s">
        <v>420</v>
      </c>
      <c r="E682" t="s">
        <v>1444</v>
      </c>
      <c r="F682" t="s">
        <v>1445</v>
      </c>
      <c r="G682" t="str">
        <f>"201405001654"</f>
        <v>201405001654</v>
      </c>
      <c r="H682">
        <v>858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50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84</v>
      </c>
      <c r="W682">
        <v>588</v>
      </c>
      <c r="X682">
        <v>6</v>
      </c>
      <c r="Y682">
        <v>1251</v>
      </c>
      <c r="Z682">
        <v>0</v>
      </c>
      <c r="AA682">
        <v>0</v>
      </c>
      <c r="AB682">
        <v>0</v>
      </c>
      <c r="AC682">
        <v>0</v>
      </c>
      <c r="AD682">
        <v>1496</v>
      </c>
    </row>
    <row r="683" spans="1:30" x14ac:dyDescent="0.25">
      <c r="H683" t="s">
        <v>1446</v>
      </c>
    </row>
    <row r="684" spans="1:30" x14ac:dyDescent="0.25">
      <c r="A684">
        <v>339</v>
      </c>
      <c r="B684">
        <v>370</v>
      </c>
      <c r="C684" t="s">
        <v>1443</v>
      </c>
      <c r="D684" t="s">
        <v>420</v>
      </c>
      <c r="E684" t="s">
        <v>1444</v>
      </c>
      <c r="F684" t="s">
        <v>1445</v>
      </c>
      <c r="G684" t="str">
        <f>"201405001654"</f>
        <v>201405001654</v>
      </c>
      <c r="H684">
        <v>858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50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84</v>
      </c>
      <c r="W684">
        <v>588</v>
      </c>
      <c r="X684">
        <v>0</v>
      </c>
      <c r="Z684">
        <v>0</v>
      </c>
      <c r="AA684">
        <v>0</v>
      </c>
      <c r="AB684">
        <v>0</v>
      </c>
      <c r="AC684">
        <v>0</v>
      </c>
      <c r="AD684">
        <v>1496</v>
      </c>
    </row>
    <row r="685" spans="1:30" x14ac:dyDescent="0.25">
      <c r="H685" t="s">
        <v>1446</v>
      </c>
    </row>
    <row r="686" spans="1:30" x14ac:dyDescent="0.25">
      <c r="A686">
        <v>340</v>
      </c>
      <c r="B686">
        <v>309</v>
      </c>
      <c r="C686" t="s">
        <v>1447</v>
      </c>
      <c r="D686" t="s">
        <v>335</v>
      </c>
      <c r="E686" t="s">
        <v>202</v>
      </c>
      <c r="F686" t="s">
        <v>1448</v>
      </c>
      <c r="G686" t="str">
        <f>"201406007000"</f>
        <v>201406007000</v>
      </c>
      <c r="H686" t="s">
        <v>1449</v>
      </c>
      <c r="I686">
        <v>0</v>
      </c>
      <c r="J686">
        <v>0</v>
      </c>
      <c r="K686">
        <v>0</v>
      </c>
      <c r="L686">
        <v>200</v>
      </c>
      <c r="M686">
        <v>0</v>
      </c>
      <c r="N686">
        <v>50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84</v>
      </c>
      <c r="W686">
        <v>588</v>
      </c>
      <c r="X686">
        <v>0</v>
      </c>
      <c r="Z686">
        <v>0</v>
      </c>
      <c r="AA686">
        <v>0</v>
      </c>
      <c r="AB686">
        <v>0</v>
      </c>
      <c r="AC686">
        <v>0</v>
      </c>
      <c r="AD686" t="s">
        <v>1450</v>
      </c>
    </row>
    <row r="687" spans="1:30" x14ac:dyDescent="0.25">
      <c r="H687" t="s">
        <v>1451</v>
      </c>
    </row>
    <row r="688" spans="1:30" x14ac:dyDescent="0.25">
      <c r="A688">
        <v>341</v>
      </c>
      <c r="B688">
        <v>1940</v>
      </c>
      <c r="C688" t="s">
        <v>1452</v>
      </c>
      <c r="D688" t="s">
        <v>1453</v>
      </c>
      <c r="E688" t="s">
        <v>162</v>
      </c>
      <c r="F688" t="s">
        <v>1454</v>
      </c>
      <c r="G688" t="str">
        <f>"00256768"</f>
        <v>00256768</v>
      </c>
      <c r="H688" t="s">
        <v>123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70</v>
      </c>
      <c r="O688">
        <v>70</v>
      </c>
      <c r="P688">
        <v>0</v>
      </c>
      <c r="Q688">
        <v>0</v>
      </c>
      <c r="R688">
        <v>30</v>
      </c>
      <c r="S688">
        <v>0</v>
      </c>
      <c r="T688">
        <v>0</v>
      </c>
      <c r="U688">
        <v>0</v>
      </c>
      <c r="V688">
        <v>84</v>
      </c>
      <c r="W688">
        <v>588</v>
      </c>
      <c r="X688">
        <v>0</v>
      </c>
      <c r="Z688">
        <v>0</v>
      </c>
      <c r="AA688">
        <v>0</v>
      </c>
      <c r="AB688">
        <v>0</v>
      </c>
      <c r="AC688">
        <v>0</v>
      </c>
      <c r="AD688" t="s">
        <v>1455</v>
      </c>
    </row>
    <row r="689" spans="1:30" x14ac:dyDescent="0.25">
      <c r="H689" t="s">
        <v>1456</v>
      </c>
    </row>
    <row r="690" spans="1:30" x14ac:dyDescent="0.25">
      <c r="A690">
        <v>342</v>
      </c>
      <c r="B690">
        <v>4671</v>
      </c>
      <c r="C690" t="s">
        <v>1457</v>
      </c>
      <c r="D690" t="s">
        <v>223</v>
      </c>
      <c r="E690" t="s">
        <v>1292</v>
      </c>
      <c r="F690" t="s">
        <v>1458</v>
      </c>
      <c r="G690" t="str">
        <f>"00154337"</f>
        <v>00154337</v>
      </c>
      <c r="H690" t="s">
        <v>854</v>
      </c>
      <c r="I690">
        <v>150</v>
      </c>
      <c r="J690">
        <v>0</v>
      </c>
      <c r="K690">
        <v>0</v>
      </c>
      <c r="L690">
        <v>0</v>
      </c>
      <c r="M690">
        <v>0</v>
      </c>
      <c r="N690">
        <v>70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73</v>
      </c>
      <c r="W690">
        <v>511</v>
      </c>
      <c r="X690">
        <v>0</v>
      </c>
      <c r="Z690">
        <v>0</v>
      </c>
      <c r="AA690">
        <v>0</v>
      </c>
      <c r="AB690">
        <v>3</v>
      </c>
      <c r="AC690">
        <v>51</v>
      </c>
      <c r="AD690" t="s">
        <v>1459</v>
      </c>
    </row>
    <row r="691" spans="1:30" x14ac:dyDescent="0.25">
      <c r="H691" t="s">
        <v>1460</v>
      </c>
    </row>
    <row r="692" spans="1:30" x14ac:dyDescent="0.25">
      <c r="A692">
        <v>343</v>
      </c>
      <c r="B692">
        <v>6178</v>
      </c>
      <c r="C692" t="s">
        <v>1461</v>
      </c>
      <c r="D692" t="s">
        <v>335</v>
      </c>
      <c r="E692" t="s">
        <v>183</v>
      </c>
      <c r="F692" t="s">
        <v>1462</v>
      </c>
      <c r="G692" t="str">
        <f>"00197020"</f>
        <v>00197020</v>
      </c>
      <c r="H692">
        <v>693</v>
      </c>
      <c r="I692">
        <v>0</v>
      </c>
      <c r="J692">
        <v>0</v>
      </c>
      <c r="K692">
        <v>0</v>
      </c>
      <c r="L692">
        <v>200</v>
      </c>
      <c r="M692">
        <v>0</v>
      </c>
      <c r="N692">
        <v>70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49</v>
      </c>
      <c r="W692">
        <v>343</v>
      </c>
      <c r="X692">
        <v>0</v>
      </c>
      <c r="Z692">
        <v>0</v>
      </c>
      <c r="AA692">
        <v>0</v>
      </c>
      <c r="AB692">
        <v>11</v>
      </c>
      <c r="AC692">
        <v>187</v>
      </c>
      <c r="AD692">
        <v>1493</v>
      </c>
    </row>
    <row r="693" spans="1:30" x14ac:dyDescent="0.25">
      <c r="H693" t="s">
        <v>1463</v>
      </c>
    </row>
    <row r="694" spans="1:30" x14ac:dyDescent="0.25">
      <c r="A694">
        <v>344</v>
      </c>
      <c r="B694">
        <v>4684</v>
      </c>
      <c r="C694" t="s">
        <v>1464</v>
      </c>
      <c r="D694" t="s">
        <v>1465</v>
      </c>
      <c r="E694" t="s">
        <v>1466</v>
      </c>
      <c r="F694" t="s">
        <v>1467</v>
      </c>
      <c r="G694" t="str">
        <f>"00297958"</f>
        <v>00297958</v>
      </c>
      <c r="H694" t="s">
        <v>690</v>
      </c>
      <c r="I694">
        <v>0</v>
      </c>
      <c r="J694">
        <v>0</v>
      </c>
      <c r="K694">
        <v>0</v>
      </c>
      <c r="L694">
        <v>200</v>
      </c>
      <c r="M694">
        <v>0</v>
      </c>
      <c r="N694">
        <v>30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71</v>
      </c>
      <c r="W694">
        <v>497</v>
      </c>
      <c r="X694">
        <v>0</v>
      </c>
      <c r="Z694">
        <v>0</v>
      </c>
      <c r="AA694">
        <v>0</v>
      </c>
      <c r="AB694">
        <v>0</v>
      </c>
      <c r="AC694">
        <v>0</v>
      </c>
      <c r="AD694" t="s">
        <v>1468</v>
      </c>
    </row>
    <row r="695" spans="1:30" x14ac:dyDescent="0.25">
      <c r="H695">
        <v>1249</v>
      </c>
    </row>
    <row r="696" spans="1:30" x14ac:dyDescent="0.25">
      <c r="A696">
        <v>345</v>
      </c>
      <c r="B696">
        <v>2232</v>
      </c>
      <c r="C696" t="s">
        <v>1469</v>
      </c>
      <c r="D696" t="s">
        <v>262</v>
      </c>
      <c r="E696" t="s">
        <v>162</v>
      </c>
      <c r="F696" t="s">
        <v>1470</v>
      </c>
      <c r="G696" t="str">
        <f>"201406014129"</f>
        <v>201406014129</v>
      </c>
      <c r="H696" t="s">
        <v>1471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60</v>
      </c>
      <c r="W696">
        <v>420</v>
      </c>
      <c r="X696">
        <v>0</v>
      </c>
      <c r="Z696">
        <v>0</v>
      </c>
      <c r="AA696">
        <v>0</v>
      </c>
      <c r="AB696">
        <v>24</v>
      </c>
      <c r="AC696">
        <v>408</v>
      </c>
      <c r="AD696" t="s">
        <v>1472</v>
      </c>
    </row>
    <row r="697" spans="1:30" x14ac:dyDescent="0.25">
      <c r="H697" t="s">
        <v>1473</v>
      </c>
    </row>
    <row r="698" spans="1:30" x14ac:dyDescent="0.25">
      <c r="A698">
        <v>346</v>
      </c>
      <c r="B698">
        <v>1431</v>
      </c>
      <c r="C698" t="s">
        <v>1474</v>
      </c>
      <c r="D698" t="s">
        <v>46</v>
      </c>
      <c r="E698" t="s">
        <v>495</v>
      </c>
      <c r="F698" t="s">
        <v>1475</v>
      </c>
      <c r="G698" t="str">
        <f>"201406010003"</f>
        <v>201406010003</v>
      </c>
      <c r="H698" t="s">
        <v>705</v>
      </c>
      <c r="I698">
        <v>150</v>
      </c>
      <c r="J698">
        <v>0</v>
      </c>
      <c r="K698">
        <v>0</v>
      </c>
      <c r="L698">
        <v>0</v>
      </c>
      <c r="M698">
        <v>0</v>
      </c>
      <c r="N698">
        <v>50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17</v>
      </c>
      <c r="W698">
        <v>119</v>
      </c>
      <c r="X698">
        <v>0</v>
      </c>
      <c r="Z698">
        <v>0</v>
      </c>
      <c r="AA698">
        <v>0</v>
      </c>
      <c r="AB698">
        <v>24</v>
      </c>
      <c r="AC698">
        <v>408</v>
      </c>
      <c r="AD698" t="s">
        <v>1476</v>
      </c>
    </row>
    <row r="699" spans="1:30" x14ac:dyDescent="0.25">
      <c r="H699" t="s">
        <v>273</v>
      </c>
    </row>
    <row r="700" spans="1:30" x14ac:dyDescent="0.25">
      <c r="A700">
        <v>347</v>
      </c>
      <c r="B700">
        <v>3985</v>
      </c>
      <c r="C700" t="s">
        <v>1477</v>
      </c>
      <c r="D700" t="s">
        <v>694</v>
      </c>
      <c r="E700" t="s">
        <v>39</v>
      </c>
      <c r="F700" t="s">
        <v>1478</v>
      </c>
      <c r="G700" t="str">
        <f>"00150594"</f>
        <v>00150594</v>
      </c>
      <c r="H700" t="s">
        <v>801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70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84</v>
      </c>
      <c r="W700">
        <v>588</v>
      </c>
      <c r="X700">
        <v>0</v>
      </c>
      <c r="Z700">
        <v>0</v>
      </c>
      <c r="AA700">
        <v>0</v>
      </c>
      <c r="AB700">
        <v>0</v>
      </c>
      <c r="AC700">
        <v>0</v>
      </c>
      <c r="AD700" t="s">
        <v>1479</v>
      </c>
    </row>
    <row r="701" spans="1:30" x14ac:dyDescent="0.25">
      <c r="H701" t="s">
        <v>1480</v>
      </c>
    </row>
    <row r="702" spans="1:30" x14ac:dyDescent="0.25">
      <c r="A702">
        <v>348</v>
      </c>
      <c r="B702">
        <v>5025</v>
      </c>
      <c r="C702" t="s">
        <v>1481</v>
      </c>
      <c r="D702" t="s">
        <v>804</v>
      </c>
      <c r="E702" t="s">
        <v>40</v>
      </c>
      <c r="F702" t="s">
        <v>1482</v>
      </c>
      <c r="G702" t="str">
        <f>"00164864"</f>
        <v>00164864</v>
      </c>
      <c r="H702" t="s">
        <v>789</v>
      </c>
      <c r="I702">
        <v>0</v>
      </c>
      <c r="J702">
        <v>0</v>
      </c>
      <c r="K702">
        <v>0</v>
      </c>
      <c r="L702">
        <v>200</v>
      </c>
      <c r="M702">
        <v>0</v>
      </c>
      <c r="N702">
        <v>30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65</v>
      </c>
      <c r="W702">
        <v>455</v>
      </c>
      <c r="X702">
        <v>0</v>
      </c>
      <c r="Z702">
        <v>0</v>
      </c>
      <c r="AA702">
        <v>0</v>
      </c>
      <c r="AB702">
        <v>0</v>
      </c>
      <c r="AC702">
        <v>0</v>
      </c>
      <c r="AD702" t="s">
        <v>1483</v>
      </c>
    </row>
    <row r="703" spans="1:30" x14ac:dyDescent="0.25">
      <c r="H703">
        <v>1247</v>
      </c>
    </row>
    <row r="704" spans="1:30" x14ac:dyDescent="0.25">
      <c r="A704">
        <v>349</v>
      </c>
      <c r="B704">
        <v>2381</v>
      </c>
      <c r="C704" t="s">
        <v>1484</v>
      </c>
      <c r="D704" t="s">
        <v>1485</v>
      </c>
      <c r="E704" t="s">
        <v>39</v>
      </c>
      <c r="F704" t="s">
        <v>1486</v>
      </c>
      <c r="G704" t="str">
        <f>"201407000316"</f>
        <v>201407000316</v>
      </c>
      <c r="H704" t="s">
        <v>642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60</v>
      </c>
      <c r="W704">
        <v>420</v>
      </c>
      <c r="X704">
        <v>0</v>
      </c>
      <c r="Z704">
        <v>2</v>
      </c>
      <c r="AA704">
        <v>0</v>
      </c>
      <c r="AB704">
        <v>24</v>
      </c>
      <c r="AC704">
        <v>408</v>
      </c>
      <c r="AD704" t="s">
        <v>1483</v>
      </c>
    </row>
    <row r="705" spans="1:30" x14ac:dyDescent="0.25">
      <c r="H705" t="s">
        <v>1487</v>
      </c>
    </row>
    <row r="706" spans="1:30" x14ac:dyDescent="0.25">
      <c r="A706">
        <v>350</v>
      </c>
      <c r="B706">
        <v>587</v>
      </c>
      <c r="C706" t="s">
        <v>1488</v>
      </c>
      <c r="D706" t="s">
        <v>1423</v>
      </c>
      <c r="E706" t="s">
        <v>40</v>
      </c>
      <c r="F706" t="s">
        <v>1489</v>
      </c>
      <c r="G706" t="str">
        <f>"00149372"</f>
        <v>00149372</v>
      </c>
      <c r="H706" t="s">
        <v>1490</v>
      </c>
      <c r="I706">
        <v>0</v>
      </c>
      <c r="J706">
        <v>0</v>
      </c>
      <c r="K706">
        <v>0</v>
      </c>
      <c r="L706">
        <v>200</v>
      </c>
      <c r="M706">
        <v>0</v>
      </c>
      <c r="N706">
        <v>30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84</v>
      </c>
      <c r="W706">
        <v>588</v>
      </c>
      <c r="X706">
        <v>0</v>
      </c>
      <c r="Z706">
        <v>0</v>
      </c>
      <c r="AA706">
        <v>0</v>
      </c>
      <c r="AB706">
        <v>0</v>
      </c>
      <c r="AC706">
        <v>0</v>
      </c>
      <c r="AD706" t="s">
        <v>1491</v>
      </c>
    </row>
    <row r="707" spans="1:30" x14ac:dyDescent="0.25">
      <c r="H707" t="s">
        <v>1492</v>
      </c>
    </row>
    <row r="708" spans="1:30" x14ac:dyDescent="0.25">
      <c r="A708">
        <v>351</v>
      </c>
      <c r="B708">
        <v>842</v>
      </c>
      <c r="C708" t="s">
        <v>1493</v>
      </c>
      <c r="D708" t="s">
        <v>495</v>
      </c>
      <c r="E708" t="s">
        <v>51</v>
      </c>
      <c r="F708" t="s">
        <v>1494</v>
      </c>
      <c r="G708" t="str">
        <f>"00015874"</f>
        <v>00015874</v>
      </c>
      <c r="H708" t="s">
        <v>1495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30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80</v>
      </c>
      <c r="W708">
        <v>560</v>
      </c>
      <c r="X708">
        <v>0</v>
      </c>
      <c r="Z708">
        <v>0</v>
      </c>
      <c r="AA708">
        <v>0</v>
      </c>
      <c r="AB708">
        <v>0</v>
      </c>
      <c r="AC708">
        <v>0</v>
      </c>
      <c r="AD708" t="s">
        <v>1496</v>
      </c>
    </row>
    <row r="709" spans="1:30" x14ac:dyDescent="0.25">
      <c r="H709" t="s">
        <v>1497</v>
      </c>
    </row>
    <row r="710" spans="1:30" x14ac:dyDescent="0.25">
      <c r="A710">
        <v>352</v>
      </c>
      <c r="B710">
        <v>1484</v>
      </c>
      <c r="C710" t="s">
        <v>1498</v>
      </c>
      <c r="D710" t="s">
        <v>32</v>
      </c>
      <c r="E710" t="s">
        <v>140</v>
      </c>
      <c r="F710" t="s">
        <v>1499</v>
      </c>
      <c r="G710" t="str">
        <f>"201405001225"</f>
        <v>201405001225</v>
      </c>
      <c r="H710">
        <v>869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30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84</v>
      </c>
      <c r="W710">
        <v>588</v>
      </c>
      <c r="X710">
        <v>0</v>
      </c>
      <c r="Z710">
        <v>0</v>
      </c>
      <c r="AA710">
        <v>0</v>
      </c>
      <c r="AB710">
        <v>0</v>
      </c>
      <c r="AC710">
        <v>0</v>
      </c>
      <c r="AD710">
        <v>1487</v>
      </c>
    </row>
    <row r="711" spans="1:30" x14ac:dyDescent="0.25">
      <c r="H711" t="s">
        <v>1500</v>
      </c>
    </row>
    <row r="712" spans="1:30" x14ac:dyDescent="0.25">
      <c r="A712">
        <v>353</v>
      </c>
      <c r="B712">
        <v>4282</v>
      </c>
      <c r="C712" t="s">
        <v>1106</v>
      </c>
      <c r="D712" t="s">
        <v>1501</v>
      </c>
      <c r="E712" t="s">
        <v>1502</v>
      </c>
      <c r="F712" t="s">
        <v>1503</v>
      </c>
      <c r="G712" t="str">
        <f>"00187395"</f>
        <v>00187395</v>
      </c>
      <c r="H712" t="s">
        <v>1504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30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77</v>
      </c>
      <c r="W712">
        <v>539</v>
      </c>
      <c r="X712">
        <v>0</v>
      </c>
      <c r="Z712">
        <v>0</v>
      </c>
      <c r="AA712">
        <v>0</v>
      </c>
      <c r="AB712">
        <v>0</v>
      </c>
      <c r="AC712">
        <v>0</v>
      </c>
      <c r="AD712" t="s">
        <v>1505</v>
      </c>
    </row>
    <row r="713" spans="1:30" x14ac:dyDescent="0.25">
      <c r="H713" t="s">
        <v>1098</v>
      </c>
    </row>
    <row r="714" spans="1:30" x14ac:dyDescent="0.25">
      <c r="A714">
        <v>354</v>
      </c>
      <c r="B714">
        <v>348</v>
      </c>
      <c r="C714" t="s">
        <v>1506</v>
      </c>
      <c r="D714" t="s">
        <v>1507</v>
      </c>
      <c r="E714" t="s">
        <v>162</v>
      </c>
      <c r="F714" t="s">
        <v>1508</v>
      </c>
      <c r="G714" t="str">
        <f>"201402005982"</f>
        <v>201402005982</v>
      </c>
      <c r="H714">
        <v>726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30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46</v>
      </c>
      <c r="W714">
        <v>322</v>
      </c>
      <c r="X714">
        <v>0</v>
      </c>
      <c r="Z714">
        <v>0</v>
      </c>
      <c r="AA714">
        <v>0</v>
      </c>
      <c r="AB714">
        <v>24</v>
      </c>
      <c r="AC714">
        <v>408</v>
      </c>
      <c r="AD714">
        <v>1486</v>
      </c>
    </row>
    <row r="715" spans="1:30" x14ac:dyDescent="0.25">
      <c r="H715" t="s">
        <v>1509</v>
      </c>
    </row>
    <row r="716" spans="1:30" x14ac:dyDescent="0.25">
      <c r="A716">
        <v>355</v>
      </c>
      <c r="B716">
        <v>507</v>
      </c>
      <c r="C716" t="s">
        <v>956</v>
      </c>
      <c r="D716" t="s">
        <v>40</v>
      </c>
      <c r="E716" t="s">
        <v>1292</v>
      </c>
      <c r="F716" t="s">
        <v>1510</v>
      </c>
      <c r="G716" t="str">
        <f>"201412005570"</f>
        <v>201412005570</v>
      </c>
      <c r="H716" t="s">
        <v>1511</v>
      </c>
      <c r="I716">
        <v>0</v>
      </c>
      <c r="J716">
        <v>0</v>
      </c>
      <c r="K716">
        <v>0</v>
      </c>
      <c r="L716">
        <v>200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80</v>
      </c>
      <c r="W716">
        <v>560</v>
      </c>
      <c r="X716">
        <v>0</v>
      </c>
      <c r="Z716">
        <v>0</v>
      </c>
      <c r="AA716">
        <v>0</v>
      </c>
      <c r="AB716">
        <v>0</v>
      </c>
      <c r="AC716">
        <v>0</v>
      </c>
      <c r="AD716" t="s">
        <v>1512</v>
      </c>
    </row>
    <row r="717" spans="1:30" x14ac:dyDescent="0.25">
      <c r="H717" t="s">
        <v>1513</v>
      </c>
    </row>
    <row r="718" spans="1:30" x14ac:dyDescent="0.25">
      <c r="A718">
        <v>356</v>
      </c>
      <c r="B718">
        <v>4961</v>
      </c>
      <c r="C718" t="s">
        <v>1514</v>
      </c>
      <c r="D718" t="s">
        <v>804</v>
      </c>
      <c r="E718" t="s">
        <v>40</v>
      </c>
      <c r="F718" t="s">
        <v>1515</v>
      </c>
      <c r="G718" t="str">
        <f>"201511010313"</f>
        <v>201511010313</v>
      </c>
      <c r="H718">
        <v>891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39</v>
      </c>
      <c r="W718">
        <v>273</v>
      </c>
      <c r="X718">
        <v>0</v>
      </c>
      <c r="Z718">
        <v>2</v>
      </c>
      <c r="AA718">
        <v>0</v>
      </c>
      <c r="AB718">
        <v>17</v>
      </c>
      <c r="AC718">
        <v>289</v>
      </c>
      <c r="AD718">
        <v>1483</v>
      </c>
    </row>
    <row r="719" spans="1:30" x14ac:dyDescent="0.25">
      <c r="H719" t="s">
        <v>1516</v>
      </c>
    </row>
    <row r="720" spans="1:30" x14ac:dyDescent="0.25">
      <c r="A720">
        <v>357</v>
      </c>
      <c r="B720">
        <v>3957</v>
      </c>
      <c r="C720" t="s">
        <v>1517</v>
      </c>
      <c r="D720" t="s">
        <v>86</v>
      </c>
      <c r="E720" t="s">
        <v>1518</v>
      </c>
      <c r="F720" t="s">
        <v>1519</v>
      </c>
      <c r="G720" t="str">
        <f>"201005000043"</f>
        <v>201005000043</v>
      </c>
      <c r="H720">
        <v>715</v>
      </c>
      <c r="I720">
        <v>150</v>
      </c>
      <c r="J720">
        <v>0</v>
      </c>
      <c r="K720">
        <v>0</v>
      </c>
      <c r="L720">
        <v>0</v>
      </c>
      <c r="M720">
        <v>0</v>
      </c>
      <c r="N720">
        <v>30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84</v>
      </c>
      <c r="W720">
        <v>588</v>
      </c>
      <c r="X720">
        <v>0</v>
      </c>
      <c r="Z720">
        <v>0</v>
      </c>
      <c r="AA720">
        <v>0</v>
      </c>
      <c r="AB720">
        <v>0</v>
      </c>
      <c r="AC720">
        <v>0</v>
      </c>
      <c r="AD720">
        <v>1483</v>
      </c>
    </row>
    <row r="721" spans="1:30" x14ac:dyDescent="0.25">
      <c r="H721" t="s">
        <v>1520</v>
      </c>
    </row>
    <row r="722" spans="1:30" x14ac:dyDescent="0.25">
      <c r="A722">
        <v>358</v>
      </c>
      <c r="B722">
        <v>317</v>
      </c>
      <c r="C722" t="s">
        <v>1521</v>
      </c>
      <c r="D722" t="s">
        <v>39</v>
      </c>
      <c r="E722" t="s">
        <v>176</v>
      </c>
      <c r="F722" t="s">
        <v>1522</v>
      </c>
      <c r="G722" t="str">
        <f>"00266603"</f>
        <v>00266603</v>
      </c>
      <c r="H722" t="s">
        <v>1131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53</v>
      </c>
      <c r="W722">
        <v>371</v>
      </c>
      <c r="X722">
        <v>0</v>
      </c>
      <c r="Z722">
        <v>0</v>
      </c>
      <c r="AA722">
        <v>0</v>
      </c>
      <c r="AB722">
        <v>24</v>
      </c>
      <c r="AC722">
        <v>408</v>
      </c>
      <c r="AD722" t="s">
        <v>1523</v>
      </c>
    </row>
    <row r="723" spans="1:30" x14ac:dyDescent="0.25">
      <c r="H723" t="s">
        <v>1524</v>
      </c>
    </row>
    <row r="724" spans="1:30" x14ac:dyDescent="0.25">
      <c r="A724">
        <v>359</v>
      </c>
      <c r="B724">
        <v>3931</v>
      </c>
      <c r="C724" t="s">
        <v>1525</v>
      </c>
      <c r="D724" t="s">
        <v>636</v>
      </c>
      <c r="E724" t="s">
        <v>40</v>
      </c>
      <c r="F724" t="s">
        <v>1526</v>
      </c>
      <c r="G724" t="str">
        <f>"200801008366"</f>
        <v>200801008366</v>
      </c>
      <c r="H724" t="s">
        <v>1527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30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60</v>
      </c>
      <c r="W724">
        <v>420</v>
      </c>
      <c r="X724">
        <v>0</v>
      </c>
      <c r="Z724">
        <v>1</v>
      </c>
      <c r="AA724">
        <v>0</v>
      </c>
      <c r="AB724">
        <v>24</v>
      </c>
      <c r="AC724">
        <v>408</v>
      </c>
      <c r="AD724" t="s">
        <v>1528</v>
      </c>
    </row>
    <row r="725" spans="1:30" x14ac:dyDescent="0.25">
      <c r="H725" t="s">
        <v>1529</v>
      </c>
    </row>
    <row r="726" spans="1:30" x14ac:dyDescent="0.25">
      <c r="A726">
        <v>360</v>
      </c>
      <c r="B726">
        <v>1444</v>
      </c>
      <c r="C726" t="s">
        <v>1530</v>
      </c>
      <c r="D726" t="s">
        <v>166</v>
      </c>
      <c r="E726" t="s">
        <v>495</v>
      </c>
      <c r="F726" t="s">
        <v>1531</v>
      </c>
      <c r="G726" t="str">
        <f>"201511038204"</f>
        <v>201511038204</v>
      </c>
      <c r="H726" t="s">
        <v>412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50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84</v>
      </c>
      <c r="W726">
        <v>588</v>
      </c>
      <c r="X726">
        <v>0</v>
      </c>
      <c r="Z726">
        <v>0</v>
      </c>
      <c r="AA726">
        <v>0</v>
      </c>
      <c r="AB726">
        <v>0</v>
      </c>
      <c r="AC726">
        <v>0</v>
      </c>
      <c r="AD726" t="s">
        <v>1532</v>
      </c>
    </row>
    <row r="727" spans="1:30" x14ac:dyDescent="0.25">
      <c r="H727" t="s">
        <v>1533</v>
      </c>
    </row>
    <row r="728" spans="1:30" x14ac:dyDescent="0.25">
      <c r="A728">
        <v>361</v>
      </c>
      <c r="B728">
        <v>4472</v>
      </c>
      <c r="C728" t="s">
        <v>1534</v>
      </c>
      <c r="D728" t="s">
        <v>103</v>
      </c>
      <c r="E728" t="s">
        <v>190</v>
      </c>
      <c r="F728" t="s">
        <v>1535</v>
      </c>
      <c r="G728" t="str">
        <f>"201406019231"</f>
        <v>201406019231</v>
      </c>
      <c r="H728">
        <v>792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30</v>
      </c>
      <c r="O728">
        <v>0</v>
      </c>
      <c r="P728">
        <v>0</v>
      </c>
      <c r="Q728">
        <v>70</v>
      </c>
      <c r="R728">
        <v>0</v>
      </c>
      <c r="S728">
        <v>0</v>
      </c>
      <c r="T728">
        <v>0</v>
      </c>
      <c r="U728">
        <v>0</v>
      </c>
      <c r="V728">
        <v>84</v>
      </c>
      <c r="W728">
        <v>588</v>
      </c>
      <c r="X728">
        <v>0</v>
      </c>
      <c r="Z728">
        <v>0</v>
      </c>
      <c r="AA728">
        <v>0</v>
      </c>
      <c r="AB728">
        <v>0</v>
      </c>
      <c r="AC728">
        <v>0</v>
      </c>
      <c r="AD728">
        <v>1480</v>
      </c>
    </row>
    <row r="729" spans="1:30" x14ac:dyDescent="0.25">
      <c r="H729" t="s">
        <v>1536</v>
      </c>
    </row>
    <row r="730" spans="1:30" x14ac:dyDescent="0.25">
      <c r="A730">
        <v>362</v>
      </c>
      <c r="B730">
        <v>623</v>
      </c>
      <c r="C730" t="s">
        <v>1537</v>
      </c>
      <c r="D730" t="s">
        <v>681</v>
      </c>
      <c r="E730" t="s">
        <v>1538</v>
      </c>
      <c r="F730" t="s">
        <v>1539</v>
      </c>
      <c r="G730" t="str">
        <f>"201402009785"</f>
        <v>201402009785</v>
      </c>
      <c r="H730" t="s">
        <v>1540</v>
      </c>
      <c r="I730">
        <v>0</v>
      </c>
      <c r="J730">
        <v>0</v>
      </c>
      <c r="K730">
        <v>0</v>
      </c>
      <c r="L730">
        <v>200</v>
      </c>
      <c r="M730">
        <v>0</v>
      </c>
      <c r="N730">
        <v>70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76</v>
      </c>
      <c r="W730">
        <v>532</v>
      </c>
      <c r="X730">
        <v>0</v>
      </c>
      <c r="Z730">
        <v>0</v>
      </c>
      <c r="AA730">
        <v>0</v>
      </c>
      <c r="AB730">
        <v>0</v>
      </c>
      <c r="AC730">
        <v>0</v>
      </c>
      <c r="AD730" t="s">
        <v>1541</v>
      </c>
    </row>
    <row r="731" spans="1:30" x14ac:dyDescent="0.25">
      <c r="H731" t="s">
        <v>1542</v>
      </c>
    </row>
    <row r="732" spans="1:30" x14ac:dyDescent="0.25">
      <c r="A732">
        <v>363</v>
      </c>
      <c r="B732">
        <v>4109</v>
      </c>
      <c r="C732" t="s">
        <v>1543</v>
      </c>
      <c r="D732" t="s">
        <v>14</v>
      </c>
      <c r="E732" t="s">
        <v>1544</v>
      </c>
      <c r="F732" t="s">
        <v>1545</v>
      </c>
      <c r="G732" t="str">
        <f>"00350900"</f>
        <v>00350900</v>
      </c>
      <c r="H732" t="s">
        <v>1546</v>
      </c>
      <c r="I732">
        <v>150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84</v>
      </c>
      <c r="W732">
        <v>588</v>
      </c>
      <c r="X732">
        <v>0</v>
      </c>
      <c r="Z732">
        <v>0</v>
      </c>
      <c r="AA732">
        <v>0</v>
      </c>
      <c r="AB732">
        <v>0</v>
      </c>
      <c r="AC732">
        <v>0</v>
      </c>
      <c r="AD732" t="s">
        <v>1547</v>
      </c>
    </row>
    <row r="733" spans="1:30" x14ac:dyDescent="0.25">
      <c r="H733" t="s">
        <v>1548</v>
      </c>
    </row>
    <row r="734" spans="1:30" x14ac:dyDescent="0.25">
      <c r="A734">
        <v>364</v>
      </c>
      <c r="B734">
        <v>3988</v>
      </c>
      <c r="C734" t="s">
        <v>1549</v>
      </c>
      <c r="D734" t="s">
        <v>335</v>
      </c>
      <c r="E734" t="s">
        <v>1550</v>
      </c>
      <c r="F734" t="s">
        <v>1551</v>
      </c>
      <c r="G734" t="str">
        <f>"00347405"</f>
        <v>00347405</v>
      </c>
      <c r="H734">
        <v>891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84</v>
      </c>
      <c r="W734">
        <v>588</v>
      </c>
      <c r="X734">
        <v>0</v>
      </c>
      <c r="Z734">
        <v>0</v>
      </c>
      <c r="AA734">
        <v>0</v>
      </c>
      <c r="AB734">
        <v>0</v>
      </c>
      <c r="AC734">
        <v>0</v>
      </c>
      <c r="AD734">
        <v>1479</v>
      </c>
    </row>
    <row r="735" spans="1:30" x14ac:dyDescent="0.25">
      <c r="H735" t="s">
        <v>1213</v>
      </c>
    </row>
    <row r="736" spans="1:30" x14ac:dyDescent="0.25">
      <c r="A736">
        <v>365</v>
      </c>
      <c r="B736">
        <v>1541</v>
      </c>
      <c r="C736" t="s">
        <v>1534</v>
      </c>
      <c r="D736" t="s">
        <v>1552</v>
      </c>
      <c r="E736" t="s">
        <v>91</v>
      </c>
      <c r="F736" t="s">
        <v>1553</v>
      </c>
      <c r="G736" t="str">
        <f>"201503000067"</f>
        <v>201503000067</v>
      </c>
      <c r="H736">
        <v>726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30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45</v>
      </c>
      <c r="W736">
        <v>315</v>
      </c>
      <c r="X736">
        <v>0</v>
      </c>
      <c r="Z736">
        <v>0</v>
      </c>
      <c r="AA736">
        <v>0</v>
      </c>
      <c r="AB736">
        <v>24</v>
      </c>
      <c r="AC736">
        <v>408</v>
      </c>
      <c r="AD736">
        <v>1479</v>
      </c>
    </row>
    <row r="737" spans="1:30" x14ac:dyDescent="0.25">
      <c r="H737" t="s">
        <v>1554</v>
      </c>
    </row>
    <row r="738" spans="1:30" x14ac:dyDescent="0.25">
      <c r="A738">
        <v>366</v>
      </c>
      <c r="B738">
        <v>2422</v>
      </c>
      <c r="C738" t="s">
        <v>615</v>
      </c>
      <c r="D738" t="s">
        <v>1555</v>
      </c>
      <c r="E738" t="s">
        <v>51</v>
      </c>
      <c r="F738" t="s">
        <v>1556</v>
      </c>
      <c r="G738" t="str">
        <f>"200801000493"</f>
        <v>200801000493</v>
      </c>
      <c r="H738" t="s">
        <v>264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70</v>
      </c>
      <c r="O738">
        <v>0</v>
      </c>
      <c r="P738">
        <v>0</v>
      </c>
      <c r="Q738">
        <v>0</v>
      </c>
      <c r="R738">
        <v>30</v>
      </c>
      <c r="S738">
        <v>0</v>
      </c>
      <c r="T738">
        <v>0</v>
      </c>
      <c r="U738">
        <v>0</v>
      </c>
      <c r="V738">
        <v>84</v>
      </c>
      <c r="W738">
        <v>588</v>
      </c>
      <c r="X738">
        <v>0</v>
      </c>
      <c r="Z738">
        <v>0</v>
      </c>
      <c r="AA738">
        <v>0</v>
      </c>
      <c r="AB738">
        <v>0</v>
      </c>
      <c r="AC738">
        <v>0</v>
      </c>
      <c r="AD738" t="s">
        <v>1557</v>
      </c>
    </row>
    <row r="739" spans="1:30" x14ac:dyDescent="0.25">
      <c r="H739" t="s">
        <v>619</v>
      </c>
    </row>
    <row r="740" spans="1:30" x14ac:dyDescent="0.25">
      <c r="A740">
        <v>367</v>
      </c>
      <c r="B740">
        <v>2476</v>
      </c>
      <c r="C740" t="s">
        <v>654</v>
      </c>
      <c r="D740" t="s">
        <v>335</v>
      </c>
      <c r="E740" t="s">
        <v>162</v>
      </c>
      <c r="F740" t="s">
        <v>1558</v>
      </c>
      <c r="G740" t="str">
        <f>"201405001615"</f>
        <v>201405001615</v>
      </c>
      <c r="H740" t="s">
        <v>1559</v>
      </c>
      <c r="I740">
        <v>0</v>
      </c>
      <c r="J740">
        <v>0</v>
      </c>
      <c r="K740">
        <v>0</v>
      </c>
      <c r="L740">
        <v>200</v>
      </c>
      <c r="M740">
        <v>0</v>
      </c>
      <c r="N740">
        <v>70</v>
      </c>
      <c r="O740">
        <v>30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37</v>
      </c>
      <c r="W740">
        <v>259</v>
      </c>
      <c r="X740">
        <v>0</v>
      </c>
      <c r="Z740">
        <v>0</v>
      </c>
      <c r="AA740">
        <v>0</v>
      </c>
      <c r="AB740">
        <v>0</v>
      </c>
      <c r="AC740">
        <v>0</v>
      </c>
      <c r="AD740" t="s">
        <v>1560</v>
      </c>
    </row>
    <row r="741" spans="1:30" x14ac:dyDescent="0.25">
      <c r="H741" t="s">
        <v>1561</v>
      </c>
    </row>
    <row r="742" spans="1:30" x14ac:dyDescent="0.25">
      <c r="A742">
        <v>368</v>
      </c>
      <c r="B742">
        <v>692</v>
      </c>
      <c r="C742" t="s">
        <v>1562</v>
      </c>
      <c r="D742" t="s">
        <v>75</v>
      </c>
      <c r="E742" t="s">
        <v>238</v>
      </c>
      <c r="F742" t="s">
        <v>1563</v>
      </c>
      <c r="G742" t="str">
        <f>"201406013424"</f>
        <v>201406013424</v>
      </c>
      <c r="H742">
        <v>759</v>
      </c>
      <c r="I742">
        <v>0</v>
      </c>
      <c r="J742">
        <v>0</v>
      </c>
      <c r="K742">
        <v>0</v>
      </c>
      <c r="L742">
        <v>0</v>
      </c>
      <c r="M742">
        <v>100</v>
      </c>
      <c r="N742">
        <v>30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84</v>
      </c>
      <c r="W742">
        <v>588</v>
      </c>
      <c r="X742">
        <v>0</v>
      </c>
      <c r="Z742">
        <v>2</v>
      </c>
      <c r="AA742">
        <v>0</v>
      </c>
      <c r="AB742">
        <v>0</v>
      </c>
      <c r="AC742">
        <v>0</v>
      </c>
      <c r="AD742">
        <v>1477</v>
      </c>
    </row>
    <row r="743" spans="1:30" x14ac:dyDescent="0.25">
      <c r="H743" t="s">
        <v>1564</v>
      </c>
    </row>
    <row r="744" spans="1:30" x14ac:dyDescent="0.25">
      <c r="A744">
        <v>369</v>
      </c>
      <c r="B744">
        <v>4647</v>
      </c>
      <c r="C744" t="s">
        <v>1565</v>
      </c>
      <c r="D744" t="s">
        <v>162</v>
      </c>
      <c r="E744" t="s">
        <v>47</v>
      </c>
      <c r="F744" t="s">
        <v>1566</v>
      </c>
      <c r="G744" t="str">
        <f>"00158536"</f>
        <v>00158536</v>
      </c>
      <c r="H744" t="s">
        <v>735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70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84</v>
      </c>
      <c r="W744">
        <v>588</v>
      </c>
      <c r="X744">
        <v>0</v>
      </c>
      <c r="Z744">
        <v>0</v>
      </c>
      <c r="AA744">
        <v>0</v>
      </c>
      <c r="AB744">
        <v>0</v>
      </c>
      <c r="AC744">
        <v>0</v>
      </c>
      <c r="AD744" t="s">
        <v>1567</v>
      </c>
    </row>
    <row r="745" spans="1:30" x14ac:dyDescent="0.25">
      <c r="H745" t="s">
        <v>1568</v>
      </c>
    </row>
    <row r="746" spans="1:30" x14ac:dyDescent="0.25">
      <c r="A746">
        <v>370</v>
      </c>
      <c r="B746">
        <v>4375</v>
      </c>
      <c r="C746" t="s">
        <v>1569</v>
      </c>
      <c r="D746" t="s">
        <v>1570</v>
      </c>
      <c r="E746" t="s">
        <v>176</v>
      </c>
      <c r="F746" t="s">
        <v>1571</v>
      </c>
      <c r="G746" t="str">
        <f>"200803000673"</f>
        <v>200803000673</v>
      </c>
      <c r="H746" t="s">
        <v>1572</v>
      </c>
      <c r="I746">
        <v>0</v>
      </c>
      <c r="J746">
        <v>0</v>
      </c>
      <c r="K746">
        <v>0</v>
      </c>
      <c r="L746">
        <v>0</v>
      </c>
      <c r="M746">
        <v>100</v>
      </c>
      <c r="N746">
        <v>70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84</v>
      </c>
      <c r="W746">
        <v>588</v>
      </c>
      <c r="X746">
        <v>6</v>
      </c>
      <c r="Y746">
        <v>1251</v>
      </c>
      <c r="Z746">
        <v>0</v>
      </c>
      <c r="AA746">
        <v>0</v>
      </c>
      <c r="AB746">
        <v>0</v>
      </c>
      <c r="AC746">
        <v>0</v>
      </c>
      <c r="AD746" t="s">
        <v>1573</v>
      </c>
    </row>
    <row r="747" spans="1:30" x14ac:dyDescent="0.25">
      <c r="H747" t="s">
        <v>1574</v>
      </c>
    </row>
    <row r="748" spans="1:30" x14ac:dyDescent="0.25">
      <c r="A748">
        <v>371</v>
      </c>
      <c r="B748">
        <v>4375</v>
      </c>
      <c r="C748" t="s">
        <v>1569</v>
      </c>
      <c r="D748" t="s">
        <v>1570</v>
      </c>
      <c r="E748" t="s">
        <v>176</v>
      </c>
      <c r="F748" t="s">
        <v>1571</v>
      </c>
      <c r="G748" t="str">
        <f>"200803000673"</f>
        <v>200803000673</v>
      </c>
      <c r="H748" t="s">
        <v>1572</v>
      </c>
      <c r="I748">
        <v>0</v>
      </c>
      <c r="J748">
        <v>0</v>
      </c>
      <c r="K748">
        <v>0</v>
      </c>
      <c r="L748">
        <v>0</v>
      </c>
      <c r="M748">
        <v>100</v>
      </c>
      <c r="N748">
        <v>70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84</v>
      </c>
      <c r="W748">
        <v>588</v>
      </c>
      <c r="X748">
        <v>0</v>
      </c>
      <c r="Z748">
        <v>0</v>
      </c>
      <c r="AA748">
        <v>0</v>
      </c>
      <c r="AB748">
        <v>0</v>
      </c>
      <c r="AC748">
        <v>0</v>
      </c>
      <c r="AD748" t="s">
        <v>1573</v>
      </c>
    </row>
    <row r="749" spans="1:30" x14ac:dyDescent="0.25">
      <c r="H749" t="s">
        <v>1574</v>
      </c>
    </row>
    <row r="750" spans="1:30" x14ac:dyDescent="0.25">
      <c r="A750">
        <v>372</v>
      </c>
      <c r="B750">
        <v>3939</v>
      </c>
      <c r="C750" t="s">
        <v>1575</v>
      </c>
      <c r="D750" t="s">
        <v>1576</v>
      </c>
      <c r="E750" t="s">
        <v>51</v>
      </c>
      <c r="F750" t="s">
        <v>1577</v>
      </c>
      <c r="G750" t="str">
        <f>"201412005540"</f>
        <v>201412005540</v>
      </c>
      <c r="H750">
        <v>858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30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84</v>
      </c>
      <c r="W750">
        <v>588</v>
      </c>
      <c r="X750">
        <v>0</v>
      </c>
      <c r="Z750">
        <v>0</v>
      </c>
      <c r="AA750">
        <v>0</v>
      </c>
      <c r="AB750">
        <v>0</v>
      </c>
      <c r="AC750">
        <v>0</v>
      </c>
      <c r="AD750">
        <v>1476</v>
      </c>
    </row>
    <row r="751" spans="1:30" x14ac:dyDescent="0.25">
      <c r="H751" t="s">
        <v>1578</v>
      </c>
    </row>
    <row r="752" spans="1:30" x14ac:dyDescent="0.25">
      <c r="A752">
        <v>373</v>
      </c>
      <c r="B752">
        <v>5924</v>
      </c>
      <c r="C752" t="s">
        <v>1579</v>
      </c>
      <c r="D752" t="s">
        <v>1580</v>
      </c>
      <c r="E752" t="s">
        <v>69</v>
      </c>
      <c r="F752" t="s">
        <v>1581</v>
      </c>
      <c r="G752" t="str">
        <f>"201406007192"</f>
        <v>201406007192</v>
      </c>
      <c r="H752">
        <v>814</v>
      </c>
      <c r="I752">
        <v>0</v>
      </c>
      <c r="J752">
        <v>0</v>
      </c>
      <c r="K752">
        <v>0</v>
      </c>
      <c r="L752">
        <v>200</v>
      </c>
      <c r="M752">
        <v>0</v>
      </c>
      <c r="N752">
        <v>70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56</v>
      </c>
      <c r="W752">
        <v>392</v>
      </c>
      <c r="X752">
        <v>0</v>
      </c>
      <c r="Z752">
        <v>0</v>
      </c>
      <c r="AA752">
        <v>0</v>
      </c>
      <c r="AB752">
        <v>0</v>
      </c>
      <c r="AC752">
        <v>0</v>
      </c>
      <c r="AD752">
        <v>1476</v>
      </c>
    </row>
    <row r="753" spans="1:30" x14ac:dyDescent="0.25">
      <c r="H753" t="s">
        <v>451</v>
      </c>
    </row>
    <row r="754" spans="1:30" x14ac:dyDescent="0.25">
      <c r="A754">
        <v>374</v>
      </c>
      <c r="B754">
        <v>4245</v>
      </c>
      <c r="C754" t="s">
        <v>1582</v>
      </c>
      <c r="D754" t="s">
        <v>1583</v>
      </c>
      <c r="E754" t="s">
        <v>151</v>
      </c>
      <c r="F754" t="s">
        <v>1584</v>
      </c>
      <c r="G754" t="str">
        <f>"201512002173"</f>
        <v>201512002173</v>
      </c>
      <c r="H754">
        <v>770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62</v>
      </c>
      <c r="W754">
        <v>434</v>
      </c>
      <c r="X754">
        <v>0</v>
      </c>
      <c r="Z754">
        <v>0</v>
      </c>
      <c r="AA754">
        <v>0</v>
      </c>
      <c r="AB754">
        <v>16</v>
      </c>
      <c r="AC754">
        <v>272</v>
      </c>
      <c r="AD754">
        <v>1476</v>
      </c>
    </row>
    <row r="755" spans="1:30" x14ac:dyDescent="0.25">
      <c r="H755" t="s">
        <v>1585</v>
      </c>
    </row>
    <row r="756" spans="1:30" x14ac:dyDescent="0.25">
      <c r="A756">
        <v>375</v>
      </c>
      <c r="B756">
        <v>3063</v>
      </c>
      <c r="C756" t="s">
        <v>1586</v>
      </c>
      <c r="D756" t="s">
        <v>103</v>
      </c>
      <c r="E756" t="s">
        <v>1587</v>
      </c>
      <c r="F756" t="s">
        <v>1588</v>
      </c>
      <c r="G756" t="str">
        <f>"201406011976"</f>
        <v>201406011976</v>
      </c>
      <c r="H756" t="s">
        <v>1589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30</v>
      </c>
      <c r="O756">
        <v>0</v>
      </c>
      <c r="P756">
        <v>0</v>
      </c>
      <c r="Q756">
        <v>30</v>
      </c>
      <c r="R756">
        <v>0</v>
      </c>
      <c r="S756">
        <v>0</v>
      </c>
      <c r="T756">
        <v>0</v>
      </c>
      <c r="U756">
        <v>0</v>
      </c>
      <c r="V756">
        <v>84</v>
      </c>
      <c r="W756">
        <v>588</v>
      </c>
      <c r="X756">
        <v>0</v>
      </c>
      <c r="Z756">
        <v>0</v>
      </c>
      <c r="AA756">
        <v>0</v>
      </c>
      <c r="AB756">
        <v>0</v>
      </c>
      <c r="AC756">
        <v>0</v>
      </c>
      <c r="AD756" t="s">
        <v>1590</v>
      </c>
    </row>
    <row r="757" spans="1:30" x14ac:dyDescent="0.25">
      <c r="H757" t="s">
        <v>1591</v>
      </c>
    </row>
    <row r="758" spans="1:30" x14ac:dyDescent="0.25">
      <c r="A758">
        <v>376</v>
      </c>
      <c r="B758">
        <v>5764</v>
      </c>
      <c r="C758" t="s">
        <v>1592</v>
      </c>
      <c r="D758" t="s">
        <v>1593</v>
      </c>
      <c r="E758" t="s">
        <v>115</v>
      </c>
      <c r="F758" t="s">
        <v>1594</v>
      </c>
      <c r="G758" t="str">
        <f>"201406008853"</f>
        <v>201406008853</v>
      </c>
      <c r="H758" t="s">
        <v>1595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30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60</v>
      </c>
      <c r="W758">
        <v>420</v>
      </c>
      <c r="X758">
        <v>0</v>
      </c>
      <c r="Z758">
        <v>0</v>
      </c>
      <c r="AA758">
        <v>0</v>
      </c>
      <c r="AB758">
        <v>24</v>
      </c>
      <c r="AC758">
        <v>408</v>
      </c>
      <c r="AD758" t="s">
        <v>1596</v>
      </c>
    </row>
    <row r="759" spans="1:30" x14ac:dyDescent="0.25">
      <c r="H759" t="s">
        <v>1597</v>
      </c>
    </row>
    <row r="760" spans="1:30" x14ac:dyDescent="0.25">
      <c r="A760">
        <v>377</v>
      </c>
      <c r="B760">
        <v>5295</v>
      </c>
      <c r="C760" t="s">
        <v>1598</v>
      </c>
      <c r="D760" t="s">
        <v>1599</v>
      </c>
      <c r="E760" t="s">
        <v>509</v>
      </c>
      <c r="F760" t="s">
        <v>1600</v>
      </c>
      <c r="G760" t="str">
        <f>"00344864"</f>
        <v>00344864</v>
      </c>
      <c r="H760">
        <v>737</v>
      </c>
      <c r="I760">
        <v>150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84</v>
      </c>
      <c r="W760">
        <v>588</v>
      </c>
      <c r="X760">
        <v>0</v>
      </c>
      <c r="Z760">
        <v>2</v>
      </c>
      <c r="AA760">
        <v>0</v>
      </c>
      <c r="AB760">
        <v>0</v>
      </c>
      <c r="AC760">
        <v>0</v>
      </c>
      <c r="AD760">
        <v>1475</v>
      </c>
    </row>
    <row r="761" spans="1:30" x14ac:dyDescent="0.25">
      <c r="H761" t="s">
        <v>1601</v>
      </c>
    </row>
    <row r="762" spans="1:30" x14ac:dyDescent="0.25">
      <c r="A762">
        <v>378</v>
      </c>
      <c r="B762">
        <v>178</v>
      </c>
      <c r="C762" t="s">
        <v>1602</v>
      </c>
      <c r="D762" t="s">
        <v>47</v>
      </c>
      <c r="E762" t="s">
        <v>1603</v>
      </c>
      <c r="F762" t="s">
        <v>1604</v>
      </c>
      <c r="G762" t="str">
        <f>"200802003184"</f>
        <v>200802003184</v>
      </c>
      <c r="H762">
        <v>836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79</v>
      </c>
      <c r="W762">
        <v>553</v>
      </c>
      <c r="X762">
        <v>0</v>
      </c>
      <c r="Z762">
        <v>0</v>
      </c>
      <c r="AA762">
        <v>0</v>
      </c>
      <c r="AB762">
        <v>5</v>
      </c>
      <c r="AC762">
        <v>85</v>
      </c>
      <c r="AD762">
        <v>1474</v>
      </c>
    </row>
    <row r="763" spans="1:30" x14ac:dyDescent="0.25">
      <c r="H763" t="s">
        <v>1605</v>
      </c>
    </row>
    <row r="764" spans="1:30" x14ac:dyDescent="0.25">
      <c r="A764">
        <v>379</v>
      </c>
      <c r="B764">
        <v>5038</v>
      </c>
      <c r="C764" t="s">
        <v>318</v>
      </c>
      <c r="D764" t="s">
        <v>1606</v>
      </c>
      <c r="E764" t="s">
        <v>47</v>
      </c>
      <c r="F764" t="s">
        <v>1607</v>
      </c>
      <c r="G764" t="str">
        <f>"00041558"</f>
        <v>00041558</v>
      </c>
      <c r="H764" t="s">
        <v>136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30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84</v>
      </c>
      <c r="W764">
        <v>588</v>
      </c>
      <c r="X764">
        <v>0</v>
      </c>
      <c r="Z764">
        <v>0</v>
      </c>
      <c r="AA764">
        <v>0</v>
      </c>
      <c r="AB764">
        <v>0</v>
      </c>
      <c r="AC764">
        <v>0</v>
      </c>
      <c r="AD764" t="s">
        <v>1608</v>
      </c>
    </row>
    <row r="765" spans="1:30" x14ac:dyDescent="0.25">
      <c r="H765">
        <v>1249</v>
      </c>
    </row>
    <row r="766" spans="1:30" x14ac:dyDescent="0.25">
      <c r="A766">
        <v>380</v>
      </c>
      <c r="B766">
        <v>5547</v>
      </c>
      <c r="C766" t="s">
        <v>1609</v>
      </c>
      <c r="D766" t="s">
        <v>39</v>
      </c>
      <c r="E766" t="s">
        <v>33</v>
      </c>
      <c r="F766" t="s">
        <v>1610</v>
      </c>
      <c r="G766" t="str">
        <f>"00359503"</f>
        <v>00359503</v>
      </c>
      <c r="H766" t="s">
        <v>1611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60</v>
      </c>
      <c r="W766">
        <v>420</v>
      </c>
      <c r="X766">
        <v>0</v>
      </c>
      <c r="Z766">
        <v>0</v>
      </c>
      <c r="AA766">
        <v>0</v>
      </c>
      <c r="AB766">
        <v>24</v>
      </c>
      <c r="AC766">
        <v>408</v>
      </c>
      <c r="AD766" t="s">
        <v>1612</v>
      </c>
    </row>
    <row r="767" spans="1:30" x14ac:dyDescent="0.25">
      <c r="H767" t="s">
        <v>1613</v>
      </c>
    </row>
    <row r="768" spans="1:30" x14ac:dyDescent="0.25">
      <c r="A768">
        <v>381</v>
      </c>
      <c r="B768">
        <v>3333</v>
      </c>
      <c r="C768" t="s">
        <v>1614</v>
      </c>
      <c r="D768" t="s">
        <v>330</v>
      </c>
      <c r="E768" t="s">
        <v>1615</v>
      </c>
      <c r="F768" t="s">
        <v>1616</v>
      </c>
      <c r="G768" t="str">
        <f>"201406014869"</f>
        <v>201406014869</v>
      </c>
      <c r="H768" t="s">
        <v>622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30</v>
      </c>
      <c r="O768">
        <v>0</v>
      </c>
      <c r="P768">
        <v>0</v>
      </c>
      <c r="Q768">
        <v>70</v>
      </c>
      <c r="R768">
        <v>0</v>
      </c>
      <c r="S768">
        <v>0</v>
      </c>
      <c r="T768">
        <v>0</v>
      </c>
      <c r="U768">
        <v>0</v>
      </c>
      <c r="V768">
        <v>84</v>
      </c>
      <c r="W768">
        <v>588</v>
      </c>
      <c r="X768">
        <v>0</v>
      </c>
      <c r="Z768">
        <v>0</v>
      </c>
      <c r="AA768">
        <v>0</v>
      </c>
      <c r="AB768">
        <v>0</v>
      </c>
      <c r="AC768">
        <v>0</v>
      </c>
      <c r="AD768" t="s">
        <v>1617</v>
      </c>
    </row>
    <row r="769" spans="1:30" x14ac:dyDescent="0.25">
      <c r="H769" t="s">
        <v>1618</v>
      </c>
    </row>
    <row r="770" spans="1:30" x14ac:dyDescent="0.25">
      <c r="A770">
        <v>382</v>
      </c>
      <c r="B770">
        <v>2440</v>
      </c>
      <c r="C770" t="s">
        <v>1619</v>
      </c>
      <c r="D770" t="s">
        <v>346</v>
      </c>
      <c r="E770" t="s">
        <v>1620</v>
      </c>
      <c r="F770" t="s">
        <v>1621</v>
      </c>
      <c r="G770" t="str">
        <f>"00224705"</f>
        <v>00224705</v>
      </c>
      <c r="H770" t="s">
        <v>362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70</v>
      </c>
      <c r="O770">
        <v>0</v>
      </c>
      <c r="P770">
        <v>0</v>
      </c>
      <c r="Q770">
        <v>30</v>
      </c>
      <c r="R770">
        <v>50</v>
      </c>
      <c r="S770">
        <v>0</v>
      </c>
      <c r="T770">
        <v>0</v>
      </c>
      <c r="U770">
        <v>0</v>
      </c>
      <c r="V770">
        <v>8</v>
      </c>
      <c r="W770">
        <v>56</v>
      </c>
      <c r="X770">
        <v>0</v>
      </c>
      <c r="Z770">
        <v>0</v>
      </c>
      <c r="AA770">
        <v>0</v>
      </c>
      <c r="AB770">
        <v>24</v>
      </c>
      <c r="AC770">
        <v>408</v>
      </c>
      <c r="AD770" t="s">
        <v>1622</v>
      </c>
    </row>
    <row r="771" spans="1:30" x14ac:dyDescent="0.25">
      <c r="H771" t="s">
        <v>1623</v>
      </c>
    </row>
    <row r="772" spans="1:30" x14ac:dyDescent="0.25">
      <c r="A772">
        <v>383</v>
      </c>
      <c r="B772">
        <v>5669</v>
      </c>
      <c r="C772" t="s">
        <v>1624</v>
      </c>
      <c r="D772" t="s">
        <v>1625</v>
      </c>
      <c r="E772" t="s">
        <v>144</v>
      </c>
      <c r="F772" t="s">
        <v>1626</v>
      </c>
      <c r="G772" t="str">
        <f>"00231616"</f>
        <v>00231616</v>
      </c>
      <c r="H772">
        <v>825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30</v>
      </c>
      <c r="O772">
        <v>0</v>
      </c>
      <c r="P772">
        <v>0</v>
      </c>
      <c r="Q772">
        <v>30</v>
      </c>
      <c r="R772">
        <v>0</v>
      </c>
      <c r="S772">
        <v>0</v>
      </c>
      <c r="T772">
        <v>0</v>
      </c>
      <c r="U772">
        <v>0</v>
      </c>
      <c r="V772">
        <v>84</v>
      </c>
      <c r="W772">
        <v>588</v>
      </c>
      <c r="X772">
        <v>0</v>
      </c>
      <c r="Z772">
        <v>2</v>
      </c>
      <c r="AA772">
        <v>0</v>
      </c>
      <c r="AB772">
        <v>0</v>
      </c>
      <c r="AC772">
        <v>0</v>
      </c>
      <c r="AD772">
        <v>1473</v>
      </c>
    </row>
    <row r="773" spans="1:30" x14ac:dyDescent="0.25">
      <c r="H773" t="s">
        <v>1627</v>
      </c>
    </row>
    <row r="774" spans="1:30" x14ac:dyDescent="0.25">
      <c r="A774">
        <v>384</v>
      </c>
      <c r="B774">
        <v>2031</v>
      </c>
      <c r="C774" t="s">
        <v>1628</v>
      </c>
      <c r="D774" t="s">
        <v>14</v>
      </c>
      <c r="E774" t="s">
        <v>290</v>
      </c>
      <c r="F774" t="s">
        <v>1629</v>
      </c>
      <c r="G774" t="str">
        <f>"201406013585"</f>
        <v>201406013585</v>
      </c>
      <c r="H774" t="s">
        <v>696</v>
      </c>
      <c r="I774">
        <v>0</v>
      </c>
      <c r="J774">
        <v>0</v>
      </c>
      <c r="K774">
        <v>0</v>
      </c>
      <c r="L774">
        <v>200</v>
      </c>
      <c r="M774">
        <v>0</v>
      </c>
      <c r="N774">
        <v>70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61</v>
      </c>
      <c r="W774">
        <v>427</v>
      </c>
      <c r="X774">
        <v>0</v>
      </c>
      <c r="Z774">
        <v>0</v>
      </c>
      <c r="AA774">
        <v>0</v>
      </c>
      <c r="AB774">
        <v>0</v>
      </c>
      <c r="AC774">
        <v>0</v>
      </c>
      <c r="AD774" t="s">
        <v>1630</v>
      </c>
    </row>
    <row r="775" spans="1:30" x14ac:dyDescent="0.25">
      <c r="H775" t="s">
        <v>1631</v>
      </c>
    </row>
    <row r="776" spans="1:30" x14ac:dyDescent="0.25">
      <c r="A776">
        <v>385</v>
      </c>
      <c r="B776">
        <v>4834</v>
      </c>
      <c r="C776" t="s">
        <v>1632</v>
      </c>
      <c r="D776" t="s">
        <v>216</v>
      </c>
      <c r="E776" t="s">
        <v>449</v>
      </c>
      <c r="F776" t="s">
        <v>1633</v>
      </c>
      <c r="G776" t="str">
        <f>"201412004961"</f>
        <v>201412004961</v>
      </c>
      <c r="H776" t="s">
        <v>110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70</v>
      </c>
      <c r="O776">
        <v>0</v>
      </c>
      <c r="P776">
        <v>0</v>
      </c>
      <c r="Q776">
        <v>0</v>
      </c>
      <c r="R776">
        <v>30</v>
      </c>
      <c r="S776">
        <v>0</v>
      </c>
      <c r="T776">
        <v>0</v>
      </c>
      <c r="U776">
        <v>0</v>
      </c>
      <c r="V776">
        <v>84</v>
      </c>
      <c r="W776">
        <v>588</v>
      </c>
      <c r="X776">
        <v>0</v>
      </c>
      <c r="Z776">
        <v>0</v>
      </c>
      <c r="AA776">
        <v>0</v>
      </c>
      <c r="AB776">
        <v>0</v>
      </c>
      <c r="AC776">
        <v>0</v>
      </c>
      <c r="AD776" t="s">
        <v>1634</v>
      </c>
    </row>
    <row r="777" spans="1:30" x14ac:dyDescent="0.25">
      <c r="H777" t="s">
        <v>1635</v>
      </c>
    </row>
    <row r="778" spans="1:30" x14ac:dyDescent="0.25">
      <c r="A778">
        <v>386</v>
      </c>
      <c r="B778">
        <v>2848</v>
      </c>
      <c r="C778" t="s">
        <v>1636</v>
      </c>
      <c r="D778" t="s">
        <v>75</v>
      </c>
      <c r="E778" t="s">
        <v>238</v>
      </c>
      <c r="F778" t="s">
        <v>1637</v>
      </c>
      <c r="G778" t="str">
        <f>"200802001449"</f>
        <v>200802001449</v>
      </c>
      <c r="H778">
        <v>814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70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84</v>
      </c>
      <c r="W778">
        <v>588</v>
      </c>
      <c r="X778">
        <v>0</v>
      </c>
      <c r="Z778">
        <v>0</v>
      </c>
      <c r="AA778">
        <v>0</v>
      </c>
      <c r="AB778">
        <v>0</v>
      </c>
      <c r="AC778">
        <v>0</v>
      </c>
      <c r="AD778">
        <v>1472</v>
      </c>
    </row>
    <row r="779" spans="1:30" x14ac:dyDescent="0.25">
      <c r="H779" t="s">
        <v>1638</v>
      </c>
    </row>
    <row r="780" spans="1:30" x14ac:dyDescent="0.25">
      <c r="A780">
        <v>387</v>
      </c>
      <c r="B780">
        <v>2229</v>
      </c>
      <c r="C780" t="s">
        <v>1639</v>
      </c>
      <c r="D780" t="s">
        <v>47</v>
      </c>
      <c r="E780" t="s">
        <v>40</v>
      </c>
      <c r="F780" t="s">
        <v>1640</v>
      </c>
      <c r="G780" t="str">
        <f>"201408000082"</f>
        <v>201408000082</v>
      </c>
      <c r="H780" t="s">
        <v>1641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84</v>
      </c>
      <c r="W780">
        <v>588</v>
      </c>
      <c r="X780">
        <v>0</v>
      </c>
      <c r="Z780">
        <v>0</v>
      </c>
      <c r="AA780">
        <v>0</v>
      </c>
      <c r="AB780">
        <v>0</v>
      </c>
      <c r="AC780">
        <v>0</v>
      </c>
      <c r="AD780" t="s">
        <v>1642</v>
      </c>
    </row>
    <row r="781" spans="1:30" x14ac:dyDescent="0.25">
      <c r="H781" t="s">
        <v>1643</v>
      </c>
    </row>
    <row r="782" spans="1:30" x14ac:dyDescent="0.25">
      <c r="A782">
        <v>388</v>
      </c>
      <c r="B782">
        <v>1493</v>
      </c>
      <c r="C782" t="s">
        <v>1644</v>
      </c>
      <c r="D782" t="s">
        <v>239</v>
      </c>
      <c r="E782" t="s">
        <v>39</v>
      </c>
      <c r="F782" t="s">
        <v>1645</v>
      </c>
      <c r="G782" t="str">
        <f>"00152823"</f>
        <v>00152823</v>
      </c>
      <c r="H782" t="s">
        <v>562</v>
      </c>
      <c r="I782">
        <v>0</v>
      </c>
      <c r="J782">
        <v>0</v>
      </c>
      <c r="K782">
        <v>0</v>
      </c>
      <c r="L782">
        <v>200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84</v>
      </c>
      <c r="W782">
        <v>588</v>
      </c>
      <c r="X782">
        <v>0</v>
      </c>
      <c r="Z782">
        <v>2</v>
      </c>
      <c r="AA782">
        <v>0</v>
      </c>
      <c r="AB782">
        <v>0</v>
      </c>
      <c r="AC782">
        <v>0</v>
      </c>
      <c r="AD782" t="s">
        <v>1646</v>
      </c>
    </row>
    <row r="783" spans="1:30" x14ac:dyDescent="0.25">
      <c r="H783" t="s">
        <v>1647</v>
      </c>
    </row>
    <row r="784" spans="1:30" x14ac:dyDescent="0.25">
      <c r="A784">
        <v>389</v>
      </c>
      <c r="B784">
        <v>2119</v>
      </c>
      <c r="C784" t="s">
        <v>1648</v>
      </c>
      <c r="D784" t="s">
        <v>1649</v>
      </c>
      <c r="E784" t="s">
        <v>1466</v>
      </c>
      <c r="F784" t="s">
        <v>1650</v>
      </c>
      <c r="G784" t="str">
        <f>"00277845"</f>
        <v>00277845</v>
      </c>
      <c r="H784" t="s">
        <v>332</v>
      </c>
      <c r="I784">
        <v>0</v>
      </c>
      <c r="J784">
        <v>0</v>
      </c>
      <c r="K784">
        <v>0</v>
      </c>
      <c r="L784">
        <v>0</v>
      </c>
      <c r="M784">
        <v>100</v>
      </c>
      <c r="N784">
        <v>50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84</v>
      </c>
      <c r="W784">
        <v>588</v>
      </c>
      <c r="X784">
        <v>0</v>
      </c>
      <c r="Z784">
        <v>0</v>
      </c>
      <c r="AA784">
        <v>0</v>
      </c>
      <c r="AB784">
        <v>0</v>
      </c>
      <c r="AC784">
        <v>0</v>
      </c>
      <c r="AD784" t="s">
        <v>1651</v>
      </c>
    </row>
    <row r="785" spans="1:30" x14ac:dyDescent="0.25">
      <c r="H785" t="s">
        <v>1652</v>
      </c>
    </row>
    <row r="786" spans="1:30" x14ac:dyDescent="0.25">
      <c r="A786">
        <v>390</v>
      </c>
      <c r="B786">
        <v>3252</v>
      </c>
      <c r="C786" t="s">
        <v>1653</v>
      </c>
      <c r="D786" t="s">
        <v>661</v>
      </c>
      <c r="E786" t="s">
        <v>190</v>
      </c>
      <c r="F786" t="s">
        <v>1654</v>
      </c>
      <c r="G786" t="str">
        <f>"00331271"</f>
        <v>00331271</v>
      </c>
      <c r="H786" t="s">
        <v>672</v>
      </c>
      <c r="I786">
        <v>0</v>
      </c>
      <c r="J786">
        <v>0</v>
      </c>
      <c r="K786">
        <v>0</v>
      </c>
      <c r="L786">
        <v>200</v>
      </c>
      <c r="M786">
        <v>0</v>
      </c>
      <c r="N786">
        <v>30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72</v>
      </c>
      <c r="W786">
        <v>504</v>
      </c>
      <c r="X786">
        <v>0</v>
      </c>
      <c r="Z786">
        <v>0</v>
      </c>
      <c r="AA786">
        <v>0</v>
      </c>
      <c r="AB786">
        <v>0</v>
      </c>
      <c r="AC786">
        <v>0</v>
      </c>
      <c r="AD786" t="s">
        <v>1655</v>
      </c>
    </row>
    <row r="787" spans="1:30" x14ac:dyDescent="0.25">
      <c r="H787" t="s">
        <v>1656</v>
      </c>
    </row>
    <row r="788" spans="1:30" x14ac:dyDescent="0.25">
      <c r="A788">
        <v>391</v>
      </c>
      <c r="B788">
        <v>4386</v>
      </c>
      <c r="C788" t="s">
        <v>1185</v>
      </c>
      <c r="D788" t="s">
        <v>315</v>
      </c>
      <c r="E788" t="s">
        <v>87</v>
      </c>
      <c r="F788" t="s">
        <v>1657</v>
      </c>
      <c r="G788" t="str">
        <f>"00356030"</f>
        <v>00356030</v>
      </c>
      <c r="H788">
        <v>682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54</v>
      </c>
      <c r="W788">
        <v>378</v>
      </c>
      <c r="X788">
        <v>0</v>
      </c>
      <c r="Z788">
        <v>0</v>
      </c>
      <c r="AA788">
        <v>0</v>
      </c>
      <c r="AB788">
        <v>24</v>
      </c>
      <c r="AC788">
        <v>408</v>
      </c>
      <c r="AD788">
        <v>1468</v>
      </c>
    </row>
    <row r="789" spans="1:30" x14ac:dyDescent="0.25">
      <c r="H789" t="s">
        <v>1658</v>
      </c>
    </row>
    <row r="790" spans="1:30" x14ac:dyDescent="0.25">
      <c r="A790">
        <v>392</v>
      </c>
      <c r="B790">
        <v>5965</v>
      </c>
      <c r="C790" t="s">
        <v>1659</v>
      </c>
      <c r="D790" t="s">
        <v>335</v>
      </c>
      <c r="E790" t="s">
        <v>1660</v>
      </c>
      <c r="F790" t="s">
        <v>1661</v>
      </c>
      <c r="G790" t="str">
        <f>"00075249"</f>
        <v>00075249</v>
      </c>
      <c r="H790">
        <v>759</v>
      </c>
      <c r="I790">
        <v>0</v>
      </c>
      <c r="J790">
        <v>0</v>
      </c>
      <c r="K790">
        <v>0</v>
      </c>
      <c r="L790">
        <v>200</v>
      </c>
      <c r="M790">
        <v>0</v>
      </c>
      <c r="N790">
        <v>30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10</v>
      </c>
      <c r="W790">
        <v>70</v>
      </c>
      <c r="X790">
        <v>0</v>
      </c>
      <c r="Z790">
        <v>0</v>
      </c>
      <c r="AA790">
        <v>0</v>
      </c>
      <c r="AB790">
        <v>24</v>
      </c>
      <c r="AC790">
        <v>408</v>
      </c>
      <c r="AD790">
        <v>1467</v>
      </c>
    </row>
    <row r="791" spans="1:30" x14ac:dyDescent="0.25">
      <c r="H791" t="s">
        <v>1662</v>
      </c>
    </row>
    <row r="792" spans="1:30" x14ac:dyDescent="0.25">
      <c r="A792">
        <v>393</v>
      </c>
      <c r="B792">
        <v>5553</v>
      </c>
      <c r="C792" t="s">
        <v>839</v>
      </c>
      <c r="D792" t="s">
        <v>39</v>
      </c>
      <c r="E792" t="s">
        <v>40</v>
      </c>
      <c r="F792" t="s">
        <v>1663</v>
      </c>
      <c r="G792" t="str">
        <f>"00268936"</f>
        <v>00268936</v>
      </c>
      <c r="H792">
        <v>638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60</v>
      </c>
      <c r="W792">
        <v>420</v>
      </c>
      <c r="X792">
        <v>0</v>
      </c>
      <c r="Z792">
        <v>2</v>
      </c>
      <c r="AA792">
        <v>0</v>
      </c>
      <c r="AB792">
        <v>24</v>
      </c>
      <c r="AC792">
        <v>408</v>
      </c>
      <c r="AD792">
        <v>1466</v>
      </c>
    </row>
    <row r="793" spans="1:30" x14ac:dyDescent="0.25">
      <c r="H793" t="s">
        <v>1664</v>
      </c>
    </row>
    <row r="794" spans="1:30" x14ac:dyDescent="0.25">
      <c r="A794">
        <v>394</v>
      </c>
      <c r="B794">
        <v>3541</v>
      </c>
      <c r="C794" t="s">
        <v>1665</v>
      </c>
      <c r="D794" t="s">
        <v>98</v>
      </c>
      <c r="E794" t="s">
        <v>509</v>
      </c>
      <c r="F794" t="s">
        <v>1666</v>
      </c>
      <c r="G794" t="str">
        <f>"200712004642"</f>
        <v>200712004642</v>
      </c>
      <c r="H794">
        <v>847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30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84</v>
      </c>
      <c r="W794">
        <v>588</v>
      </c>
      <c r="X794">
        <v>0</v>
      </c>
      <c r="Z794">
        <v>0</v>
      </c>
      <c r="AA794">
        <v>0</v>
      </c>
      <c r="AB794">
        <v>0</v>
      </c>
      <c r="AC794">
        <v>0</v>
      </c>
      <c r="AD794">
        <v>1465</v>
      </c>
    </row>
    <row r="795" spans="1:30" x14ac:dyDescent="0.25">
      <c r="H795" t="s">
        <v>1667</v>
      </c>
    </row>
    <row r="796" spans="1:30" x14ac:dyDescent="0.25">
      <c r="A796">
        <v>395</v>
      </c>
      <c r="B796">
        <v>3228</v>
      </c>
      <c r="C796" t="s">
        <v>1379</v>
      </c>
      <c r="D796" t="s">
        <v>1668</v>
      </c>
      <c r="E796" t="s">
        <v>183</v>
      </c>
      <c r="F796" t="s">
        <v>1669</v>
      </c>
      <c r="G796" t="str">
        <f>"201504002548"</f>
        <v>201504002548</v>
      </c>
      <c r="H796">
        <v>847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30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84</v>
      </c>
      <c r="W796">
        <v>588</v>
      </c>
      <c r="X796">
        <v>0</v>
      </c>
      <c r="Z796">
        <v>0</v>
      </c>
      <c r="AA796">
        <v>0</v>
      </c>
      <c r="AB796">
        <v>0</v>
      </c>
      <c r="AC796">
        <v>0</v>
      </c>
      <c r="AD796">
        <v>1465</v>
      </c>
    </row>
    <row r="797" spans="1:30" x14ac:dyDescent="0.25">
      <c r="H797" t="s">
        <v>1670</v>
      </c>
    </row>
    <row r="798" spans="1:30" x14ac:dyDescent="0.25">
      <c r="A798">
        <v>396</v>
      </c>
      <c r="B798">
        <v>454</v>
      </c>
      <c r="C798" t="s">
        <v>1671</v>
      </c>
      <c r="D798" t="s">
        <v>804</v>
      </c>
      <c r="E798" t="s">
        <v>1070</v>
      </c>
      <c r="F798" t="s">
        <v>1672</v>
      </c>
      <c r="G798" t="str">
        <f>"201602000230"</f>
        <v>201602000230</v>
      </c>
      <c r="H798" t="s">
        <v>1673</v>
      </c>
      <c r="I798">
        <v>0</v>
      </c>
      <c r="J798">
        <v>0</v>
      </c>
      <c r="K798">
        <v>0</v>
      </c>
      <c r="L798">
        <v>200</v>
      </c>
      <c r="M798">
        <v>0</v>
      </c>
      <c r="N798">
        <v>30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84</v>
      </c>
      <c r="W798">
        <v>588</v>
      </c>
      <c r="X798">
        <v>0</v>
      </c>
      <c r="Z798">
        <v>2</v>
      </c>
      <c r="AA798">
        <v>0</v>
      </c>
      <c r="AB798">
        <v>0</v>
      </c>
      <c r="AC798">
        <v>0</v>
      </c>
      <c r="AD798" t="s">
        <v>1674</v>
      </c>
    </row>
    <row r="799" spans="1:30" x14ac:dyDescent="0.25">
      <c r="H799" t="s">
        <v>1675</v>
      </c>
    </row>
    <row r="800" spans="1:30" x14ac:dyDescent="0.25">
      <c r="A800">
        <v>397</v>
      </c>
      <c r="B800">
        <v>5628</v>
      </c>
      <c r="C800" t="s">
        <v>1676</v>
      </c>
      <c r="D800" t="s">
        <v>869</v>
      </c>
      <c r="E800" t="s">
        <v>1677</v>
      </c>
      <c r="F800" t="s">
        <v>1678</v>
      </c>
      <c r="G800" t="str">
        <f>"00363383"</f>
        <v>00363383</v>
      </c>
      <c r="H800" t="s">
        <v>1679</v>
      </c>
      <c r="I800">
        <v>150</v>
      </c>
      <c r="J800">
        <v>0</v>
      </c>
      <c r="K800">
        <v>0</v>
      </c>
      <c r="L800">
        <v>200</v>
      </c>
      <c r="M800">
        <v>0</v>
      </c>
      <c r="N800">
        <v>30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43</v>
      </c>
      <c r="W800">
        <v>301</v>
      </c>
      <c r="X800">
        <v>0</v>
      </c>
      <c r="Z800">
        <v>0</v>
      </c>
      <c r="AA800">
        <v>0</v>
      </c>
      <c r="AB800">
        <v>0</v>
      </c>
      <c r="AC800">
        <v>0</v>
      </c>
      <c r="AD800" t="s">
        <v>1680</v>
      </c>
    </row>
    <row r="801" spans="1:30" x14ac:dyDescent="0.25">
      <c r="H801" t="s">
        <v>1681</v>
      </c>
    </row>
    <row r="802" spans="1:30" x14ac:dyDescent="0.25">
      <c r="A802">
        <v>398</v>
      </c>
      <c r="B802">
        <v>3891</v>
      </c>
      <c r="C802" t="s">
        <v>1682</v>
      </c>
      <c r="D802" t="s">
        <v>262</v>
      </c>
      <c r="E802" t="s">
        <v>151</v>
      </c>
      <c r="F802" t="s">
        <v>1683</v>
      </c>
      <c r="G802" t="str">
        <f>"201402004953"</f>
        <v>201402004953</v>
      </c>
      <c r="H802" t="s">
        <v>642</v>
      </c>
      <c r="I802">
        <v>150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35</v>
      </c>
      <c r="W802">
        <v>245</v>
      </c>
      <c r="X802">
        <v>0</v>
      </c>
      <c r="Z802">
        <v>1</v>
      </c>
      <c r="AA802">
        <v>0</v>
      </c>
      <c r="AB802">
        <v>24</v>
      </c>
      <c r="AC802">
        <v>408</v>
      </c>
      <c r="AD802" t="s">
        <v>1684</v>
      </c>
    </row>
    <row r="803" spans="1:30" x14ac:dyDescent="0.25">
      <c r="H803" t="s">
        <v>1685</v>
      </c>
    </row>
    <row r="804" spans="1:30" x14ac:dyDescent="0.25">
      <c r="A804">
        <v>399</v>
      </c>
      <c r="B804">
        <v>4744</v>
      </c>
      <c r="C804" t="s">
        <v>1686</v>
      </c>
      <c r="D804" t="s">
        <v>98</v>
      </c>
      <c r="E804" t="s">
        <v>595</v>
      </c>
      <c r="F804" t="s">
        <v>1687</v>
      </c>
      <c r="G804" t="str">
        <f>"00260346"</f>
        <v>00260346</v>
      </c>
      <c r="H804" t="s">
        <v>192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50</v>
      </c>
      <c r="O804">
        <v>0</v>
      </c>
      <c r="P804">
        <v>0</v>
      </c>
      <c r="Q804">
        <v>30</v>
      </c>
      <c r="R804">
        <v>0</v>
      </c>
      <c r="S804">
        <v>0</v>
      </c>
      <c r="T804">
        <v>0</v>
      </c>
      <c r="U804">
        <v>0</v>
      </c>
      <c r="V804">
        <v>84</v>
      </c>
      <c r="W804">
        <v>588</v>
      </c>
      <c r="X804">
        <v>0</v>
      </c>
      <c r="Z804">
        <v>0</v>
      </c>
      <c r="AA804">
        <v>0</v>
      </c>
      <c r="AB804">
        <v>0</v>
      </c>
      <c r="AC804">
        <v>0</v>
      </c>
      <c r="AD804" t="s">
        <v>1688</v>
      </c>
    </row>
    <row r="805" spans="1:30" x14ac:dyDescent="0.25">
      <c r="H805" t="s">
        <v>1689</v>
      </c>
    </row>
    <row r="806" spans="1:30" x14ac:dyDescent="0.25">
      <c r="A806">
        <v>400</v>
      </c>
      <c r="B806">
        <v>3498</v>
      </c>
      <c r="C806" t="s">
        <v>1690</v>
      </c>
      <c r="D806" t="s">
        <v>804</v>
      </c>
      <c r="E806" t="s">
        <v>39</v>
      </c>
      <c r="F806" t="s">
        <v>1691</v>
      </c>
      <c r="G806" t="str">
        <f>"201511042583"</f>
        <v>201511042583</v>
      </c>
      <c r="H806">
        <v>704</v>
      </c>
      <c r="I806">
        <v>0</v>
      </c>
      <c r="J806">
        <v>0</v>
      </c>
      <c r="K806">
        <v>0</v>
      </c>
      <c r="L806">
        <v>0</v>
      </c>
      <c r="M806">
        <v>100</v>
      </c>
      <c r="N806">
        <v>70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84</v>
      </c>
      <c r="W806">
        <v>588</v>
      </c>
      <c r="X806">
        <v>0</v>
      </c>
      <c r="Z806">
        <v>0</v>
      </c>
      <c r="AA806">
        <v>0</v>
      </c>
      <c r="AB806">
        <v>0</v>
      </c>
      <c r="AC806">
        <v>0</v>
      </c>
      <c r="AD806">
        <v>1462</v>
      </c>
    </row>
    <row r="807" spans="1:30" x14ac:dyDescent="0.25">
      <c r="H807" t="s">
        <v>1692</v>
      </c>
    </row>
    <row r="808" spans="1:30" x14ac:dyDescent="0.25">
      <c r="A808">
        <v>401</v>
      </c>
      <c r="B808">
        <v>6003</v>
      </c>
      <c r="C808" t="s">
        <v>1693</v>
      </c>
      <c r="D808" t="s">
        <v>636</v>
      </c>
      <c r="E808" t="s">
        <v>40</v>
      </c>
      <c r="F808" t="s">
        <v>1694</v>
      </c>
      <c r="G808" t="str">
        <f>"201412002567"</f>
        <v>201412002567</v>
      </c>
      <c r="H808" t="s">
        <v>1695</v>
      </c>
      <c r="I808">
        <v>0</v>
      </c>
      <c r="J808">
        <v>0</v>
      </c>
      <c r="K808">
        <v>0</v>
      </c>
      <c r="L808">
        <v>200</v>
      </c>
      <c r="M808">
        <v>0</v>
      </c>
      <c r="N808">
        <v>30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84</v>
      </c>
      <c r="W808">
        <v>588</v>
      </c>
      <c r="X808">
        <v>0</v>
      </c>
      <c r="Z808">
        <v>0</v>
      </c>
      <c r="AA808">
        <v>0</v>
      </c>
      <c r="AB808">
        <v>0</v>
      </c>
      <c r="AC808">
        <v>0</v>
      </c>
      <c r="AD808" t="s">
        <v>1696</v>
      </c>
    </row>
    <row r="809" spans="1:30" x14ac:dyDescent="0.25">
      <c r="H809" t="s">
        <v>1697</v>
      </c>
    </row>
    <row r="810" spans="1:30" x14ac:dyDescent="0.25">
      <c r="A810">
        <v>402</v>
      </c>
      <c r="B810">
        <v>560</v>
      </c>
      <c r="C810" t="s">
        <v>1698</v>
      </c>
      <c r="D810" t="s">
        <v>1593</v>
      </c>
      <c r="E810" t="s">
        <v>290</v>
      </c>
      <c r="F810" t="s">
        <v>1699</v>
      </c>
      <c r="G810" t="str">
        <f>"201212000049"</f>
        <v>201212000049</v>
      </c>
      <c r="H810">
        <v>803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70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84</v>
      </c>
      <c r="W810">
        <v>588</v>
      </c>
      <c r="X810">
        <v>6</v>
      </c>
      <c r="Y810">
        <v>1251</v>
      </c>
      <c r="Z810">
        <v>0</v>
      </c>
      <c r="AA810">
        <v>0</v>
      </c>
      <c r="AB810">
        <v>0</v>
      </c>
      <c r="AC810">
        <v>0</v>
      </c>
      <c r="AD810">
        <v>1461</v>
      </c>
    </row>
    <row r="811" spans="1:30" x14ac:dyDescent="0.25">
      <c r="H811">
        <v>1251</v>
      </c>
    </row>
    <row r="812" spans="1:30" x14ac:dyDescent="0.25">
      <c r="A812">
        <v>403</v>
      </c>
      <c r="B812">
        <v>2317</v>
      </c>
      <c r="C812" t="s">
        <v>1700</v>
      </c>
      <c r="D812" t="s">
        <v>566</v>
      </c>
      <c r="E812" t="s">
        <v>107</v>
      </c>
      <c r="F812" t="s">
        <v>1701</v>
      </c>
      <c r="G812" t="str">
        <f>"00249067"</f>
        <v>00249067</v>
      </c>
      <c r="H812">
        <v>803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70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84</v>
      </c>
      <c r="W812">
        <v>588</v>
      </c>
      <c r="X812">
        <v>6</v>
      </c>
      <c r="Y812">
        <v>1251</v>
      </c>
      <c r="Z812">
        <v>0</v>
      </c>
      <c r="AA812">
        <v>0</v>
      </c>
      <c r="AB812">
        <v>0</v>
      </c>
      <c r="AC812">
        <v>0</v>
      </c>
      <c r="AD812">
        <v>1461</v>
      </c>
    </row>
    <row r="813" spans="1:30" x14ac:dyDescent="0.25">
      <c r="H813" t="s">
        <v>1702</v>
      </c>
    </row>
    <row r="814" spans="1:30" x14ac:dyDescent="0.25">
      <c r="A814">
        <v>404</v>
      </c>
      <c r="B814">
        <v>2317</v>
      </c>
      <c r="C814" t="s">
        <v>1700</v>
      </c>
      <c r="D814" t="s">
        <v>566</v>
      </c>
      <c r="E814" t="s">
        <v>107</v>
      </c>
      <c r="F814" t="s">
        <v>1701</v>
      </c>
      <c r="G814" t="str">
        <f>"00249067"</f>
        <v>00249067</v>
      </c>
      <c r="H814">
        <v>803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70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84</v>
      </c>
      <c r="W814">
        <v>588</v>
      </c>
      <c r="X814">
        <v>0</v>
      </c>
      <c r="Z814">
        <v>0</v>
      </c>
      <c r="AA814">
        <v>0</v>
      </c>
      <c r="AB814">
        <v>0</v>
      </c>
      <c r="AC814">
        <v>0</v>
      </c>
      <c r="AD814">
        <v>1461</v>
      </c>
    </row>
    <row r="815" spans="1:30" x14ac:dyDescent="0.25">
      <c r="H815" t="s">
        <v>1702</v>
      </c>
    </row>
    <row r="816" spans="1:30" x14ac:dyDescent="0.25">
      <c r="A816">
        <v>405</v>
      </c>
      <c r="B816">
        <v>4217</v>
      </c>
      <c r="C816" t="s">
        <v>1703</v>
      </c>
      <c r="D816" t="s">
        <v>1704</v>
      </c>
      <c r="E816" t="s">
        <v>107</v>
      </c>
      <c r="F816" t="s">
        <v>1705</v>
      </c>
      <c r="G816" t="str">
        <f>"00142962"</f>
        <v>00142962</v>
      </c>
      <c r="H816">
        <v>803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70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84</v>
      </c>
      <c r="W816">
        <v>588</v>
      </c>
      <c r="X816">
        <v>0</v>
      </c>
      <c r="Z816">
        <v>0</v>
      </c>
      <c r="AA816">
        <v>0</v>
      </c>
      <c r="AB816">
        <v>0</v>
      </c>
      <c r="AC816">
        <v>0</v>
      </c>
      <c r="AD816">
        <v>1461</v>
      </c>
    </row>
    <row r="817" spans="1:30" x14ac:dyDescent="0.25">
      <c r="H817" t="s">
        <v>273</v>
      </c>
    </row>
    <row r="818" spans="1:30" x14ac:dyDescent="0.25">
      <c r="A818">
        <v>406</v>
      </c>
      <c r="B818">
        <v>2500</v>
      </c>
      <c r="C818" t="s">
        <v>1706</v>
      </c>
      <c r="D818" t="s">
        <v>1707</v>
      </c>
      <c r="E818" t="s">
        <v>290</v>
      </c>
      <c r="F818" t="s">
        <v>1708</v>
      </c>
      <c r="G818" t="str">
        <f>"00332178"</f>
        <v>00332178</v>
      </c>
      <c r="H818">
        <v>803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70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84</v>
      </c>
      <c r="W818">
        <v>588</v>
      </c>
      <c r="X818">
        <v>0</v>
      </c>
      <c r="Z818">
        <v>0</v>
      </c>
      <c r="AA818">
        <v>0</v>
      </c>
      <c r="AB818">
        <v>0</v>
      </c>
      <c r="AC818">
        <v>0</v>
      </c>
      <c r="AD818">
        <v>1461</v>
      </c>
    </row>
    <row r="819" spans="1:30" x14ac:dyDescent="0.25">
      <c r="H819" t="s">
        <v>1709</v>
      </c>
    </row>
    <row r="820" spans="1:30" x14ac:dyDescent="0.25">
      <c r="A820">
        <v>407</v>
      </c>
      <c r="B820">
        <v>1640</v>
      </c>
      <c r="C820" t="s">
        <v>1710</v>
      </c>
      <c r="D820" t="s">
        <v>75</v>
      </c>
      <c r="E820" t="s">
        <v>51</v>
      </c>
      <c r="F820" t="s">
        <v>1711</v>
      </c>
      <c r="G820" t="str">
        <f>"00309993"</f>
        <v>00309993</v>
      </c>
      <c r="H820">
        <v>792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30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33</v>
      </c>
      <c r="W820">
        <v>231</v>
      </c>
      <c r="X820">
        <v>0</v>
      </c>
      <c r="Z820">
        <v>0</v>
      </c>
      <c r="AA820">
        <v>0</v>
      </c>
      <c r="AB820">
        <v>24</v>
      </c>
      <c r="AC820">
        <v>408</v>
      </c>
      <c r="AD820">
        <v>1461</v>
      </c>
    </row>
    <row r="821" spans="1:30" x14ac:dyDescent="0.25">
      <c r="H821" t="s">
        <v>1712</v>
      </c>
    </row>
    <row r="822" spans="1:30" x14ac:dyDescent="0.25">
      <c r="A822">
        <v>408</v>
      </c>
      <c r="B822">
        <v>1991</v>
      </c>
      <c r="C822" t="s">
        <v>1713</v>
      </c>
      <c r="D822" t="s">
        <v>150</v>
      </c>
      <c r="E822" t="s">
        <v>239</v>
      </c>
      <c r="F822" t="s">
        <v>1714</v>
      </c>
      <c r="G822" t="str">
        <f>"201411003197"</f>
        <v>201411003197</v>
      </c>
      <c r="H822" t="s">
        <v>1131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70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40</v>
      </c>
      <c r="W822">
        <v>280</v>
      </c>
      <c r="X822">
        <v>0</v>
      </c>
      <c r="Z822">
        <v>0</v>
      </c>
      <c r="AA822">
        <v>0</v>
      </c>
      <c r="AB822">
        <v>24</v>
      </c>
      <c r="AC822">
        <v>408</v>
      </c>
      <c r="AD822" t="s">
        <v>1715</v>
      </c>
    </row>
    <row r="823" spans="1:30" x14ac:dyDescent="0.25">
      <c r="H823" t="s">
        <v>1716</v>
      </c>
    </row>
    <row r="824" spans="1:30" x14ac:dyDescent="0.25">
      <c r="A824">
        <v>409</v>
      </c>
      <c r="B824">
        <v>2741</v>
      </c>
      <c r="C824" t="s">
        <v>1717</v>
      </c>
      <c r="D824" t="s">
        <v>39</v>
      </c>
      <c r="E824" t="s">
        <v>1718</v>
      </c>
      <c r="F824" t="s">
        <v>1719</v>
      </c>
      <c r="G824" t="str">
        <f>"00155959"</f>
        <v>00155959</v>
      </c>
      <c r="H824" t="s">
        <v>1720</v>
      </c>
      <c r="I824">
        <v>0</v>
      </c>
      <c r="J824">
        <v>0</v>
      </c>
      <c r="K824">
        <v>0</v>
      </c>
      <c r="L824">
        <v>200</v>
      </c>
      <c r="M824">
        <v>0</v>
      </c>
      <c r="N824">
        <v>30</v>
      </c>
      <c r="O824">
        <v>0</v>
      </c>
      <c r="P824">
        <v>30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84</v>
      </c>
      <c r="W824">
        <v>588</v>
      </c>
      <c r="X824">
        <v>0</v>
      </c>
      <c r="Z824">
        <v>2</v>
      </c>
      <c r="AA824">
        <v>0</v>
      </c>
      <c r="AB824">
        <v>0</v>
      </c>
      <c r="AC824">
        <v>0</v>
      </c>
      <c r="AD824" t="s">
        <v>1721</v>
      </c>
    </row>
    <row r="825" spans="1:30" x14ac:dyDescent="0.25">
      <c r="H825" t="s">
        <v>1722</v>
      </c>
    </row>
    <row r="826" spans="1:30" x14ac:dyDescent="0.25">
      <c r="A826">
        <v>410</v>
      </c>
      <c r="B826">
        <v>2290</v>
      </c>
      <c r="C826" t="s">
        <v>1723</v>
      </c>
      <c r="D826" t="s">
        <v>1724</v>
      </c>
      <c r="E826" t="s">
        <v>176</v>
      </c>
      <c r="F826" t="s">
        <v>1725</v>
      </c>
      <c r="G826" t="str">
        <f>"00321886"</f>
        <v>00321886</v>
      </c>
      <c r="H826" t="s">
        <v>1726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70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84</v>
      </c>
      <c r="W826">
        <v>588</v>
      </c>
      <c r="X826">
        <v>0</v>
      </c>
      <c r="Z826">
        <v>0</v>
      </c>
      <c r="AA826">
        <v>0</v>
      </c>
      <c r="AB826">
        <v>0</v>
      </c>
      <c r="AC826">
        <v>0</v>
      </c>
      <c r="AD826" t="s">
        <v>1727</v>
      </c>
    </row>
    <row r="827" spans="1:30" x14ac:dyDescent="0.25">
      <c r="H827" t="s">
        <v>1728</v>
      </c>
    </row>
    <row r="828" spans="1:30" x14ac:dyDescent="0.25">
      <c r="A828">
        <v>411</v>
      </c>
      <c r="B828">
        <v>2665</v>
      </c>
      <c r="C828" t="s">
        <v>1729</v>
      </c>
      <c r="D828" t="s">
        <v>1599</v>
      </c>
      <c r="E828" t="s">
        <v>1730</v>
      </c>
      <c r="F828" t="s">
        <v>1731</v>
      </c>
      <c r="G828" t="str">
        <f>"00154377"</f>
        <v>00154377</v>
      </c>
      <c r="H828" t="s">
        <v>1732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30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55</v>
      </c>
      <c r="W828">
        <v>385</v>
      </c>
      <c r="X828">
        <v>0</v>
      </c>
      <c r="Z828">
        <v>0</v>
      </c>
      <c r="AA828">
        <v>0</v>
      </c>
      <c r="AB828">
        <v>24</v>
      </c>
      <c r="AC828">
        <v>408</v>
      </c>
      <c r="AD828" t="s">
        <v>1727</v>
      </c>
    </row>
    <row r="829" spans="1:30" x14ac:dyDescent="0.25">
      <c r="H829" t="s">
        <v>1733</v>
      </c>
    </row>
    <row r="830" spans="1:30" x14ac:dyDescent="0.25">
      <c r="A830">
        <v>412</v>
      </c>
      <c r="B830">
        <v>773</v>
      </c>
      <c r="C830" t="s">
        <v>1734</v>
      </c>
      <c r="D830" t="s">
        <v>182</v>
      </c>
      <c r="E830" t="s">
        <v>162</v>
      </c>
      <c r="F830" t="s">
        <v>1735</v>
      </c>
      <c r="G830" t="str">
        <f>"00153383"</f>
        <v>00153383</v>
      </c>
      <c r="H830" t="s">
        <v>1030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50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84</v>
      </c>
      <c r="W830">
        <v>588</v>
      </c>
      <c r="X830">
        <v>6</v>
      </c>
      <c r="Y830">
        <v>1251</v>
      </c>
      <c r="Z830">
        <v>2</v>
      </c>
      <c r="AA830">
        <v>0</v>
      </c>
      <c r="AB830">
        <v>0</v>
      </c>
      <c r="AC830">
        <v>0</v>
      </c>
      <c r="AD830" t="s">
        <v>1736</v>
      </c>
    </row>
    <row r="831" spans="1:30" x14ac:dyDescent="0.25">
      <c r="H831" t="s">
        <v>1737</v>
      </c>
    </row>
    <row r="832" spans="1:30" x14ac:dyDescent="0.25">
      <c r="A832">
        <v>413</v>
      </c>
      <c r="B832">
        <v>773</v>
      </c>
      <c r="C832" t="s">
        <v>1734</v>
      </c>
      <c r="D832" t="s">
        <v>182</v>
      </c>
      <c r="E832" t="s">
        <v>162</v>
      </c>
      <c r="F832" t="s">
        <v>1735</v>
      </c>
      <c r="G832" t="str">
        <f>"00153383"</f>
        <v>00153383</v>
      </c>
      <c r="H832" t="s">
        <v>1030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50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84</v>
      </c>
      <c r="W832">
        <v>588</v>
      </c>
      <c r="X832">
        <v>0</v>
      </c>
      <c r="Z832">
        <v>2</v>
      </c>
      <c r="AA832">
        <v>0</v>
      </c>
      <c r="AB832">
        <v>0</v>
      </c>
      <c r="AC832">
        <v>0</v>
      </c>
      <c r="AD832" t="s">
        <v>1736</v>
      </c>
    </row>
    <row r="833" spans="1:30" x14ac:dyDescent="0.25">
      <c r="H833" t="s">
        <v>1737</v>
      </c>
    </row>
    <row r="834" spans="1:30" x14ac:dyDescent="0.25">
      <c r="A834">
        <v>414</v>
      </c>
      <c r="B834">
        <v>2287</v>
      </c>
      <c r="C834" t="s">
        <v>1738</v>
      </c>
      <c r="D834" t="s">
        <v>223</v>
      </c>
      <c r="E834" t="s">
        <v>47</v>
      </c>
      <c r="F834" t="s">
        <v>1739</v>
      </c>
      <c r="G834" t="str">
        <f>"201410009264"</f>
        <v>201410009264</v>
      </c>
      <c r="H834" t="s">
        <v>94</v>
      </c>
      <c r="I834">
        <v>0</v>
      </c>
      <c r="J834">
        <v>0</v>
      </c>
      <c r="K834">
        <v>0</v>
      </c>
      <c r="L834">
        <v>200</v>
      </c>
      <c r="M834">
        <v>0</v>
      </c>
      <c r="N834">
        <v>30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15</v>
      </c>
      <c r="W834">
        <v>105</v>
      </c>
      <c r="X834">
        <v>0</v>
      </c>
      <c r="Z834">
        <v>2</v>
      </c>
      <c r="AA834">
        <v>0</v>
      </c>
      <c r="AB834">
        <v>22</v>
      </c>
      <c r="AC834">
        <v>374</v>
      </c>
      <c r="AD834" t="s">
        <v>1740</v>
      </c>
    </row>
    <row r="835" spans="1:30" x14ac:dyDescent="0.25">
      <c r="H835" t="s">
        <v>1741</v>
      </c>
    </row>
    <row r="836" spans="1:30" x14ac:dyDescent="0.25">
      <c r="A836">
        <v>415</v>
      </c>
      <c r="B836">
        <v>541</v>
      </c>
      <c r="C836" t="s">
        <v>1742</v>
      </c>
      <c r="D836" t="s">
        <v>1743</v>
      </c>
      <c r="E836" t="s">
        <v>509</v>
      </c>
      <c r="F836" t="s">
        <v>1744</v>
      </c>
      <c r="G836" t="str">
        <f>"201304001186"</f>
        <v>201304001186</v>
      </c>
      <c r="H836" t="s">
        <v>226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70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30</v>
      </c>
      <c r="W836">
        <v>210</v>
      </c>
      <c r="X836">
        <v>0</v>
      </c>
      <c r="Z836">
        <v>0</v>
      </c>
      <c r="AA836">
        <v>0</v>
      </c>
      <c r="AB836">
        <v>24</v>
      </c>
      <c r="AC836">
        <v>408</v>
      </c>
      <c r="AD836" t="s">
        <v>1745</v>
      </c>
    </row>
    <row r="837" spans="1:30" x14ac:dyDescent="0.25">
      <c r="H837" t="s">
        <v>1746</v>
      </c>
    </row>
    <row r="838" spans="1:30" x14ac:dyDescent="0.25">
      <c r="A838">
        <v>416</v>
      </c>
      <c r="B838">
        <v>4349</v>
      </c>
      <c r="C838" t="s">
        <v>1747</v>
      </c>
      <c r="D838" t="s">
        <v>346</v>
      </c>
      <c r="E838" t="s">
        <v>468</v>
      </c>
      <c r="F838" t="s">
        <v>1748</v>
      </c>
      <c r="G838" t="str">
        <f>"201406015740"</f>
        <v>201406015740</v>
      </c>
      <c r="H838">
        <v>803</v>
      </c>
      <c r="I838">
        <v>150</v>
      </c>
      <c r="J838">
        <v>0</v>
      </c>
      <c r="K838">
        <v>0</v>
      </c>
      <c r="L838">
        <v>0</v>
      </c>
      <c r="M838">
        <v>0</v>
      </c>
      <c r="N838">
        <v>30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68</v>
      </c>
      <c r="W838">
        <v>476</v>
      </c>
      <c r="X838">
        <v>0</v>
      </c>
      <c r="Z838">
        <v>0</v>
      </c>
      <c r="AA838">
        <v>0</v>
      </c>
      <c r="AB838">
        <v>0</v>
      </c>
      <c r="AC838">
        <v>0</v>
      </c>
      <c r="AD838">
        <v>1459</v>
      </c>
    </row>
    <row r="839" spans="1:30" x14ac:dyDescent="0.25">
      <c r="H839" t="s">
        <v>1749</v>
      </c>
    </row>
    <row r="840" spans="1:30" x14ac:dyDescent="0.25">
      <c r="A840">
        <v>417</v>
      </c>
      <c r="B840">
        <v>4888</v>
      </c>
      <c r="C840" t="s">
        <v>1750</v>
      </c>
      <c r="D840" t="s">
        <v>39</v>
      </c>
      <c r="E840" t="s">
        <v>51</v>
      </c>
      <c r="F840" t="s">
        <v>1751</v>
      </c>
      <c r="G840" t="str">
        <f>"201405000428"</f>
        <v>201405000428</v>
      </c>
      <c r="H840">
        <v>671</v>
      </c>
      <c r="I840">
        <v>0</v>
      </c>
      <c r="J840">
        <v>0</v>
      </c>
      <c r="K840">
        <v>0</v>
      </c>
      <c r="L840">
        <v>200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84</v>
      </c>
      <c r="W840">
        <v>588</v>
      </c>
      <c r="X840">
        <v>0</v>
      </c>
      <c r="Z840">
        <v>0</v>
      </c>
      <c r="AA840">
        <v>0</v>
      </c>
      <c r="AB840">
        <v>0</v>
      </c>
      <c r="AC840">
        <v>0</v>
      </c>
      <c r="AD840">
        <v>1459</v>
      </c>
    </row>
    <row r="841" spans="1:30" x14ac:dyDescent="0.25">
      <c r="H841">
        <v>1250</v>
      </c>
    </row>
    <row r="842" spans="1:30" x14ac:dyDescent="0.25">
      <c r="A842">
        <v>418</v>
      </c>
      <c r="B842">
        <v>3638</v>
      </c>
      <c r="C842" t="s">
        <v>1752</v>
      </c>
      <c r="D842" t="s">
        <v>869</v>
      </c>
      <c r="E842" t="s">
        <v>39</v>
      </c>
      <c r="F842" t="s">
        <v>1753</v>
      </c>
      <c r="G842" t="str">
        <f>"00012961"</f>
        <v>00012961</v>
      </c>
      <c r="H842" t="s">
        <v>1043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84</v>
      </c>
      <c r="W842">
        <v>588</v>
      </c>
      <c r="X842">
        <v>0</v>
      </c>
      <c r="Z842">
        <v>0</v>
      </c>
      <c r="AA842">
        <v>0</v>
      </c>
      <c r="AB842">
        <v>0</v>
      </c>
      <c r="AC842">
        <v>0</v>
      </c>
      <c r="AD842" t="s">
        <v>1754</v>
      </c>
    </row>
    <row r="843" spans="1:30" x14ac:dyDescent="0.25">
      <c r="H843" t="s">
        <v>1755</v>
      </c>
    </row>
    <row r="844" spans="1:30" x14ac:dyDescent="0.25">
      <c r="A844">
        <v>419</v>
      </c>
      <c r="B844">
        <v>811</v>
      </c>
      <c r="C844" t="s">
        <v>1756</v>
      </c>
      <c r="D844" t="s">
        <v>134</v>
      </c>
      <c r="E844" t="s">
        <v>190</v>
      </c>
      <c r="F844" t="s">
        <v>1757</v>
      </c>
      <c r="G844" t="str">
        <f>"201604000606"</f>
        <v>201604000606</v>
      </c>
      <c r="H844">
        <v>1078</v>
      </c>
      <c r="I844">
        <v>150</v>
      </c>
      <c r="J844">
        <v>0</v>
      </c>
      <c r="K844">
        <v>0</v>
      </c>
      <c r="L844">
        <v>200</v>
      </c>
      <c r="M844">
        <v>0</v>
      </c>
      <c r="N844">
        <v>30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Z844">
        <v>0</v>
      </c>
      <c r="AA844">
        <v>0</v>
      </c>
      <c r="AB844">
        <v>0</v>
      </c>
      <c r="AC844">
        <v>0</v>
      </c>
      <c r="AD844">
        <v>1458</v>
      </c>
    </row>
    <row r="845" spans="1:30" x14ac:dyDescent="0.25">
      <c r="H845" t="s">
        <v>1758</v>
      </c>
    </row>
    <row r="846" spans="1:30" x14ac:dyDescent="0.25">
      <c r="A846">
        <v>420</v>
      </c>
      <c r="B846">
        <v>5040</v>
      </c>
      <c r="C846" t="s">
        <v>1759</v>
      </c>
      <c r="D846" t="s">
        <v>544</v>
      </c>
      <c r="E846" t="s">
        <v>183</v>
      </c>
      <c r="F846" t="s">
        <v>1760</v>
      </c>
      <c r="G846" t="str">
        <f>"201406012290"</f>
        <v>201406012290</v>
      </c>
      <c r="H846" t="s">
        <v>417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30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84</v>
      </c>
      <c r="W846">
        <v>588</v>
      </c>
      <c r="X846">
        <v>0</v>
      </c>
      <c r="Z846">
        <v>0</v>
      </c>
      <c r="AA846">
        <v>0</v>
      </c>
      <c r="AB846">
        <v>0</v>
      </c>
      <c r="AC846">
        <v>0</v>
      </c>
      <c r="AD846" t="s">
        <v>1761</v>
      </c>
    </row>
    <row r="847" spans="1:30" x14ac:dyDescent="0.25">
      <c r="H847" t="s">
        <v>1762</v>
      </c>
    </row>
    <row r="848" spans="1:30" x14ac:dyDescent="0.25">
      <c r="A848">
        <v>421</v>
      </c>
      <c r="B848">
        <v>4425</v>
      </c>
      <c r="C848" t="s">
        <v>1763</v>
      </c>
      <c r="D848" t="s">
        <v>1764</v>
      </c>
      <c r="E848" t="s">
        <v>47</v>
      </c>
      <c r="F848" t="s">
        <v>1765</v>
      </c>
      <c r="G848" t="str">
        <f>"00152569"</f>
        <v>00152569</v>
      </c>
      <c r="H848" t="s">
        <v>417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84</v>
      </c>
      <c r="W848">
        <v>588</v>
      </c>
      <c r="X848">
        <v>0</v>
      </c>
      <c r="Z848">
        <v>0</v>
      </c>
      <c r="AA848">
        <v>0</v>
      </c>
      <c r="AB848">
        <v>0</v>
      </c>
      <c r="AC848">
        <v>0</v>
      </c>
      <c r="AD848" t="s">
        <v>1761</v>
      </c>
    </row>
    <row r="849" spans="1:30" x14ac:dyDescent="0.25">
      <c r="H849" t="s">
        <v>864</v>
      </c>
    </row>
    <row r="850" spans="1:30" x14ac:dyDescent="0.25">
      <c r="A850">
        <v>422</v>
      </c>
      <c r="B850">
        <v>846</v>
      </c>
      <c r="C850" t="s">
        <v>1766</v>
      </c>
      <c r="D850" t="s">
        <v>98</v>
      </c>
      <c r="E850" t="s">
        <v>47</v>
      </c>
      <c r="F850" t="s">
        <v>1767</v>
      </c>
      <c r="G850" t="str">
        <f>"201406007471"</f>
        <v>201406007471</v>
      </c>
      <c r="H850" t="s">
        <v>1768</v>
      </c>
      <c r="I850">
        <v>150</v>
      </c>
      <c r="J850">
        <v>0</v>
      </c>
      <c r="K850">
        <v>0</v>
      </c>
      <c r="L850">
        <v>0</v>
      </c>
      <c r="M850">
        <v>0</v>
      </c>
      <c r="N850">
        <v>70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59</v>
      </c>
      <c r="W850">
        <v>413</v>
      </c>
      <c r="X850">
        <v>0</v>
      </c>
      <c r="Z850">
        <v>0</v>
      </c>
      <c r="AA850">
        <v>0</v>
      </c>
      <c r="AB850">
        <v>0</v>
      </c>
      <c r="AC850">
        <v>0</v>
      </c>
      <c r="AD850" t="s">
        <v>1769</v>
      </c>
    </row>
    <row r="851" spans="1:30" x14ac:dyDescent="0.25">
      <c r="H851" t="s">
        <v>1770</v>
      </c>
    </row>
    <row r="852" spans="1:30" x14ac:dyDescent="0.25">
      <c r="A852">
        <v>423</v>
      </c>
      <c r="B852">
        <v>3469</v>
      </c>
      <c r="C852" t="s">
        <v>1771</v>
      </c>
      <c r="D852" t="s">
        <v>1772</v>
      </c>
      <c r="E852" t="s">
        <v>33</v>
      </c>
      <c r="F852" t="s">
        <v>1773</v>
      </c>
      <c r="G852" t="str">
        <f>"00142092"</f>
        <v>00142092</v>
      </c>
      <c r="H852" t="s">
        <v>1774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30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84</v>
      </c>
      <c r="W852">
        <v>588</v>
      </c>
      <c r="X852">
        <v>0</v>
      </c>
      <c r="Z852">
        <v>0</v>
      </c>
      <c r="AA852">
        <v>0</v>
      </c>
      <c r="AB852">
        <v>0</v>
      </c>
      <c r="AC852">
        <v>0</v>
      </c>
      <c r="AD852" t="s">
        <v>1775</v>
      </c>
    </row>
    <row r="853" spans="1:30" x14ac:dyDescent="0.25">
      <c r="H853" t="s">
        <v>1776</v>
      </c>
    </row>
    <row r="854" spans="1:30" x14ac:dyDescent="0.25">
      <c r="A854">
        <v>424</v>
      </c>
      <c r="B854">
        <v>1386</v>
      </c>
      <c r="C854" t="s">
        <v>1777</v>
      </c>
      <c r="D854" t="s">
        <v>223</v>
      </c>
      <c r="E854" t="s">
        <v>91</v>
      </c>
      <c r="F854" t="s">
        <v>1778</v>
      </c>
      <c r="G854" t="str">
        <f>"00305344"</f>
        <v>00305344</v>
      </c>
      <c r="H854" t="s">
        <v>1779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70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84</v>
      </c>
      <c r="W854">
        <v>588</v>
      </c>
      <c r="X854">
        <v>0</v>
      </c>
      <c r="Z854">
        <v>0</v>
      </c>
      <c r="AA854">
        <v>0</v>
      </c>
      <c r="AB854">
        <v>0</v>
      </c>
      <c r="AC854">
        <v>0</v>
      </c>
      <c r="AD854" t="s">
        <v>1780</v>
      </c>
    </row>
    <row r="855" spans="1:30" x14ac:dyDescent="0.25">
      <c r="H855" t="s">
        <v>1781</v>
      </c>
    </row>
    <row r="856" spans="1:30" x14ac:dyDescent="0.25">
      <c r="A856">
        <v>425</v>
      </c>
      <c r="B856">
        <v>1665</v>
      </c>
      <c r="C856" t="s">
        <v>1782</v>
      </c>
      <c r="D856" t="s">
        <v>1783</v>
      </c>
      <c r="E856" t="s">
        <v>40</v>
      </c>
      <c r="F856" t="s">
        <v>1784</v>
      </c>
      <c r="G856" t="str">
        <f>"200801005476"</f>
        <v>200801005476</v>
      </c>
      <c r="H856">
        <v>737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71</v>
      </c>
      <c r="W856">
        <v>497</v>
      </c>
      <c r="X856">
        <v>0</v>
      </c>
      <c r="Z856">
        <v>0</v>
      </c>
      <c r="AA856">
        <v>0</v>
      </c>
      <c r="AB856">
        <v>13</v>
      </c>
      <c r="AC856">
        <v>221</v>
      </c>
      <c r="AD856">
        <v>1455</v>
      </c>
    </row>
    <row r="857" spans="1:30" x14ac:dyDescent="0.25">
      <c r="H857" t="s">
        <v>712</v>
      </c>
    </row>
    <row r="858" spans="1:30" x14ac:dyDescent="0.25">
      <c r="A858">
        <v>426</v>
      </c>
      <c r="B858">
        <v>5274</v>
      </c>
      <c r="C858" t="s">
        <v>1785</v>
      </c>
      <c r="D858" t="s">
        <v>599</v>
      </c>
      <c r="E858" t="s">
        <v>183</v>
      </c>
      <c r="F858" t="s">
        <v>1786</v>
      </c>
      <c r="G858" t="str">
        <f>"00351982"</f>
        <v>00351982</v>
      </c>
      <c r="H858">
        <v>836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30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84</v>
      </c>
      <c r="W858">
        <v>588</v>
      </c>
      <c r="X858">
        <v>0</v>
      </c>
      <c r="Z858">
        <v>2</v>
      </c>
      <c r="AA858">
        <v>0</v>
      </c>
      <c r="AB858">
        <v>0</v>
      </c>
      <c r="AC858">
        <v>0</v>
      </c>
      <c r="AD858">
        <v>1454</v>
      </c>
    </row>
    <row r="859" spans="1:30" x14ac:dyDescent="0.25">
      <c r="H859" t="s">
        <v>1787</v>
      </c>
    </row>
    <row r="860" spans="1:30" x14ac:dyDescent="0.25">
      <c r="A860">
        <v>427</v>
      </c>
      <c r="B860">
        <v>1289</v>
      </c>
      <c r="C860" t="s">
        <v>1788</v>
      </c>
      <c r="D860" t="s">
        <v>75</v>
      </c>
      <c r="E860" t="s">
        <v>51</v>
      </c>
      <c r="F860" t="s">
        <v>1789</v>
      </c>
      <c r="G860" t="str">
        <f>"00187815"</f>
        <v>00187815</v>
      </c>
      <c r="H860">
        <v>836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30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84</v>
      </c>
      <c r="W860">
        <v>588</v>
      </c>
      <c r="X860">
        <v>0</v>
      </c>
      <c r="Z860">
        <v>0</v>
      </c>
      <c r="AA860">
        <v>0</v>
      </c>
      <c r="AB860">
        <v>0</v>
      </c>
      <c r="AC860">
        <v>0</v>
      </c>
      <c r="AD860">
        <v>1454</v>
      </c>
    </row>
    <row r="861" spans="1:30" x14ac:dyDescent="0.25">
      <c r="H861">
        <v>1247</v>
      </c>
    </row>
    <row r="862" spans="1:30" x14ac:dyDescent="0.25">
      <c r="A862">
        <v>428</v>
      </c>
      <c r="B862">
        <v>2627</v>
      </c>
      <c r="C862" t="s">
        <v>1790</v>
      </c>
      <c r="D862" t="s">
        <v>335</v>
      </c>
      <c r="E862" t="s">
        <v>1791</v>
      </c>
      <c r="F862" t="s">
        <v>1792</v>
      </c>
      <c r="G862" t="str">
        <f>"00185776"</f>
        <v>00185776</v>
      </c>
      <c r="H862" t="s">
        <v>110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50</v>
      </c>
      <c r="O862">
        <v>0</v>
      </c>
      <c r="P862">
        <v>0</v>
      </c>
      <c r="Q862">
        <v>30</v>
      </c>
      <c r="R862">
        <v>0</v>
      </c>
      <c r="S862">
        <v>0</v>
      </c>
      <c r="T862">
        <v>0</v>
      </c>
      <c r="U862">
        <v>0</v>
      </c>
      <c r="V862">
        <v>84</v>
      </c>
      <c r="W862">
        <v>588</v>
      </c>
      <c r="X862">
        <v>0</v>
      </c>
      <c r="Z862">
        <v>0</v>
      </c>
      <c r="AA862">
        <v>0</v>
      </c>
      <c r="AB862">
        <v>0</v>
      </c>
      <c r="AC862">
        <v>0</v>
      </c>
      <c r="AD862" t="s">
        <v>1793</v>
      </c>
    </row>
    <row r="863" spans="1:30" x14ac:dyDescent="0.25">
      <c r="H863" t="s">
        <v>1601</v>
      </c>
    </row>
    <row r="864" spans="1:30" x14ac:dyDescent="0.25">
      <c r="A864">
        <v>429</v>
      </c>
      <c r="B864">
        <v>6253</v>
      </c>
      <c r="C864" t="s">
        <v>1794</v>
      </c>
      <c r="D864" t="s">
        <v>335</v>
      </c>
      <c r="E864" t="s">
        <v>107</v>
      </c>
      <c r="F864" t="s">
        <v>1795</v>
      </c>
      <c r="G864" t="str">
        <f>"201406005790"</f>
        <v>201406005790</v>
      </c>
      <c r="H864" t="s">
        <v>110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50</v>
      </c>
      <c r="O864">
        <v>30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84</v>
      </c>
      <c r="W864">
        <v>588</v>
      </c>
      <c r="X864">
        <v>0</v>
      </c>
      <c r="Z864">
        <v>0</v>
      </c>
      <c r="AA864">
        <v>0</v>
      </c>
      <c r="AB864">
        <v>0</v>
      </c>
      <c r="AC864">
        <v>0</v>
      </c>
      <c r="AD864" t="s">
        <v>1793</v>
      </c>
    </row>
    <row r="865" spans="1:30" x14ac:dyDescent="0.25">
      <c r="H865" t="s">
        <v>1796</v>
      </c>
    </row>
    <row r="866" spans="1:30" x14ac:dyDescent="0.25">
      <c r="A866">
        <v>430</v>
      </c>
      <c r="B866">
        <v>1673</v>
      </c>
      <c r="C866" t="s">
        <v>1797</v>
      </c>
      <c r="D866" t="s">
        <v>335</v>
      </c>
      <c r="E866" t="s">
        <v>509</v>
      </c>
      <c r="F866" t="s">
        <v>1798</v>
      </c>
      <c r="G866" t="str">
        <f>"00151339"</f>
        <v>00151339</v>
      </c>
      <c r="H866">
        <v>803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30</v>
      </c>
      <c r="O866">
        <v>30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84</v>
      </c>
      <c r="W866">
        <v>588</v>
      </c>
      <c r="X866">
        <v>0</v>
      </c>
      <c r="Z866">
        <v>2</v>
      </c>
      <c r="AA866">
        <v>0</v>
      </c>
      <c r="AB866">
        <v>0</v>
      </c>
      <c r="AC866">
        <v>0</v>
      </c>
      <c r="AD866">
        <v>1451</v>
      </c>
    </row>
    <row r="867" spans="1:30" x14ac:dyDescent="0.25">
      <c r="H867" t="s">
        <v>1799</v>
      </c>
    </row>
    <row r="868" spans="1:30" x14ac:dyDescent="0.25">
      <c r="A868">
        <v>431</v>
      </c>
      <c r="B868">
        <v>5839</v>
      </c>
      <c r="C868" t="s">
        <v>1800</v>
      </c>
      <c r="D868" t="s">
        <v>1801</v>
      </c>
      <c r="E868" t="s">
        <v>39</v>
      </c>
      <c r="F868" t="s">
        <v>1802</v>
      </c>
      <c r="G868" t="str">
        <f>"201402003677"</f>
        <v>201402003677</v>
      </c>
      <c r="H868">
        <v>693</v>
      </c>
      <c r="I868">
        <v>0</v>
      </c>
      <c r="J868">
        <v>0</v>
      </c>
      <c r="K868">
        <v>0</v>
      </c>
      <c r="L868">
        <v>0</v>
      </c>
      <c r="M868">
        <v>100</v>
      </c>
      <c r="N868">
        <v>70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84</v>
      </c>
      <c r="W868">
        <v>588</v>
      </c>
      <c r="X868">
        <v>0</v>
      </c>
      <c r="Z868">
        <v>2</v>
      </c>
      <c r="AA868">
        <v>0</v>
      </c>
      <c r="AB868">
        <v>0</v>
      </c>
      <c r="AC868">
        <v>0</v>
      </c>
      <c r="AD868">
        <v>1451</v>
      </c>
    </row>
    <row r="869" spans="1:30" x14ac:dyDescent="0.25">
      <c r="H869" t="s">
        <v>1803</v>
      </c>
    </row>
    <row r="870" spans="1:30" x14ac:dyDescent="0.25">
      <c r="A870">
        <v>432</v>
      </c>
      <c r="B870">
        <v>5342</v>
      </c>
      <c r="C870" t="s">
        <v>1804</v>
      </c>
      <c r="D870" t="s">
        <v>616</v>
      </c>
      <c r="E870" t="s">
        <v>15</v>
      </c>
      <c r="F870" t="s">
        <v>1805</v>
      </c>
      <c r="G870" t="str">
        <f>"201406001588"</f>
        <v>201406001588</v>
      </c>
      <c r="H870" t="s">
        <v>1806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70</v>
      </c>
      <c r="O870">
        <v>0</v>
      </c>
      <c r="P870">
        <v>50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84</v>
      </c>
      <c r="W870">
        <v>588</v>
      </c>
      <c r="X870">
        <v>0</v>
      </c>
      <c r="Z870">
        <v>0</v>
      </c>
      <c r="AA870">
        <v>0</v>
      </c>
      <c r="AB870">
        <v>0</v>
      </c>
      <c r="AC870">
        <v>0</v>
      </c>
      <c r="AD870" t="s">
        <v>1807</v>
      </c>
    </row>
    <row r="871" spans="1:30" x14ac:dyDescent="0.25">
      <c r="H871" t="s">
        <v>1808</v>
      </c>
    </row>
    <row r="872" spans="1:30" x14ac:dyDescent="0.25">
      <c r="A872">
        <v>433</v>
      </c>
      <c r="B872">
        <v>4484</v>
      </c>
      <c r="C872" t="s">
        <v>1809</v>
      </c>
      <c r="D872" t="s">
        <v>1810</v>
      </c>
      <c r="E872" t="s">
        <v>140</v>
      </c>
      <c r="F872" t="s">
        <v>1811</v>
      </c>
      <c r="G872" t="str">
        <f>"200801009211"</f>
        <v>200801009211</v>
      </c>
      <c r="H872" t="s">
        <v>1371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70</v>
      </c>
      <c r="O872">
        <v>0</v>
      </c>
      <c r="P872">
        <v>30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84</v>
      </c>
      <c r="W872">
        <v>588</v>
      </c>
      <c r="X872">
        <v>0</v>
      </c>
      <c r="Z872">
        <v>0</v>
      </c>
      <c r="AA872">
        <v>0</v>
      </c>
      <c r="AB872">
        <v>0</v>
      </c>
      <c r="AC872">
        <v>0</v>
      </c>
      <c r="AD872" t="s">
        <v>1812</v>
      </c>
    </row>
    <row r="873" spans="1:30" x14ac:dyDescent="0.25">
      <c r="H873" t="s">
        <v>1813</v>
      </c>
    </row>
    <row r="874" spans="1:30" x14ac:dyDescent="0.25">
      <c r="A874">
        <v>434</v>
      </c>
      <c r="B874">
        <v>3963</v>
      </c>
      <c r="C874" t="s">
        <v>1814</v>
      </c>
      <c r="D874" t="s">
        <v>46</v>
      </c>
      <c r="E874" t="s">
        <v>39</v>
      </c>
      <c r="F874" t="s">
        <v>1815</v>
      </c>
      <c r="G874" t="str">
        <f>"201406006085"</f>
        <v>201406006085</v>
      </c>
      <c r="H874">
        <v>792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70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84</v>
      </c>
      <c r="W874">
        <v>588</v>
      </c>
      <c r="X874">
        <v>0</v>
      </c>
      <c r="Z874">
        <v>0</v>
      </c>
      <c r="AA874">
        <v>0</v>
      </c>
      <c r="AB874">
        <v>0</v>
      </c>
      <c r="AC874">
        <v>0</v>
      </c>
      <c r="AD874">
        <v>1450</v>
      </c>
    </row>
    <row r="875" spans="1:30" x14ac:dyDescent="0.25">
      <c r="H875" t="s">
        <v>1816</v>
      </c>
    </row>
    <row r="876" spans="1:30" x14ac:dyDescent="0.25">
      <c r="A876">
        <v>435</v>
      </c>
      <c r="B876">
        <v>1971</v>
      </c>
      <c r="C876" t="s">
        <v>1817</v>
      </c>
      <c r="D876" t="s">
        <v>208</v>
      </c>
      <c r="E876" t="s">
        <v>107</v>
      </c>
      <c r="F876" t="s">
        <v>1818</v>
      </c>
      <c r="G876" t="str">
        <f>"200805000510"</f>
        <v>200805000510</v>
      </c>
      <c r="H876">
        <v>792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70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84</v>
      </c>
      <c r="W876">
        <v>588</v>
      </c>
      <c r="X876">
        <v>0</v>
      </c>
      <c r="Z876">
        <v>1</v>
      </c>
      <c r="AA876">
        <v>0</v>
      </c>
      <c r="AB876">
        <v>0</v>
      </c>
      <c r="AC876">
        <v>0</v>
      </c>
      <c r="AD876">
        <v>1450</v>
      </c>
    </row>
    <row r="877" spans="1:30" x14ac:dyDescent="0.25">
      <c r="H877" t="s">
        <v>1819</v>
      </c>
    </row>
    <row r="878" spans="1:30" x14ac:dyDescent="0.25">
      <c r="A878">
        <v>436</v>
      </c>
      <c r="B878">
        <v>5358</v>
      </c>
      <c r="C878" t="s">
        <v>188</v>
      </c>
      <c r="D878" t="s">
        <v>296</v>
      </c>
      <c r="E878" t="s">
        <v>107</v>
      </c>
      <c r="F878" t="s">
        <v>1820</v>
      </c>
      <c r="G878" t="str">
        <f>"00367598"</f>
        <v>00367598</v>
      </c>
      <c r="H878" t="s">
        <v>1054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30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77</v>
      </c>
      <c r="W878">
        <v>539</v>
      </c>
      <c r="X878">
        <v>0</v>
      </c>
      <c r="Z878">
        <v>0</v>
      </c>
      <c r="AA878">
        <v>0</v>
      </c>
      <c r="AB878">
        <v>7</v>
      </c>
      <c r="AC878">
        <v>119</v>
      </c>
      <c r="AD878" t="s">
        <v>1821</v>
      </c>
    </row>
    <row r="879" spans="1:30" x14ac:dyDescent="0.25">
      <c r="H879" t="s">
        <v>1822</v>
      </c>
    </row>
    <row r="880" spans="1:30" x14ac:dyDescent="0.25">
      <c r="A880">
        <v>437</v>
      </c>
      <c r="B880">
        <v>2883</v>
      </c>
      <c r="C880" t="s">
        <v>1823</v>
      </c>
      <c r="D880" t="s">
        <v>681</v>
      </c>
      <c r="E880" t="s">
        <v>39</v>
      </c>
      <c r="F880" t="s">
        <v>1824</v>
      </c>
      <c r="G880" t="str">
        <f>"00167438"</f>
        <v>00167438</v>
      </c>
      <c r="H880" t="s">
        <v>1825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50</v>
      </c>
      <c r="O880">
        <v>70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84</v>
      </c>
      <c r="W880">
        <v>588</v>
      </c>
      <c r="X880">
        <v>0</v>
      </c>
      <c r="Z880">
        <v>0</v>
      </c>
      <c r="AA880">
        <v>0</v>
      </c>
      <c r="AB880">
        <v>0</v>
      </c>
      <c r="AC880">
        <v>0</v>
      </c>
      <c r="AD880" t="s">
        <v>1826</v>
      </c>
    </row>
    <row r="881" spans="1:30" x14ac:dyDescent="0.25">
      <c r="H881" t="s">
        <v>1827</v>
      </c>
    </row>
    <row r="882" spans="1:30" x14ac:dyDescent="0.25">
      <c r="A882">
        <v>438</v>
      </c>
      <c r="B882">
        <v>5962</v>
      </c>
      <c r="C882" t="s">
        <v>1828</v>
      </c>
      <c r="D882" t="s">
        <v>223</v>
      </c>
      <c r="E882" t="s">
        <v>40</v>
      </c>
      <c r="F882" t="s">
        <v>1829</v>
      </c>
      <c r="G882" t="str">
        <f>"201406003942"</f>
        <v>201406003942</v>
      </c>
      <c r="H882" t="s">
        <v>71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30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84</v>
      </c>
      <c r="W882">
        <v>588</v>
      </c>
      <c r="X882">
        <v>0</v>
      </c>
      <c r="Z882">
        <v>0</v>
      </c>
      <c r="AA882">
        <v>0</v>
      </c>
      <c r="AB882">
        <v>0</v>
      </c>
      <c r="AC882">
        <v>0</v>
      </c>
      <c r="AD882" t="s">
        <v>1830</v>
      </c>
    </row>
    <row r="883" spans="1:30" x14ac:dyDescent="0.25">
      <c r="H883" t="s">
        <v>1831</v>
      </c>
    </row>
    <row r="884" spans="1:30" x14ac:dyDescent="0.25">
      <c r="A884">
        <v>439</v>
      </c>
      <c r="B884">
        <v>4094</v>
      </c>
      <c r="C884" t="s">
        <v>1832</v>
      </c>
      <c r="D884" t="s">
        <v>182</v>
      </c>
      <c r="E884" t="s">
        <v>183</v>
      </c>
      <c r="F884" t="s">
        <v>1833</v>
      </c>
      <c r="G884" t="str">
        <f>"00225350"</f>
        <v>00225350</v>
      </c>
      <c r="H884">
        <v>748</v>
      </c>
      <c r="I884">
        <v>0</v>
      </c>
      <c r="J884">
        <v>0</v>
      </c>
      <c r="K884">
        <v>0</v>
      </c>
      <c r="L884">
        <v>200</v>
      </c>
      <c r="M884">
        <v>0</v>
      </c>
      <c r="N884">
        <v>30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67</v>
      </c>
      <c r="W884">
        <v>469</v>
      </c>
      <c r="X884">
        <v>0</v>
      </c>
      <c r="Z884">
        <v>2</v>
      </c>
      <c r="AA884">
        <v>0</v>
      </c>
      <c r="AB884">
        <v>0</v>
      </c>
      <c r="AC884">
        <v>0</v>
      </c>
      <c r="AD884">
        <v>1447</v>
      </c>
    </row>
    <row r="885" spans="1:30" x14ac:dyDescent="0.25">
      <c r="H885" t="s">
        <v>1834</v>
      </c>
    </row>
    <row r="886" spans="1:30" x14ac:dyDescent="0.25">
      <c r="A886">
        <v>440</v>
      </c>
      <c r="B886">
        <v>3238</v>
      </c>
      <c r="C886" t="s">
        <v>1835</v>
      </c>
      <c r="D886" t="s">
        <v>474</v>
      </c>
      <c r="E886" t="s">
        <v>47</v>
      </c>
      <c r="F886" t="s">
        <v>1836</v>
      </c>
      <c r="G886" t="str">
        <f>"201402005502"</f>
        <v>201402005502</v>
      </c>
      <c r="H886" t="s">
        <v>1768</v>
      </c>
      <c r="I886">
        <v>0</v>
      </c>
      <c r="J886">
        <v>0</v>
      </c>
      <c r="K886">
        <v>0</v>
      </c>
      <c r="L886">
        <v>200</v>
      </c>
      <c r="M886">
        <v>0</v>
      </c>
      <c r="N886">
        <v>50</v>
      </c>
      <c r="O886">
        <v>30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49</v>
      </c>
      <c r="W886">
        <v>343</v>
      </c>
      <c r="X886">
        <v>0</v>
      </c>
      <c r="Z886">
        <v>0</v>
      </c>
      <c r="AA886">
        <v>0</v>
      </c>
      <c r="AB886">
        <v>0</v>
      </c>
      <c r="AC886">
        <v>0</v>
      </c>
      <c r="AD886" t="s">
        <v>1837</v>
      </c>
    </row>
    <row r="887" spans="1:30" x14ac:dyDescent="0.25">
      <c r="H887" t="s">
        <v>1838</v>
      </c>
    </row>
    <row r="888" spans="1:30" x14ac:dyDescent="0.25">
      <c r="A888">
        <v>441</v>
      </c>
      <c r="B888">
        <v>2569</v>
      </c>
      <c r="C888" t="s">
        <v>1839</v>
      </c>
      <c r="D888" t="s">
        <v>1081</v>
      </c>
      <c r="E888" t="s">
        <v>39</v>
      </c>
      <c r="F888" t="s">
        <v>1840</v>
      </c>
      <c r="G888" t="str">
        <f>"00325308"</f>
        <v>00325308</v>
      </c>
      <c r="H888" t="s">
        <v>1589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30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84</v>
      </c>
      <c r="W888">
        <v>588</v>
      </c>
      <c r="X888">
        <v>0</v>
      </c>
      <c r="Z888">
        <v>0</v>
      </c>
      <c r="AA888">
        <v>0</v>
      </c>
      <c r="AB888">
        <v>0</v>
      </c>
      <c r="AC888">
        <v>0</v>
      </c>
      <c r="AD888" t="s">
        <v>1841</v>
      </c>
    </row>
    <row r="889" spans="1:30" x14ac:dyDescent="0.25">
      <c r="H889">
        <v>1250</v>
      </c>
    </row>
    <row r="890" spans="1:30" x14ac:dyDescent="0.25">
      <c r="A890">
        <v>442</v>
      </c>
      <c r="B890">
        <v>5819</v>
      </c>
      <c r="C890" t="s">
        <v>1842</v>
      </c>
      <c r="D890" t="s">
        <v>290</v>
      </c>
      <c r="E890" t="s">
        <v>162</v>
      </c>
      <c r="F890" t="s">
        <v>1843</v>
      </c>
      <c r="G890" t="str">
        <f>"201410010670"</f>
        <v>201410010670</v>
      </c>
      <c r="H890">
        <v>748</v>
      </c>
      <c r="I890">
        <v>0</v>
      </c>
      <c r="J890">
        <v>0</v>
      </c>
      <c r="K890">
        <v>0</v>
      </c>
      <c r="L890">
        <v>200</v>
      </c>
      <c r="M890">
        <v>0</v>
      </c>
      <c r="N890">
        <v>70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61</v>
      </c>
      <c r="W890">
        <v>427</v>
      </c>
      <c r="X890">
        <v>0</v>
      </c>
      <c r="Z890">
        <v>0</v>
      </c>
      <c r="AA890">
        <v>0</v>
      </c>
      <c r="AB890">
        <v>0</v>
      </c>
      <c r="AC890">
        <v>0</v>
      </c>
      <c r="AD890">
        <v>1445</v>
      </c>
    </row>
    <row r="891" spans="1:30" x14ac:dyDescent="0.25">
      <c r="H891" t="s">
        <v>532</v>
      </c>
    </row>
    <row r="892" spans="1:30" x14ac:dyDescent="0.25">
      <c r="A892">
        <v>443</v>
      </c>
      <c r="B892">
        <v>3137</v>
      </c>
      <c r="C892" t="s">
        <v>1844</v>
      </c>
      <c r="D892" t="s">
        <v>140</v>
      </c>
      <c r="E892" t="s">
        <v>91</v>
      </c>
      <c r="F892" t="s">
        <v>1845</v>
      </c>
      <c r="G892" t="str">
        <f>"00274002"</f>
        <v>00274002</v>
      </c>
      <c r="H892" t="s">
        <v>146</v>
      </c>
      <c r="I892">
        <v>0</v>
      </c>
      <c r="J892">
        <v>0</v>
      </c>
      <c r="K892">
        <v>0</v>
      </c>
      <c r="L892">
        <v>0</v>
      </c>
      <c r="M892">
        <v>100</v>
      </c>
      <c r="N892">
        <v>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84</v>
      </c>
      <c r="W892">
        <v>588</v>
      </c>
      <c r="X892">
        <v>0</v>
      </c>
      <c r="Z892">
        <v>0</v>
      </c>
      <c r="AA892">
        <v>0</v>
      </c>
      <c r="AB892">
        <v>0</v>
      </c>
      <c r="AC892">
        <v>0</v>
      </c>
      <c r="AD892" t="s">
        <v>1846</v>
      </c>
    </row>
    <row r="893" spans="1:30" x14ac:dyDescent="0.25">
      <c r="H893" t="s">
        <v>1847</v>
      </c>
    </row>
    <row r="894" spans="1:30" x14ac:dyDescent="0.25">
      <c r="A894">
        <v>444</v>
      </c>
      <c r="B894">
        <v>2149</v>
      </c>
      <c r="C894" t="s">
        <v>1848</v>
      </c>
      <c r="D894" t="s">
        <v>98</v>
      </c>
      <c r="E894" t="s">
        <v>51</v>
      </c>
      <c r="F894" t="s">
        <v>1849</v>
      </c>
      <c r="G894" t="str">
        <f>"00307090"</f>
        <v>00307090</v>
      </c>
      <c r="H894" t="s">
        <v>1850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30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43</v>
      </c>
      <c r="W894">
        <v>301</v>
      </c>
      <c r="X894">
        <v>0</v>
      </c>
      <c r="Z894">
        <v>1</v>
      </c>
      <c r="AA894">
        <v>0</v>
      </c>
      <c r="AB894">
        <v>24</v>
      </c>
      <c r="AC894">
        <v>408</v>
      </c>
      <c r="AD894" t="s">
        <v>1851</v>
      </c>
    </row>
    <row r="895" spans="1:30" x14ac:dyDescent="0.25">
      <c r="H895" t="s">
        <v>1852</v>
      </c>
    </row>
    <row r="896" spans="1:30" x14ac:dyDescent="0.25">
      <c r="A896">
        <v>445</v>
      </c>
      <c r="B896">
        <v>1901</v>
      </c>
      <c r="C896" t="s">
        <v>1853</v>
      </c>
      <c r="D896" t="s">
        <v>40</v>
      </c>
      <c r="E896" t="s">
        <v>107</v>
      </c>
      <c r="F896" t="s">
        <v>1854</v>
      </c>
      <c r="G896" t="str">
        <f>"00141156"</f>
        <v>00141156</v>
      </c>
      <c r="H896">
        <v>726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70</v>
      </c>
      <c r="O896">
        <v>0</v>
      </c>
      <c r="P896">
        <v>30</v>
      </c>
      <c r="Q896">
        <v>30</v>
      </c>
      <c r="R896">
        <v>0</v>
      </c>
      <c r="S896">
        <v>0</v>
      </c>
      <c r="T896">
        <v>0</v>
      </c>
      <c r="U896">
        <v>0</v>
      </c>
      <c r="V896">
        <v>84</v>
      </c>
      <c r="W896">
        <v>588</v>
      </c>
      <c r="X896">
        <v>0</v>
      </c>
      <c r="Z896">
        <v>0</v>
      </c>
      <c r="AA896">
        <v>0</v>
      </c>
      <c r="AB896">
        <v>0</v>
      </c>
      <c r="AC896">
        <v>0</v>
      </c>
      <c r="AD896">
        <v>1444</v>
      </c>
    </row>
    <row r="897" spans="1:30" x14ac:dyDescent="0.25">
      <c r="H897" t="s">
        <v>1855</v>
      </c>
    </row>
    <row r="898" spans="1:30" x14ac:dyDescent="0.25">
      <c r="A898">
        <v>446</v>
      </c>
      <c r="B898">
        <v>4099</v>
      </c>
      <c r="C898" t="s">
        <v>1856</v>
      </c>
      <c r="D898" t="s">
        <v>1810</v>
      </c>
      <c r="E898" t="s">
        <v>1857</v>
      </c>
      <c r="F898" t="s">
        <v>1858</v>
      </c>
      <c r="G898" t="str">
        <f>"201412001449"</f>
        <v>201412001449</v>
      </c>
      <c r="H898">
        <v>825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30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84</v>
      </c>
      <c r="W898">
        <v>588</v>
      </c>
      <c r="X898">
        <v>0</v>
      </c>
      <c r="Z898">
        <v>0</v>
      </c>
      <c r="AA898">
        <v>0</v>
      </c>
      <c r="AB898">
        <v>0</v>
      </c>
      <c r="AC898">
        <v>0</v>
      </c>
      <c r="AD898">
        <v>1443</v>
      </c>
    </row>
    <row r="899" spans="1:30" x14ac:dyDescent="0.25">
      <c r="H899" t="s">
        <v>1859</v>
      </c>
    </row>
    <row r="900" spans="1:30" x14ac:dyDescent="0.25">
      <c r="A900">
        <v>447</v>
      </c>
      <c r="B900">
        <v>5235</v>
      </c>
      <c r="C900" t="s">
        <v>1860</v>
      </c>
      <c r="D900" t="s">
        <v>59</v>
      </c>
      <c r="E900" t="s">
        <v>238</v>
      </c>
      <c r="F900" t="s">
        <v>1861</v>
      </c>
      <c r="G900" t="str">
        <f>"00357537"</f>
        <v>00357537</v>
      </c>
      <c r="H900">
        <v>825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30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84</v>
      </c>
      <c r="W900">
        <v>588</v>
      </c>
      <c r="X900">
        <v>0</v>
      </c>
      <c r="Z900">
        <v>0</v>
      </c>
      <c r="AA900">
        <v>0</v>
      </c>
      <c r="AB900">
        <v>0</v>
      </c>
      <c r="AC900">
        <v>0</v>
      </c>
      <c r="AD900">
        <v>1443</v>
      </c>
    </row>
    <row r="901" spans="1:30" x14ac:dyDescent="0.25">
      <c r="H901" t="s">
        <v>1862</v>
      </c>
    </row>
    <row r="902" spans="1:30" x14ac:dyDescent="0.25">
      <c r="A902">
        <v>448</v>
      </c>
      <c r="B902">
        <v>5618</v>
      </c>
      <c r="C902" t="s">
        <v>1863</v>
      </c>
      <c r="D902" t="s">
        <v>134</v>
      </c>
      <c r="E902" t="s">
        <v>39</v>
      </c>
      <c r="F902" t="s">
        <v>1864</v>
      </c>
      <c r="G902" t="str">
        <f>"00327540"</f>
        <v>00327540</v>
      </c>
      <c r="H902">
        <v>825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30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84</v>
      </c>
      <c r="W902">
        <v>588</v>
      </c>
      <c r="X902">
        <v>0</v>
      </c>
      <c r="Z902">
        <v>0</v>
      </c>
      <c r="AA902">
        <v>0</v>
      </c>
      <c r="AB902">
        <v>0</v>
      </c>
      <c r="AC902">
        <v>0</v>
      </c>
      <c r="AD902">
        <v>1443</v>
      </c>
    </row>
    <row r="903" spans="1:30" x14ac:dyDescent="0.25">
      <c r="H903" t="s">
        <v>1865</v>
      </c>
    </row>
    <row r="904" spans="1:30" x14ac:dyDescent="0.25">
      <c r="A904">
        <v>449</v>
      </c>
      <c r="B904">
        <v>267</v>
      </c>
      <c r="C904" t="s">
        <v>1866</v>
      </c>
      <c r="D904" t="s">
        <v>1867</v>
      </c>
      <c r="E904" t="s">
        <v>482</v>
      </c>
      <c r="F904" t="s">
        <v>1868</v>
      </c>
      <c r="G904" t="str">
        <f>"00285632"</f>
        <v>00285632</v>
      </c>
      <c r="H904">
        <v>748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70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31</v>
      </c>
      <c r="W904">
        <v>217</v>
      </c>
      <c r="X904">
        <v>0</v>
      </c>
      <c r="Z904">
        <v>0</v>
      </c>
      <c r="AA904">
        <v>0</v>
      </c>
      <c r="AB904">
        <v>24</v>
      </c>
      <c r="AC904">
        <v>408</v>
      </c>
      <c r="AD904">
        <v>1443</v>
      </c>
    </row>
    <row r="905" spans="1:30" x14ac:dyDescent="0.25">
      <c r="H905" t="s">
        <v>1869</v>
      </c>
    </row>
    <row r="906" spans="1:30" x14ac:dyDescent="0.25">
      <c r="A906">
        <v>450</v>
      </c>
      <c r="B906">
        <v>537</v>
      </c>
      <c r="C906" t="s">
        <v>1870</v>
      </c>
      <c r="D906" t="s">
        <v>223</v>
      </c>
      <c r="E906" t="s">
        <v>282</v>
      </c>
      <c r="F906" t="s">
        <v>1871</v>
      </c>
      <c r="G906" t="str">
        <f>"201403000191"</f>
        <v>201403000191</v>
      </c>
      <c r="H906">
        <v>759</v>
      </c>
      <c r="I906">
        <v>150</v>
      </c>
      <c r="J906">
        <v>0</v>
      </c>
      <c r="K906">
        <v>0</v>
      </c>
      <c r="L906">
        <v>0</v>
      </c>
      <c r="M906">
        <v>0</v>
      </c>
      <c r="N906">
        <v>70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54</v>
      </c>
      <c r="W906">
        <v>378</v>
      </c>
      <c r="X906">
        <v>0</v>
      </c>
      <c r="Z906">
        <v>0</v>
      </c>
      <c r="AA906">
        <v>0</v>
      </c>
      <c r="AB906">
        <v>5</v>
      </c>
      <c r="AC906">
        <v>85</v>
      </c>
      <c r="AD906">
        <v>1442</v>
      </c>
    </row>
    <row r="907" spans="1:30" x14ac:dyDescent="0.25">
      <c r="H907" t="s">
        <v>1872</v>
      </c>
    </row>
    <row r="908" spans="1:30" x14ac:dyDescent="0.25">
      <c r="A908">
        <v>451</v>
      </c>
      <c r="B908">
        <v>3022</v>
      </c>
      <c r="C908" t="s">
        <v>1873</v>
      </c>
      <c r="D908" t="s">
        <v>14</v>
      </c>
      <c r="E908" t="s">
        <v>51</v>
      </c>
      <c r="F908" t="s">
        <v>1874</v>
      </c>
      <c r="G908" t="str">
        <f>"00199339"</f>
        <v>00199339</v>
      </c>
      <c r="H908" t="s">
        <v>1559</v>
      </c>
      <c r="I908">
        <v>150</v>
      </c>
      <c r="J908">
        <v>0</v>
      </c>
      <c r="K908">
        <v>0</v>
      </c>
      <c r="L908">
        <v>0</v>
      </c>
      <c r="M908">
        <v>0</v>
      </c>
      <c r="N908">
        <v>30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49</v>
      </c>
      <c r="W908">
        <v>343</v>
      </c>
      <c r="X908">
        <v>0</v>
      </c>
      <c r="Z908">
        <v>0</v>
      </c>
      <c r="AA908">
        <v>0</v>
      </c>
      <c r="AB908">
        <v>0</v>
      </c>
      <c r="AC908">
        <v>0</v>
      </c>
      <c r="AD908" t="s">
        <v>1875</v>
      </c>
    </row>
    <row r="909" spans="1:30" x14ac:dyDescent="0.25">
      <c r="H909" t="s">
        <v>1876</v>
      </c>
    </row>
    <row r="910" spans="1:30" x14ac:dyDescent="0.25">
      <c r="A910">
        <v>452</v>
      </c>
      <c r="B910">
        <v>2555</v>
      </c>
      <c r="C910" t="s">
        <v>1877</v>
      </c>
      <c r="D910" t="s">
        <v>1878</v>
      </c>
      <c r="E910" t="s">
        <v>140</v>
      </c>
      <c r="F910" t="s">
        <v>1879</v>
      </c>
      <c r="G910" t="str">
        <f>"200812000490"</f>
        <v>200812000490</v>
      </c>
      <c r="H910">
        <v>803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50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84</v>
      </c>
      <c r="W910">
        <v>588</v>
      </c>
      <c r="X910">
        <v>0</v>
      </c>
      <c r="Z910">
        <v>0</v>
      </c>
      <c r="AA910">
        <v>0</v>
      </c>
      <c r="AB910">
        <v>0</v>
      </c>
      <c r="AC910">
        <v>0</v>
      </c>
      <c r="AD910">
        <v>1441</v>
      </c>
    </row>
    <row r="911" spans="1:30" x14ac:dyDescent="0.25">
      <c r="H911" t="s">
        <v>1880</v>
      </c>
    </row>
    <row r="912" spans="1:30" x14ac:dyDescent="0.25">
      <c r="A912">
        <v>453</v>
      </c>
      <c r="B912">
        <v>4793</v>
      </c>
      <c r="C912" t="s">
        <v>1881</v>
      </c>
      <c r="D912" t="s">
        <v>1882</v>
      </c>
      <c r="E912" t="s">
        <v>162</v>
      </c>
      <c r="F912" t="s">
        <v>1883</v>
      </c>
      <c r="G912" t="str">
        <f>"00150562"</f>
        <v>00150562</v>
      </c>
      <c r="H912" t="s">
        <v>198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30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84</v>
      </c>
      <c r="W912">
        <v>588</v>
      </c>
      <c r="X912">
        <v>0</v>
      </c>
      <c r="Z912">
        <v>0</v>
      </c>
      <c r="AA912">
        <v>0</v>
      </c>
      <c r="AB912">
        <v>0</v>
      </c>
      <c r="AC912">
        <v>0</v>
      </c>
      <c r="AD912" t="s">
        <v>1884</v>
      </c>
    </row>
    <row r="913" spans="1:30" x14ac:dyDescent="0.25">
      <c r="H913" t="s">
        <v>1885</v>
      </c>
    </row>
    <row r="914" spans="1:30" x14ac:dyDescent="0.25">
      <c r="A914">
        <v>454</v>
      </c>
      <c r="B914">
        <v>6157</v>
      </c>
      <c r="C914" t="s">
        <v>1886</v>
      </c>
      <c r="D914" t="s">
        <v>166</v>
      </c>
      <c r="E914" t="s">
        <v>1215</v>
      </c>
      <c r="F914" t="s">
        <v>1887</v>
      </c>
      <c r="G914" t="str">
        <f>"00364732"</f>
        <v>00364732</v>
      </c>
      <c r="H914" t="s">
        <v>638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30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42</v>
      </c>
      <c r="W914">
        <v>294</v>
      </c>
      <c r="X914">
        <v>0</v>
      </c>
      <c r="Z914">
        <v>0</v>
      </c>
      <c r="AA914">
        <v>0</v>
      </c>
      <c r="AB914">
        <v>24</v>
      </c>
      <c r="AC914">
        <v>408</v>
      </c>
      <c r="AD914" t="s">
        <v>1888</v>
      </c>
    </row>
    <row r="915" spans="1:30" x14ac:dyDescent="0.25">
      <c r="H915">
        <v>1247</v>
      </c>
    </row>
    <row r="916" spans="1:30" x14ac:dyDescent="0.25">
      <c r="A916">
        <v>455</v>
      </c>
      <c r="B916">
        <v>3946</v>
      </c>
      <c r="C916" t="s">
        <v>452</v>
      </c>
      <c r="D916" t="s">
        <v>75</v>
      </c>
      <c r="E916" t="s">
        <v>162</v>
      </c>
      <c r="F916" t="s">
        <v>1889</v>
      </c>
      <c r="G916" t="str">
        <f>"00199050"</f>
        <v>00199050</v>
      </c>
      <c r="H916">
        <v>770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30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79</v>
      </c>
      <c r="W916">
        <v>553</v>
      </c>
      <c r="X916">
        <v>0</v>
      </c>
      <c r="Z916">
        <v>0</v>
      </c>
      <c r="AA916">
        <v>0</v>
      </c>
      <c r="AB916">
        <v>5</v>
      </c>
      <c r="AC916">
        <v>85</v>
      </c>
      <c r="AD916">
        <v>1438</v>
      </c>
    </row>
    <row r="917" spans="1:30" x14ac:dyDescent="0.25">
      <c r="H917" t="s">
        <v>1890</v>
      </c>
    </row>
    <row r="918" spans="1:30" x14ac:dyDescent="0.25">
      <c r="A918">
        <v>456</v>
      </c>
      <c r="B918">
        <v>55</v>
      </c>
      <c r="C918" t="s">
        <v>1009</v>
      </c>
      <c r="D918" t="s">
        <v>677</v>
      </c>
      <c r="E918" t="s">
        <v>183</v>
      </c>
      <c r="F918" t="s">
        <v>1891</v>
      </c>
      <c r="G918" t="str">
        <f>"200802006033"</f>
        <v>200802006033</v>
      </c>
      <c r="H918" t="s">
        <v>735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30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72</v>
      </c>
      <c r="W918">
        <v>504</v>
      </c>
      <c r="X918">
        <v>0</v>
      </c>
      <c r="Z918">
        <v>0</v>
      </c>
      <c r="AA918">
        <v>0</v>
      </c>
      <c r="AB918">
        <v>5</v>
      </c>
      <c r="AC918">
        <v>85</v>
      </c>
      <c r="AD918" t="s">
        <v>1892</v>
      </c>
    </row>
    <row r="919" spans="1:30" x14ac:dyDescent="0.25">
      <c r="H919" t="s">
        <v>1893</v>
      </c>
    </row>
    <row r="920" spans="1:30" x14ac:dyDescent="0.25">
      <c r="A920">
        <v>457</v>
      </c>
      <c r="B920">
        <v>4602</v>
      </c>
      <c r="C920" t="s">
        <v>1894</v>
      </c>
      <c r="D920" t="s">
        <v>373</v>
      </c>
      <c r="E920" t="s">
        <v>108</v>
      </c>
      <c r="F920" t="s">
        <v>1895</v>
      </c>
      <c r="G920" t="str">
        <f>"200712000820"</f>
        <v>200712000820</v>
      </c>
      <c r="H920" t="s">
        <v>192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70</v>
      </c>
      <c r="O920">
        <v>0</v>
      </c>
      <c r="P920">
        <v>0</v>
      </c>
      <c r="Q920">
        <v>0</v>
      </c>
      <c r="R920">
        <v>30</v>
      </c>
      <c r="S920">
        <v>0</v>
      </c>
      <c r="T920">
        <v>0</v>
      </c>
      <c r="U920">
        <v>0</v>
      </c>
      <c r="V920">
        <v>58</v>
      </c>
      <c r="W920">
        <v>406</v>
      </c>
      <c r="X920">
        <v>0</v>
      </c>
      <c r="Z920">
        <v>0</v>
      </c>
      <c r="AA920">
        <v>0</v>
      </c>
      <c r="AB920">
        <v>8</v>
      </c>
      <c r="AC920">
        <v>136</v>
      </c>
      <c r="AD920" t="s">
        <v>1896</v>
      </c>
    </row>
    <row r="921" spans="1:30" x14ac:dyDescent="0.25">
      <c r="H921" t="s">
        <v>1897</v>
      </c>
    </row>
    <row r="922" spans="1:30" x14ac:dyDescent="0.25">
      <c r="A922">
        <v>458</v>
      </c>
      <c r="B922">
        <v>4917</v>
      </c>
      <c r="C922" t="s">
        <v>1898</v>
      </c>
      <c r="D922" t="s">
        <v>335</v>
      </c>
      <c r="E922" t="s">
        <v>239</v>
      </c>
      <c r="F922" t="s">
        <v>1899</v>
      </c>
      <c r="G922" t="str">
        <f>"00351187"</f>
        <v>00351187</v>
      </c>
      <c r="H922" t="s">
        <v>735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84</v>
      </c>
      <c r="W922">
        <v>588</v>
      </c>
      <c r="X922">
        <v>0</v>
      </c>
      <c r="Z922">
        <v>0</v>
      </c>
      <c r="AA922">
        <v>0</v>
      </c>
      <c r="AB922">
        <v>0</v>
      </c>
      <c r="AC922">
        <v>0</v>
      </c>
      <c r="AD922" t="s">
        <v>1900</v>
      </c>
    </row>
    <row r="923" spans="1:30" x14ac:dyDescent="0.25">
      <c r="H923" t="s">
        <v>1901</v>
      </c>
    </row>
    <row r="924" spans="1:30" x14ac:dyDescent="0.25">
      <c r="A924">
        <v>459</v>
      </c>
      <c r="B924">
        <v>2203</v>
      </c>
      <c r="C924" t="s">
        <v>1902</v>
      </c>
      <c r="D924" t="s">
        <v>661</v>
      </c>
      <c r="E924" t="s">
        <v>290</v>
      </c>
      <c r="F924" t="s">
        <v>1903</v>
      </c>
      <c r="G924" t="str">
        <f>"201406017443"</f>
        <v>201406017443</v>
      </c>
      <c r="H924" t="s">
        <v>1572</v>
      </c>
      <c r="I924">
        <v>0</v>
      </c>
      <c r="J924">
        <v>0</v>
      </c>
      <c r="K924">
        <v>0</v>
      </c>
      <c r="L924">
        <v>0</v>
      </c>
      <c r="M924">
        <v>100</v>
      </c>
      <c r="N924">
        <v>30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84</v>
      </c>
      <c r="W924">
        <v>588</v>
      </c>
      <c r="X924">
        <v>0</v>
      </c>
      <c r="Z924">
        <v>0</v>
      </c>
      <c r="AA924">
        <v>0</v>
      </c>
      <c r="AB924">
        <v>0</v>
      </c>
      <c r="AC924">
        <v>0</v>
      </c>
      <c r="AD924" t="s">
        <v>1904</v>
      </c>
    </row>
    <row r="925" spans="1:30" x14ac:dyDescent="0.25">
      <c r="H925" t="s">
        <v>1905</v>
      </c>
    </row>
    <row r="926" spans="1:30" x14ac:dyDescent="0.25">
      <c r="A926">
        <v>460</v>
      </c>
      <c r="B926">
        <v>5148</v>
      </c>
      <c r="C926" t="s">
        <v>1379</v>
      </c>
      <c r="D926" t="s">
        <v>1810</v>
      </c>
      <c r="E926" t="s">
        <v>40</v>
      </c>
      <c r="F926" t="s">
        <v>1906</v>
      </c>
      <c r="G926" t="str">
        <f>"201506000630"</f>
        <v>201506000630</v>
      </c>
      <c r="H926">
        <v>825</v>
      </c>
      <c r="I926">
        <v>0</v>
      </c>
      <c r="J926">
        <v>0</v>
      </c>
      <c r="K926">
        <v>0</v>
      </c>
      <c r="L926">
        <v>200</v>
      </c>
      <c r="M926">
        <v>0</v>
      </c>
      <c r="N926">
        <v>30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18</v>
      </c>
      <c r="W926">
        <v>126</v>
      </c>
      <c r="X926">
        <v>0</v>
      </c>
      <c r="Z926">
        <v>2</v>
      </c>
      <c r="AA926">
        <v>0</v>
      </c>
      <c r="AB926">
        <v>15</v>
      </c>
      <c r="AC926">
        <v>255</v>
      </c>
      <c r="AD926">
        <v>1436</v>
      </c>
    </row>
    <row r="927" spans="1:30" x14ac:dyDescent="0.25">
      <c r="H927" t="s">
        <v>1907</v>
      </c>
    </row>
    <row r="928" spans="1:30" x14ac:dyDescent="0.25">
      <c r="A928">
        <v>461</v>
      </c>
      <c r="B928">
        <v>280</v>
      </c>
      <c r="C928" t="s">
        <v>1908</v>
      </c>
      <c r="D928" t="s">
        <v>335</v>
      </c>
      <c r="E928" t="s">
        <v>151</v>
      </c>
      <c r="F928" t="s">
        <v>1909</v>
      </c>
      <c r="G928" t="str">
        <f>"201303000181"</f>
        <v>201303000181</v>
      </c>
      <c r="H928">
        <v>748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70</v>
      </c>
      <c r="O928">
        <v>0</v>
      </c>
      <c r="P928">
        <v>30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84</v>
      </c>
      <c r="W928">
        <v>588</v>
      </c>
      <c r="X928">
        <v>0</v>
      </c>
      <c r="Z928">
        <v>0</v>
      </c>
      <c r="AA928">
        <v>0</v>
      </c>
      <c r="AB928">
        <v>0</v>
      </c>
      <c r="AC928">
        <v>0</v>
      </c>
      <c r="AD928">
        <v>1436</v>
      </c>
    </row>
    <row r="929" spans="1:30" x14ac:dyDescent="0.25">
      <c r="H929" t="s">
        <v>1910</v>
      </c>
    </row>
    <row r="930" spans="1:30" x14ac:dyDescent="0.25">
      <c r="A930">
        <v>462</v>
      </c>
      <c r="B930">
        <v>2190</v>
      </c>
      <c r="C930" t="s">
        <v>1493</v>
      </c>
      <c r="D930" t="s">
        <v>1911</v>
      </c>
      <c r="E930" t="s">
        <v>1912</v>
      </c>
      <c r="F930" t="s">
        <v>1913</v>
      </c>
      <c r="G930" t="str">
        <f>"00017693"</f>
        <v>00017693</v>
      </c>
      <c r="H930" t="s">
        <v>1193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70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75</v>
      </c>
      <c r="W930">
        <v>525</v>
      </c>
      <c r="X930">
        <v>0</v>
      </c>
      <c r="Z930">
        <v>0</v>
      </c>
      <c r="AA930">
        <v>0</v>
      </c>
      <c r="AB930">
        <v>0</v>
      </c>
      <c r="AC930">
        <v>0</v>
      </c>
      <c r="AD930" t="s">
        <v>1914</v>
      </c>
    </row>
    <row r="931" spans="1:30" x14ac:dyDescent="0.25">
      <c r="H931" t="s">
        <v>273</v>
      </c>
    </row>
    <row r="932" spans="1:30" x14ac:dyDescent="0.25">
      <c r="A932">
        <v>463</v>
      </c>
      <c r="B932">
        <v>2102</v>
      </c>
      <c r="C932" t="s">
        <v>1915</v>
      </c>
      <c r="D932" t="s">
        <v>107</v>
      </c>
      <c r="E932" t="s">
        <v>51</v>
      </c>
      <c r="F932" t="s">
        <v>1916</v>
      </c>
      <c r="G932" t="str">
        <f>"00003722"</f>
        <v>00003722</v>
      </c>
      <c r="H932">
        <v>847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84</v>
      </c>
      <c r="W932">
        <v>588</v>
      </c>
      <c r="X932">
        <v>0</v>
      </c>
      <c r="Z932">
        <v>0</v>
      </c>
      <c r="AA932">
        <v>0</v>
      </c>
      <c r="AB932">
        <v>0</v>
      </c>
      <c r="AC932">
        <v>0</v>
      </c>
      <c r="AD932">
        <v>1435</v>
      </c>
    </row>
    <row r="933" spans="1:30" x14ac:dyDescent="0.25">
      <c r="H933" t="s">
        <v>1917</v>
      </c>
    </row>
    <row r="934" spans="1:30" x14ac:dyDescent="0.25">
      <c r="A934">
        <v>464</v>
      </c>
      <c r="B934">
        <v>200</v>
      </c>
      <c r="C934" t="s">
        <v>1918</v>
      </c>
      <c r="D934" t="s">
        <v>1919</v>
      </c>
      <c r="E934" t="s">
        <v>40</v>
      </c>
      <c r="F934" t="s">
        <v>1920</v>
      </c>
      <c r="G934" t="str">
        <f>"00266450"</f>
        <v>00266450</v>
      </c>
      <c r="H934">
        <v>825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70</v>
      </c>
      <c r="O934">
        <v>0</v>
      </c>
      <c r="P934">
        <v>0</v>
      </c>
      <c r="Q934">
        <v>50</v>
      </c>
      <c r="R934">
        <v>0</v>
      </c>
      <c r="S934">
        <v>0</v>
      </c>
      <c r="T934">
        <v>0</v>
      </c>
      <c r="U934">
        <v>0</v>
      </c>
      <c r="V934">
        <v>70</v>
      </c>
      <c r="W934">
        <v>490</v>
      </c>
      <c r="X934">
        <v>0</v>
      </c>
      <c r="Z934">
        <v>0</v>
      </c>
      <c r="AA934">
        <v>0</v>
      </c>
      <c r="AB934">
        <v>0</v>
      </c>
      <c r="AC934">
        <v>0</v>
      </c>
      <c r="AD934">
        <v>1435</v>
      </c>
    </row>
    <row r="935" spans="1:30" x14ac:dyDescent="0.25">
      <c r="H935" t="s">
        <v>1670</v>
      </c>
    </row>
    <row r="936" spans="1:30" x14ac:dyDescent="0.25">
      <c r="A936">
        <v>465</v>
      </c>
      <c r="B936">
        <v>5904</v>
      </c>
      <c r="C936" t="s">
        <v>1921</v>
      </c>
      <c r="D936" t="s">
        <v>46</v>
      </c>
      <c r="E936" t="s">
        <v>87</v>
      </c>
      <c r="F936" t="s">
        <v>1922</v>
      </c>
      <c r="G936" t="str">
        <f>"00181453"</f>
        <v>00181453</v>
      </c>
      <c r="H936">
        <v>737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30</v>
      </c>
      <c r="O936">
        <v>0</v>
      </c>
      <c r="P936">
        <v>0</v>
      </c>
      <c r="Q936">
        <v>30</v>
      </c>
      <c r="R936">
        <v>0</v>
      </c>
      <c r="S936">
        <v>0</v>
      </c>
      <c r="T936">
        <v>0</v>
      </c>
      <c r="U936">
        <v>0</v>
      </c>
      <c r="V936">
        <v>79</v>
      </c>
      <c r="W936">
        <v>553</v>
      </c>
      <c r="X936">
        <v>0</v>
      </c>
      <c r="Z936">
        <v>0</v>
      </c>
      <c r="AA936">
        <v>0</v>
      </c>
      <c r="AB936">
        <v>5</v>
      </c>
      <c r="AC936">
        <v>85</v>
      </c>
      <c r="AD936">
        <v>1435</v>
      </c>
    </row>
    <row r="937" spans="1:30" x14ac:dyDescent="0.25">
      <c r="H937" t="s">
        <v>1923</v>
      </c>
    </row>
    <row r="938" spans="1:30" x14ac:dyDescent="0.25">
      <c r="A938">
        <v>466</v>
      </c>
      <c r="B938">
        <v>5086</v>
      </c>
      <c r="C938" t="s">
        <v>1924</v>
      </c>
      <c r="D938" t="s">
        <v>290</v>
      </c>
      <c r="E938" t="s">
        <v>107</v>
      </c>
      <c r="F938" t="s">
        <v>1925</v>
      </c>
      <c r="G938" t="str">
        <f>"00190179"</f>
        <v>00190179</v>
      </c>
      <c r="H938" t="s">
        <v>1404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30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84</v>
      </c>
      <c r="W938">
        <v>588</v>
      </c>
      <c r="X938">
        <v>0</v>
      </c>
      <c r="Z938">
        <v>0</v>
      </c>
      <c r="AA938">
        <v>0</v>
      </c>
      <c r="AB938">
        <v>0</v>
      </c>
      <c r="AC938">
        <v>0</v>
      </c>
      <c r="AD938" t="s">
        <v>1926</v>
      </c>
    </row>
    <row r="939" spans="1:30" x14ac:dyDescent="0.25">
      <c r="H939" t="s">
        <v>1927</v>
      </c>
    </row>
    <row r="940" spans="1:30" x14ac:dyDescent="0.25">
      <c r="A940">
        <v>467</v>
      </c>
      <c r="B940">
        <v>3752</v>
      </c>
      <c r="C940" t="s">
        <v>1928</v>
      </c>
      <c r="D940" t="s">
        <v>804</v>
      </c>
      <c r="E940" t="s">
        <v>115</v>
      </c>
      <c r="F940" t="s">
        <v>1929</v>
      </c>
      <c r="G940" t="str">
        <f>"201511028906"</f>
        <v>201511028906</v>
      </c>
      <c r="H940" t="s">
        <v>1930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30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42</v>
      </c>
      <c r="W940">
        <v>294</v>
      </c>
      <c r="X940">
        <v>0</v>
      </c>
      <c r="Z940">
        <v>0</v>
      </c>
      <c r="AA940">
        <v>0</v>
      </c>
      <c r="AB940">
        <v>24</v>
      </c>
      <c r="AC940">
        <v>408</v>
      </c>
      <c r="AD940" t="s">
        <v>1931</v>
      </c>
    </row>
    <row r="941" spans="1:30" x14ac:dyDescent="0.25">
      <c r="H941" t="s">
        <v>1932</v>
      </c>
    </row>
    <row r="942" spans="1:30" x14ac:dyDescent="0.25">
      <c r="A942">
        <v>468</v>
      </c>
      <c r="B942">
        <v>1648</v>
      </c>
      <c r="C942" t="s">
        <v>1933</v>
      </c>
      <c r="D942" t="s">
        <v>830</v>
      </c>
      <c r="E942" t="s">
        <v>290</v>
      </c>
      <c r="F942" t="s">
        <v>1934</v>
      </c>
      <c r="G942" t="str">
        <f>"00301160"</f>
        <v>00301160</v>
      </c>
      <c r="H942">
        <v>814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30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84</v>
      </c>
      <c r="W942">
        <v>588</v>
      </c>
      <c r="X942">
        <v>0</v>
      </c>
      <c r="Z942">
        <v>0</v>
      </c>
      <c r="AA942">
        <v>0</v>
      </c>
      <c r="AB942">
        <v>0</v>
      </c>
      <c r="AC942">
        <v>0</v>
      </c>
      <c r="AD942">
        <v>1432</v>
      </c>
    </row>
    <row r="943" spans="1:30" x14ac:dyDescent="0.25">
      <c r="H943" t="s">
        <v>1935</v>
      </c>
    </row>
    <row r="944" spans="1:30" x14ac:dyDescent="0.25">
      <c r="A944">
        <v>469</v>
      </c>
      <c r="B944">
        <v>4243</v>
      </c>
      <c r="C944" t="s">
        <v>1936</v>
      </c>
      <c r="D944" t="s">
        <v>335</v>
      </c>
      <c r="E944" t="s">
        <v>1937</v>
      </c>
      <c r="F944" t="s">
        <v>1938</v>
      </c>
      <c r="G944" t="str">
        <f>"00255587"</f>
        <v>00255587</v>
      </c>
      <c r="H944">
        <v>814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30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84</v>
      </c>
      <c r="W944">
        <v>588</v>
      </c>
      <c r="X944">
        <v>0</v>
      </c>
      <c r="Z944">
        <v>0</v>
      </c>
      <c r="AA944">
        <v>0</v>
      </c>
      <c r="AB944">
        <v>0</v>
      </c>
      <c r="AC944">
        <v>0</v>
      </c>
      <c r="AD944">
        <v>1432</v>
      </c>
    </row>
    <row r="945" spans="1:30" x14ac:dyDescent="0.25">
      <c r="H945" t="s">
        <v>1939</v>
      </c>
    </row>
    <row r="946" spans="1:30" x14ac:dyDescent="0.25">
      <c r="A946">
        <v>470</v>
      </c>
      <c r="B946">
        <v>3708</v>
      </c>
      <c r="C946" t="s">
        <v>1940</v>
      </c>
      <c r="D946" t="s">
        <v>75</v>
      </c>
      <c r="E946" t="s">
        <v>162</v>
      </c>
      <c r="F946" t="s">
        <v>1941</v>
      </c>
      <c r="G946" t="str">
        <f>"200802002758"</f>
        <v>200802002758</v>
      </c>
      <c r="H946">
        <v>814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30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84</v>
      </c>
      <c r="W946">
        <v>588</v>
      </c>
      <c r="X946">
        <v>0</v>
      </c>
      <c r="Z946">
        <v>0</v>
      </c>
      <c r="AA946">
        <v>0</v>
      </c>
      <c r="AB946">
        <v>0</v>
      </c>
      <c r="AC946">
        <v>0</v>
      </c>
      <c r="AD946">
        <v>1432</v>
      </c>
    </row>
    <row r="947" spans="1:30" x14ac:dyDescent="0.25">
      <c r="H947" t="s">
        <v>1942</v>
      </c>
    </row>
    <row r="948" spans="1:30" x14ac:dyDescent="0.25">
      <c r="A948">
        <v>471</v>
      </c>
      <c r="B948">
        <v>1951</v>
      </c>
      <c r="C948" t="s">
        <v>1943</v>
      </c>
      <c r="D948" t="s">
        <v>335</v>
      </c>
      <c r="E948" t="s">
        <v>39</v>
      </c>
      <c r="F948" t="s">
        <v>1944</v>
      </c>
      <c r="G948" t="str">
        <f>"201406005367"</f>
        <v>201406005367</v>
      </c>
      <c r="H948" t="s">
        <v>375</v>
      </c>
      <c r="I948">
        <v>0</v>
      </c>
      <c r="J948">
        <v>0</v>
      </c>
      <c r="K948">
        <v>0</v>
      </c>
      <c r="L948">
        <v>200</v>
      </c>
      <c r="M948">
        <v>0</v>
      </c>
      <c r="N948">
        <v>50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44</v>
      </c>
      <c r="W948">
        <v>308</v>
      </c>
      <c r="X948">
        <v>0</v>
      </c>
      <c r="Z948">
        <v>0</v>
      </c>
      <c r="AA948">
        <v>0</v>
      </c>
      <c r="AB948">
        <v>0</v>
      </c>
      <c r="AC948">
        <v>0</v>
      </c>
      <c r="AD948" t="s">
        <v>1945</v>
      </c>
    </row>
    <row r="949" spans="1:30" x14ac:dyDescent="0.25">
      <c r="H949" t="s">
        <v>1946</v>
      </c>
    </row>
    <row r="950" spans="1:30" x14ac:dyDescent="0.25">
      <c r="A950">
        <v>472</v>
      </c>
      <c r="B950">
        <v>4002</v>
      </c>
      <c r="C950" t="s">
        <v>1947</v>
      </c>
      <c r="D950" t="s">
        <v>51</v>
      </c>
      <c r="E950" t="s">
        <v>15</v>
      </c>
      <c r="F950" t="s">
        <v>1948</v>
      </c>
      <c r="G950" t="str">
        <f>"201406014810"</f>
        <v>201406014810</v>
      </c>
      <c r="H950" t="s">
        <v>1949</v>
      </c>
      <c r="I950">
        <v>0</v>
      </c>
      <c r="J950">
        <v>0</v>
      </c>
      <c r="K950">
        <v>0</v>
      </c>
      <c r="L950">
        <v>200</v>
      </c>
      <c r="M950">
        <v>0</v>
      </c>
      <c r="N950">
        <v>30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68</v>
      </c>
      <c r="W950">
        <v>476</v>
      </c>
      <c r="X950">
        <v>0</v>
      </c>
      <c r="Z950">
        <v>0</v>
      </c>
      <c r="AA950">
        <v>0</v>
      </c>
      <c r="AB950">
        <v>0</v>
      </c>
      <c r="AC950">
        <v>0</v>
      </c>
      <c r="AD950" t="s">
        <v>1950</v>
      </c>
    </row>
    <row r="951" spans="1:30" x14ac:dyDescent="0.25">
      <c r="H951" t="s">
        <v>1951</v>
      </c>
    </row>
    <row r="952" spans="1:30" x14ac:dyDescent="0.25">
      <c r="A952">
        <v>473</v>
      </c>
      <c r="B952">
        <v>4752</v>
      </c>
      <c r="C952" t="s">
        <v>1952</v>
      </c>
      <c r="D952" t="s">
        <v>804</v>
      </c>
      <c r="E952" t="s">
        <v>39</v>
      </c>
      <c r="F952" t="s">
        <v>1953</v>
      </c>
      <c r="G952" t="str">
        <f>"00362897"</f>
        <v>00362897</v>
      </c>
      <c r="H952">
        <v>792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50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84</v>
      </c>
      <c r="W952">
        <v>588</v>
      </c>
      <c r="X952">
        <v>0</v>
      </c>
      <c r="Z952">
        <v>0</v>
      </c>
      <c r="AA952">
        <v>0</v>
      </c>
      <c r="AB952">
        <v>0</v>
      </c>
      <c r="AC952">
        <v>0</v>
      </c>
      <c r="AD952">
        <v>1430</v>
      </c>
    </row>
    <row r="953" spans="1:30" x14ac:dyDescent="0.25">
      <c r="H953" t="s">
        <v>1954</v>
      </c>
    </row>
    <row r="954" spans="1:30" x14ac:dyDescent="0.25">
      <c r="A954">
        <v>474</v>
      </c>
      <c r="B954">
        <v>4708</v>
      </c>
      <c r="C954" t="s">
        <v>1955</v>
      </c>
      <c r="D954" t="s">
        <v>335</v>
      </c>
      <c r="E954" t="s">
        <v>39</v>
      </c>
      <c r="F954" t="s">
        <v>1956</v>
      </c>
      <c r="G954" t="str">
        <f>"00261806"</f>
        <v>00261806</v>
      </c>
      <c r="H954" t="s">
        <v>1957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30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84</v>
      </c>
      <c r="W954">
        <v>588</v>
      </c>
      <c r="X954">
        <v>0</v>
      </c>
      <c r="Z954">
        <v>0</v>
      </c>
      <c r="AA954">
        <v>0</v>
      </c>
      <c r="AB954">
        <v>0</v>
      </c>
      <c r="AC954">
        <v>0</v>
      </c>
      <c r="AD954" t="s">
        <v>1958</v>
      </c>
    </row>
    <row r="955" spans="1:30" x14ac:dyDescent="0.25">
      <c r="H955" t="s">
        <v>1959</v>
      </c>
    </row>
    <row r="956" spans="1:30" x14ac:dyDescent="0.25">
      <c r="A956">
        <v>475</v>
      </c>
      <c r="B956">
        <v>21</v>
      </c>
      <c r="C956" t="s">
        <v>1960</v>
      </c>
      <c r="D956" t="s">
        <v>420</v>
      </c>
      <c r="E956" t="s">
        <v>33</v>
      </c>
      <c r="F956" t="s">
        <v>1961</v>
      </c>
      <c r="G956" t="str">
        <f>"00296787"</f>
        <v>00296787</v>
      </c>
      <c r="H956" t="s">
        <v>638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70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47</v>
      </c>
      <c r="W956">
        <v>329</v>
      </c>
      <c r="X956">
        <v>0</v>
      </c>
      <c r="Z956">
        <v>0</v>
      </c>
      <c r="AA956">
        <v>0</v>
      </c>
      <c r="AB956">
        <v>19</v>
      </c>
      <c r="AC956">
        <v>323</v>
      </c>
      <c r="AD956" t="s">
        <v>1962</v>
      </c>
    </row>
    <row r="957" spans="1:30" x14ac:dyDescent="0.25">
      <c r="H957" t="s">
        <v>1963</v>
      </c>
    </row>
    <row r="958" spans="1:30" x14ac:dyDescent="0.25">
      <c r="A958">
        <v>476</v>
      </c>
      <c r="B958">
        <v>1693</v>
      </c>
      <c r="C958" t="s">
        <v>1964</v>
      </c>
      <c r="D958" t="s">
        <v>46</v>
      </c>
      <c r="E958" t="s">
        <v>91</v>
      </c>
      <c r="F958" t="s">
        <v>1965</v>
      </c>
      <c r="G958" t="str">
        <f>"201402006654"</f>
        <v>201402006654</v>
      </c>
      <c r="H958" t="s">
        <v>1966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30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84</v>
      </c>
      <c r="W958">
        <v>588</v>
      </c>
      <c r="X958">
        <v>0</v>
      </c>
      <c r="Z958">
        <v>1</v>
      </c>
      <c r="AA958">
        <v>0</v>
      </c>
      <c r="AB958">
        <v>0</v>
      </c>
      <c r="AC958">
        <v>0</v>
      </c>
      <c r="AD958" t="s">
        <v>1967</v>
      </c>
    </row>
    <row r="959" spans="1:30" x14ac:dyDescent="0.25">
      <c r="H959" t="s">
        <v>1968</v>
      </c>
    </row>
    <row r="960" spans="1:30" x14ac:dyDescent="0.25">
      <c r="A960">
        <v>477</v>
      </c>
      <c r="B960">
        <v>3941</v>
      </c>
      <c r="C960" t="s">
        <v>1969</v>
      </c>
      <c r="D960" t="s">
        <v>59</v>
      </c>
      <c r="E960" t="s">
        <v>468</v>
      </c>
      <c r="F960" t="s">
        <v>1970</v>
      </c>
      <c r="G960" t="str">
        <f>"200901000031"</f>
        <v>200901000031</v>
      </c>
      <c r="H960">
        <v>770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70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84</v>
      </c>
      <c r="W960">
        <v>588</v>
      </c>
      <c r="X960">
        <v>0</v>
      </c>
      <c r="Z960">
        <v>0</v>
      </c>
      <c r="AA960">
        <v>0</v>
      </c>
      <c r="AB960">
        <v>0</v>
      </c>
      <c r="AC960">
        <v>0</v>
      </c>
      <c r="AD960">
        <v>1428</v>
      </c>
    </row>
    <row r="961" spans="1:30" x14ac:dyDescent="0.25">
      <c r="H961" t="s">
        <v>835</v>
      </c>
    </row>
    <row r="962" spans="1:30" x14ac:dyDescent="0.25">
      <c r="A962">
        <v>478</v>
      </c>
      <c r="B962">
        <v>5733</v>
      </c>
      <c r="C962" t="s">
        <v>1971</v>
      </c>
      <c r="D962" t="s">
        <v>468</v>
      </c>
      <c r="E962" t="s">
        <v>1972</v>
      </c>
      <c r="F962" t="s">
        <v>1973</v>
      </c>
      <c r="G962" t="str">
        <f>"00166087"</f>
        <v>00166087</v>
      </c>
      <c r="H962" t="s">
        <v>1930</v>
      </c>
      <c r="I962">
        <v>0</v>
      </c>
      <c r="J962">
        <v>0</v>
      </c>
      <c r="K962">
        <v>0</v>
      </c>
      <c r="L962">
        <v>200</v>
      </c>
      <c r="M962">
        <v>0</v>
      </c>
      <c r="N962">
        <v>30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71</v>
      </c>
      <c r="W962">
        <v>497</v>
      </c>
      <c r="X962">
        <v>0</v>
      </c>
      <c r="Z962">
        <v>0</v>
      </c>
      <c r="AA962">
        <v>0</v>
      </c>
      <c r="AB962">
        <v>0</v>
      </c>
      <c r="AC962">
        <v>0</v>
      </c>
      <c r="AD962" t="s">
        <v>1974</v>
      </c>
    </row>
    <row r="963" spans="1:30" x14ac:dyDescent="0.25">
      <c r="H963" t="s">
        <v>1975</v>
      </c>
    </row>
    <row r="964" spans="1:30" x14ac:dyDescent="0.25">
      <c r="A964">
        <v>479</v>
      </c>
      <c r="B964">
        <v>1474</v>
      </c>
      <c r="C964" t="s">
        <v>1976</v>
      </c>
      <c r="D964" t="s">
        <v>14</v>
      </c>
      <c r="E964" t="s">
        <v>51</v>
      </c>
      <c r="F964" t="s">
        <v>1977</v>
      </c>
      <c r="G964" t="str">
        <f>"201406010452"</f>
        <v>201406010452</v>
      </c>
      <c r="H964" t="s">
        <v>1115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70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84</v>
      </c>
      <c r="W964">
        <v>588</v>
      </c>
      <c r="X964">
        <v>0</v>
      </c>
      <c r="Z964">
        <v>0</v>
      </c>
      <c r="AA964">
        <v>0</v>
      </c>
      <c r="AB964">
        <v>0</v>
      </c>
      <c r="AC964">
        <v>0</v>
      </c>
      <c r="AD964" t="s">
        <v>1978</v>
      </c>
    </row>
    <row r="965" spans="1:30" x14ac:dyDescent="0.25">
      <c r="H965" t="s">
        <v>1979</v>
      </c>
    </row>
    <row r="966" spans="1:30" x14ac:dyDescent="0.25">
      <c r="A966">
        <v>480</v>
      </c>
      <c r="B966">
        <v>2109</v>
      </c>
      <c r="C966" t="s">
        <v>1980</v>
      </c>
      <c r="D966" t="s">
        <v>46</v>
      </c>
      <c r="E966" t="s">
        <v>51</v>
      </c>
      <c r="F966" t="s">
        <v>1981</v>
      </c>
      <c r="G966" t="str">
        <f>"201406007501"</f>
        <v>201406007501</v>
      </c>
      <c r="H966" t="s">
        <v>1982</v>
      </c>
      <c r="I966">
        <v>0</v>
      </c>
      <c r="J966">
        <v>0</v>
      </c>
      <c r="K966">
        <v>0</v>
      </c>
      <c r="L966">
        <v>200</v>
      </c>
      <c r="M966">
        <v>0</v>
      </c>
      <c r="N966">
        <v>70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49</v>
      </c>
      <c r="W966">
        <v>343</v>
      </c>
      <c r="X966">
        <v>0</v>
      </c>
      <c r="Z966">
        <v>0</v>
      </c>
      <c r="AA966">
        <v>0</v>
      </c>
      <c r="AB966">
        <v>0</v>
      </c>
      <c r="AC966">
        <v>0</v>
      </c>
      <c r="AD966" t="s">
        <v>1983</v>
      </c>
    </row>
    <row r="967" spans="1:30" x14ac:dyDescent="0.25">
      <c r="H967" t="s">
        <v>1984</v>
      </c>
    </row>
    <row r="968" spans="1:30" x14ac:dyDescent="0.25">
      <c r="A968">
        <v>481</v>
      </c>
      <c r="B968">
        <v>474</v>
      </c>
      <c r="C968" t="s">
        <v>1985</v>
      </c>
      <c r="D968" t="s">
        <v>1986</v>
      </c>
      <c r="E968" t="s">
        <v>468</v>
      </c>
      <c r="F968" t="s">
        <v>1987</v>
      </c>
      <c r="G968" t="str">
        <f>"00295982"</f>
        <v>00295982</v>
      </c>
      <c r="H968">
        <v>836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84</v>
      </c>
      <c r="W968">
        <v>588</v>
      </c>
      <c r="X968">
        <v>0</v>
      </c>
      <c r="Z968">
        <v>0</v>
      </c>
      <c r="AA968">
        <v>0</v>
      </c>
      <c r="AB968">
        <v>0</v>
      </c>
      <c r="AC968">
        <v>0</v>
      </c>
      <c r="AD968">
        <v>1424</v>
      </c>
    </row>
    <row r="969" spans="1:30" x14ac:dyDescent="0.25">
      <c r="H969" t="s">
        <v>1988</v>
      </c>
    </row>
    <row r="970" spans="1:30" x14ac:dyDescent="0.25">
      <c r="A970">
        <v>482</v>
      </c>
      <c r="B970">
        <v>2938</v>
      </c>
      <c r="C970" t="s">
        <v>1989</v>
      </c>
      <c r="D970" t="s">
        <v>420</v>
      </c>
      <c r="E970" t="s">
        <v>40</v>
      </c>
      <c r="F970" t="s">
        <v>1990</v>
      </c>
      <c r="G970" t="str">
        <f>"201405001737"</f>
        <v>201405001737</v>
      </c>
      <c r="H970">
        <v>825</v>
      </c>
      <c r="I970">
        <v>0</v>
      </c>
      <c r="J970">
        <v>0</v>
      </c>
      <c r="K970">
        <v>0</v>
      </c>
      <c r="L970">
        <v>200</v>
      </c>
      <c r="M970">
        <v>0</v>
      </c>
      <c r="N970">
        <v>70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47</v>
      </c>
      <c r="W970">
        <v>329</v>
      </c>
      <c r="X970">
        <v>0</v>
      </c>
      <c r="Z970">
        <v>0</v>
      </c>
      <c r="AA970">
        <v>0</v>
      </c>
      <c r="AB970">
        <v>0</v>
      </c>
      <c r="AC970">
        <v>0</v>
      </c>
      <c r="AD970">
        <v>1424</v>
      </c>
    </row>
    <row r="971" spans="1:30" x14ac:dyDescent="0.25">
      <c r="H971" t="s">
        <v>1991</v>
      </c>
    </row>
    <row r="972" spans="1:30" x14ac:dyDescent="0.25">
      <c r="A972">
        <v>483</v>
      </c>
      <c r="B972">
        <v>1855</v>
      </c>
      <c r="C972" t="s">
        <v>1639</v>
      </c>
      <c r="D972" t="s">
        <v>1772</v>
      </c>
      <c r="E972" t="s">
        <v>51</v>
      </c>
      <c r="F972" t="s">
        <v>1992</v>
      </c>
      <c r="G972" t="str">
        <f>"200803000725"</f>
        <v>200803000725</v>
      </c>
      <c r="H972" t="s">
        <v>1115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30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31</v>
      </c>
      <c r="W972">
        <v>217</v>
      </c>
      <c r="X972">
        <v>0</v>
      </c>
      <c r="Z972">
        <v>0</v>
      </c>
      <c r="AA972">
        <v>0</v>
      </c>
      <c r="AB972">
        <v>24</v>
      </c>
      <c r="AC972">
        <v>408</v>
      </c>
      <c r="AD972" t="s">
        <v>1993</v>
      </c>
    </row>
    <row r="973" spans="1:30" x14ac:dyDescent="0.25">
      <c r="H973" t="s">
        <v>1994</v>
      </c>
    </row>
    <row r="974" spans="1:30" x14ac:dyDescent="0.25">
      <c r="A974">
        <v>484</v>
      </c>
      <c r="B974">
        <v>3248</v>
      </c>
      <c r="C974" t="s">
        <v>1995</v>
      </c>
      <c r="D974" t="s">
        <v>1996</v>
      </c>
      <c r="E974" t="s">
        <v>162</v>
      </c>
      <c r="F974" t="s">
        <v>1997</v>
      </c>
      <c r="G974" t="str">
        <f>"201402009805"</f>
        <v>201402009805</v>
      </c>
      <c r="H974" t="s">
        <v>1998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30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84</v>
      </c>
      <c r="W974">
        <v>588</v>
      </c>
      <c r="X974">
        <v>0</v>
      </c>
      <c r="Z974">
        <v>0</v>
      </c>
      <c r="AA974">
        <v>0</v>
      </c>
      <c r="AB974">
        <v>0</v>
      </c>
      <c r="AC974">
        <v>0</v>
      </c>
      <c r="AD974" t="s">
        <v>1999</v>
      </c>
    </row>
    <row r="975" spans="1:30" x14ac:dyDescent="0.25">
      <c r="H975" t="s">
        <v>2000</v>
      </c>
    </row>
    <row r="976" spans="1:30" x14ac:dyDescent="0.25">
      <c r="A976">
        <v>485</v>
      </c>
      <c r="B976">
        <v>4314</v>
      </c>
      <c r="C976" t="s">
        <v>2001</v>
      </c>
      <c r="D976" t="s">
        <v>46</v>
      </c>
      <c r="E976" t="s">
        <v>535</v>
      </c>
      <c r="F976" t="s">
        <v>2002</v>
      </c>
      <c r="G976" t="str">
        <f>"200802002257"</f>
        <v>200802002257</v>
      </c>
      <c r="H976" t="s">
        <v>672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70</v>
      </c>
      <c r="O976">
        <v>30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84</v>
      </c>
      <c r="W976">
        <v>588</v>
      </c>
      <c r="X976">
        <v>0</v>
      </c>
      <c r="Z976">
        <v>0</v>
      </c>
      <c r="AA976">
        <v>0</v>
      </c>
      <c r="AB976">
        <v>0</v>
      </c>
      <c r="AC976">
        <v>0</v>
      </c>
      <c r="AD976" t="s">
        <v>2003</v>
      </c>
    </row>
    <row r="977" spans="1:30" x14ac:dyDescent="0.25">
      <c r="H977" t="s">
        <v>2004</v>
      </c>
    </row>
    <row r="978" spans="1:30" x14ac:dyDescent="0.25">
      <c r="A978">
        <v>486</v>
      </c>
      <c r="B978">
        <v>5843</v>
      </c>
      <c r="C978" t="s">
        <v>2005</v>
      </c>
      <c r="D978" t="s">
        <v>46</v>
      </c>
      <c r="E978" t="s">
        <v>40</v>
      </c>
      <c r="F978" t="s">
        <v>2006</v>
      </c>
      <c r="G978" t="str">
        <f>"00069856"</f>
        <v>00069856</v>
      </c>
      <c r="H978">
        <v>836</v>
      </c>
      <c r="I978">
        <v>150</v>
      </c>
      <c r="J978">
        <v>0</v>
      </c>
      <c r="K978">
        <v>0</v>
      </c>
      <c r="L978">
        <v>0</v>
      </c>
      <c r="M978">
        <v>0</v>
      </c>
      <c r="N978">
        <v>30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58</v>
      </c>
      <c r="W978">
        <v>406</v>
      </c>
      <c r="X978">
        <v>0</v>
      </c>
      <c r="Z978">
        <v>1</v>
      </c>
      <c r="AA978">
        <v>0</v>
      </c>
      <c r="AB978">
        <v>0</v>
      </c>
      <c r="AC978">
        <v>0</v>
      </c>
      <c r="AD978">
        <v>1422</v>
      </c>
    </row>
    <row r="979" spans="1:30" x14ac:dyDescent="0.25">
      <c r="H979" t="s">
        <v>2007</v>
      </c>
    </row>
    <row r="980" spans="1:30" x14ac:dyDescent="0.25">
      <c r="A980">
        <v>487</v>
      </c>
      <c r="B980">
        <v>5578</v>
      </c>
      <c r="C980" t="s">
        <v>2008</v>
      </c>
      <c r="D980" t="s">
        <v>315</v>
      </c>
      <c r="E980" t="s">
        <v>107</v>
      </c>
      <c r="F980" t="s">
        <v>2009</v>
      </c>
      <c r="G980" t="str">
        <f>"201511007473"</f>
        <v>201511007473</v>
      </c>
      <c r="H980" t="s">
        <v>2010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50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77</v>
      </c>
      <c r="W980">
        <v>539</v>
      </c>
      <c r="X980">
        <v>0</v>
      </c>
      <c r="Z980">
        <v>0</v>
      </c>
      <c r="AA980">
        <v>0</v>
      </c>
      <c r="AB980">
        <v>0</v>
      </c>
      <c r="AC980">
        <v>0</v>
      </c>
      <c r="AD980" t="s">
        <v>2011</v>
      </c>
    </row>
    <row r="981" spans="1:30" x14ac:dyDescent="0.25">
      <c r="H981" t="s">
        <v>2012</v>
      </c>
    </row>
    <row r="982" spans="1:30" x14ac:dyDescent="0.25">
      <c r="A982">
        <v>488</v>
      </c>
      <c r="B982">
        <v>229</v>
      </c>
      <c r="C982" t="s">
        <v>1033</v>
      </c>
      <c r="D982" t="s">
        <v>182</v>
      </c>
      <c r="E982" t="s">
        <v>290</v>
      </c>
      <c r="F982" t="s">
        <v>2013</v>
      </c>
      <c r="G982" t="str">
        <f>"00140790"</f>
        <v>00140790</v>
      </c>
      <c r="H982" t="s">
        <v>1679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50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84</v>
      </c>
      <c r="W982">
        <v>588</v>
      </c>
      <c r="X982">
        <v>0</v>
      </c>
      <c r="Z982">
        <v>0</v>
      </c>
      <c r="AA982">
        <v>0</v>
      </c>
      <c r="AB982">
        <v>0</v>
      </c>
      <c r="AC982">
        <v>0</v>
      </c>
      <c r="AD982" t="s">
        <v>2014</v>
      </c>
    </row>
    <row r="983" spans="1:30" x14ac:dyDescent="0.25">
      <c r="H983" t="s">
        <v>746</v>
      </c>
    </row>
    <row r="984" spans="1:30" x14ac:dyDescent="0.25">
      <c r="A984">
        <v>489</v>
      </c>
      <c r="B984">
        <v>1960</v>
      </c>
      <c r="C984" t="s">
        <v>2015</v>
      </c>
      <c r="D984" t="s">
        <v>15</v>
      </c>
      <c r="E984" t="s">
        <v>47</v>
      </c>
      <c r="F984" t="s">
        <v>2016</v>
      </c>
      <c r="G984" t="str">
        <f>"200712004844"</f>
        <v>200712004844</v>
      </c>
      <c r="H984" t="s">
        <v>1679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50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84</v>
      </c>
      <c r="W984">
        <v>588</v>
      </c>
      <c r="X984">
        <v>0</v>
      </c>
      <c r="Z984">
        <v>0</v>
      </c>
      <c r="AA984">
        <v>0</v>
      </c>
      <c r="AB984">
        <v>0</v>
      </c>
      <c r="AC984">
        <v>0</v>
      </c>
      <c r="AD984" t="s">
        <v>2014</v>
      </c>
    </row>
    <row r="985" spans="1:30" x14ac:dyDescent="0.25">
      <c r="H985" t="s">
        <v>2017</v>
      </c>
    </row>
    <row r="986" spans="1:30" x14ac:dyDescent="0.25">
      <c r="A986">
        <v>490</v>
      </c>
      <c r="B986">
        <v>3996</v>
      </c>
      <c r="C986" t="s">
        <v>2018</v>
      </c>
      <c r="D986" t="s">
        <v>420</v>
      </c>
      <c r="E986" t="s">
        <v>2019</v>
      </c>
      <c r="F986" t="s">
        <v>2020</v>
      </c>
      <c r="G986" t="str">
        <f>"201409002580"</f>
        <v>201409002580</v>
      </c>
      <c r="H986">
        <v>803</v>
      </c>
      <c r="I986">
        <v>150</v>
      </c>
      <c r="J986">
        <v>0</v>
      </c>
      <c r="K986">
        <v>0</v>
      </c>
      <c r="L986">
        <v>200</v>
      </c>
      <c r="M986">
        <v>0</v>
      </c>
      <c r="N986">
        <v>30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34</v>
      </c>
      <c r="W986">
        <v>238</v>
      </c>
      <c r="X986">
        <v>0</v>
      </c>
      <c r="Z986">
        <v>0</v>
      </c>
      <c r="AA986">
        <v>0</v>
      </c>
      <c r="AB986">
        <v>0</v>
      </c>
      <c r="AC986">
        <v>0</v>
      </c>
      <c r="AD986">
        <v>1421</v>
      </c>
    </row>
    <row r="987" spans="1:30" x14ac:dyDescent="0.25">
      <c r="H987" t="s">
        <v>2021</v>
      </c>
    </row>
    <row r="988" spans="1:30" x14ac:dyDescent="0.25">
      <c r="A988">
        <v>491</v>
      </c>
      <c r="B988">
        <v>76</v>
      </c>
      <c r="C988" t="s">
        <v>2022</v>
      </c>
      <c r="D988" t="s">
        <v>75</v>
      </c>
      <c r="E988" t="s">
        <v>39</v>
      </c>
      <c r="F988" t="s">
        <v>2023</v>
      </c>
      <c r="G988" t="str">
        <f>"200801001182"</f>
        <v>200801001182</v>
      </c>
      <c r="H988">
        <v>803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30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84</v>
      </c>
      <c r="W988">
        <v>588</v>
      </c>
      <c r="X988">
        <v>0</v>
      </c>
      <c r="Z988">
        <v>2</v>
      </c>
      <c r="AA988">
        <v>0</v>
      </c>
      <c r="AB988">
        <v>0</v>
      </c>
      <c r="AC988">
        <v>0</v>
      </c>
      <c r="AD988">
        <v>1421</v>
      </c>
    </row>
    <row r="989" spans="1:30" x14ac:dyDescent="0.25">
      <c r="H989" t="s">
        <v>1213</v>
      </c>
    </row>
    <row r="990" spans="1:30" x14ac:dyDescent="0.25">
      <c r="A990">
        <v>492</v>
      </c>
      <c r="B990">
        <v>4144</v>
      </c>
      <c r="C990" t="s">
        <v>2024</v>
      </c>
      <c r="D990" t="s">
        <v>2025</v>
      </c>
      <c r="E990" t="s">
        <v>449</v>
      </c>
      <c r="F990" t="s">
        <v>2026</v>
      </c>
      <c r="G990" t="str">
        <f>"200810001064"</f>
        <v>200810001064</v>
      </c>
      <c r="H990">
        <v>803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30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84</v>
      </c>
      <c r="W990">
        <v>588</v>
      </c>
      <c r="X990">
        <v>0</v>
      </c>
      <c r="Z990">
        <v>0</v>
      </c>
      <c r="AA990">
        <v>0</v>
      </c>
      <c r="AB990">
        <v>0</v>
      </c>
      <c r="AC990">
        <v>0</v>
      </c>
      <c r="AD990">
        <v>1421</v>
      </c>
    </row>
    <row r="991" spans="1:30" x14ac:dyDescent="0.25">
      <c r="H991" t="s">
        <v>2027</v>
      </c>
    </row>
    <row r="992" spans="1:30" x14ac:dyDescent="0.25">
      <c r="A992">
        <v>493</v>
      </c>
      <c r="B992">
        <v>5511</v>
      </c>
      <c r="C992" t="s">
        <v>2028</v>
      </c>
      <c r="D992" t="s">
        <v>2029</v>
      </c>
      <c r="E992" t="s">
        <v>595</v>
      </c>
      <c r="F992" t="s">
        <v>2030</v>
      </c>
      <c r="G992" t="str">
        <f>"00202960"</f>
        <v>00202960</v>
      </c>
      <c r="H992">
        <v>803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30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84</v>
      </c>
      <c r="W992">
        <v>588</v>
      </c>
      <c r="X992">
        <v>0</v>
      </c>
      <c r="Z992">
        <v>0</v>
      </c>
      <c r="AA992">
        <v>0</v>
      </c>
      <c r="AB992">
        <v>0</v>
      </c>
      <c r="AC992">
        <v>0</v>
      </c>
      <c r="AD992">
        <v>1421</v>
      </c>
    </row>
    <row r="993" spans="1:30" x14ac:dyDescent="0.25">
      <c r="H993" t="s">
        <v>2031</v>
      </c>
    </row>
    <row r="994" spans="1:30" x14ac:dyDescent="0.25">
      <c r="A994">
        <v>494</v>
      </c>
      <c r="B994">
        <v>3803</v>
      </c>
      <c r="C994" t="s">
        <v>2032</v>
      </c>
      <c r="D994" t="s">
        <v>2033</v>
      </c>
      <c r="E994" t="s">
        <v>290</v>
      </c>
      <c r="F994" t="s">
        <v>2034</v>
      </c>
      <c r="G994" t="str">
        <f>"201311000415"</f>
        <v>201311000415</v>
      </c>
      <c r="H994">
        <v>803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30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84</v>
      </c>
      <c r="W994">
        <v>588</v>
      </c>
      <c r="X994">
        <v>0</v>
      </c>
      <c r="Z994">
        <v>0</v>
      </c>
      <c r="AA994">
        <v>0</v>
      </c>
      <c r="AB994">
        <v>0</v>
      </c>
      <c r="AC994">
        <v>0</v>
      </c>
      <c r="AD994">
        <v>1421</v>
      </c>
    </row>
    <row r="995" spans="1:30" x14ac:dyDescent="0.25">
      <c r="H995" t="s">
        <v>2035</v>
      </c>
    </row>
    <row r="996" spans="1:30" x14ac:dyDescent="0.25">
      <c r="A996">
        <v>495</v>
      </c>
      <c r="B996">
        <v>3294</v>
      </c>
      <c r="C996" t="s">
        <v>2036</v>
      </c>
      <c r="D996" t="s">
        <v>1215</v>
      </c>
      <c r="E996" t="s">
        <v>212</v>
      </c>
      <c r="F996" t="s">
        <v>2037</v>
      </c>
      <c r="G996" t="str">
        <f>"00156238"</f>
        <v>00156238</v>
      </c>
      <c r="H996" t="s">
        <v>1371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70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84</v>
      </c>
      <c r="W996">
        <v>588</v>
      </c>
      <c r="X996">
        <v>0</v>
      </c>
      <c r="Z996">
        <v>0</v>
      </c>
      <c r="AA996">
        <v>0</v>
      </c>
      <c r="AB996">
        <v>0</v>
      </c>
      <c r="AC996">
        <v>0</v>
      </c>
      <c r="AD996" t="s">
        <v>2038</v>
      </c>
    </row>
    <row r="997" spans="1:30" x14ac:dyDescent="0.25">
      <c r="H997" t="s">
        <v>273</v>
      </c>
    </row>
    <row r="998" spans="1:30" x14ac:dyDescent="0.25">
      <c r="A998">
        <v>496</v>
      </c>
      <c r="B998">
        <v>4569</v>
      </c>
      <c r="C998" t="s">
        <v>2039</v>
      </c>
      <c r="D998" t="s">
        <v>75</v>
      </c>
      <c r="E998" t="s">
        <v>47</v>
      </c>
      <c r="F998" t="s">
        <v>2040</v>
      </c>
      <c r="G998" t="str">
        <f>"00362699"</f>
        <v>00362699</v>
      </c>
      <c r="H998" t="s">
        <v>1371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70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84</v>
      </c>
      <c r="W998">
        <v>588</v>
      </c>
      <c r="X998">
        <v>0</v>
      </c>
      <c r="Z998">
        <v>0</v>
      </c>
      <c r="AA998">
        <v>0</v>
      </c>
      <c r="AB998">
        <v>0</v>
      </c>
      <c r="AC998">
        <v>0</v>
      </c>
      <c r="AD998" t="s">
        <v>2038</v>
      </c>
    </row>
    <row r="999" spans="1:30" x14ac:dyDescent="0.25">
      <c r="H999" t="s">
        <v>2041</v>
      </c>
    </row>
    <row r="1000" spans="1:30" x14ac:dyDescent="0.25">
      <c r="A1000">
        <v>497</v>
      </c>
      <c r="B1000">
        <v>139</v>
      </c>
      <c r="C1000" t="s">
        <v>1185</v>
      </c>
      <c r="D1000" t="s">
        <v>162</v>
      </c>
      <c r="E1000" t="s">
        <v>51</v>
      </c>
      <c r="F1000" t="s">
        <v>2042</v>
      </c>
      <c r="G1000" t="str">
        <f>"00251594"</f>
        <v>00251594</v>
      </c>
      <c r="H1000" t="s">
        <v>470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50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84</v>
      </c>
      <c r="W1000">
        <v>588</v>
      </c>
      <c r="X1000">
        <v>0</v>
      </c>
      <c r="Z1000">
        <v>0</v>
      </c>
      <c r="AA1000">
        <v>0</v>
      </c>
      <c r="AB1000">
        <v>0</v>
      </c>
      <c r="AC1000">
        <v>0</v>
      </c>
      <c r="AD1000" t="s">
        <v>2043</v>
      </c>
    </row>
    <row r="1001" spans="1:30" x14ac:dyDescent="0.25">
      <c r="H1001" t="s">
        <v>2044</v>
      </c>
    </row>
    <row r="1002" spans="1:30" x14ac:dyDescent="0.25">
      <c r="A1002">
        <v>498</v>
      </c>
      <c r="B1002">
        <v>4354</v>
      </c>
      <c r="C1002" t="s">
        <v>2045</v>
      </c>
      <c r="D1002" t="s">
        <v>694</v>
      </c>
      <c r="E1002" t="s">
        <v>2046</v>
      </c>
      <c r="F1002" t="s">
        <v>2047</v>
      </c>
      <c r="G1002" t="str">
        <f>"201601001122"</f>
        <v>201601001122</v>
      </c>
      <c r="H1002">
        <v>682</v>
      </c>
      <c r="I1002">
        <v>0</v>
      </c>
      <c r="J1002">
        <v>0</v>
      </c>
      <c r="K1002">
        <v>0</v>
      </c>
      <c r="L1002">
        <v>0</v>
      </c>
      <c r="M1002">
        <v>100</v>
      </c>
      <c r="N1002">
        <v>50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84</v>
      </c>
      <c r="W1002">
        <v>588</v>
      </c>
      <c r="X1002">
        <v>0</v>
      </c>
      <c r="Z1002">
        <v>0</v>
      </c>
      <c r="AA1002">
        <v>0</v>
      </c>
      <c r="AB1002">
        <v>0</v>
      </c>
      <c r="AC1002">
        <v>0</v>
      </c>
      <c r="AD1002">
        <v>1420</v>
      </c>
    </row>
    <row r="1003" spans="1:30" x14ac:dyDescent="0.25">
      <c r="H1003">
        <v>1249</v>
      </c>
    </row>
    <row r="1004" spans="1:30" x14ac:dyDescent="0.25">
      <c r="A1004">
        <v>499</v>
      </c>
      <c r="B1004">
        <v>2433</v>
      </c>
      <c r="C1004" t="s">
        <v>2048</v>
      </c>
      <c r="D1004" t="s">
        <v>2049</v>
      </c>
      <c r="E1004" t="s">
        <v>107</v>
      </c>
      <c r="F1004" t="s">
        <v>2050</v>
      </c>
      <c r="G1004" t="str">
        <f>"00140026"</f>
        <v>00140026</v>
      </c>
      <c r="H1004" t="s">
        <v>1726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30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84</v>
      </c>
      <c r="W1004">
        <v>588</v>
      </c>
      <c r="X1004">
        <v>0</v>
      </c>
      <c r="Z1004">
        <v>0</v>
      </c>
      <c r="AA1004">
        <v>0</v>
      </c>
      <c r="AB1004">
        <v>0</v>
      </c>
      <c r="AC1004">
        <v>0</v>
      </c>
      <c r="AD1004" t="s">
        <v>2051</v>
      </c>
    </row>
    <row r="1005" spans="1:30" x14ac:dyDescent="0.25">
      <c r="H1005" t="s">
        <v>2052</v>
      </c>
    </row>
    <row r="1006" spans="1:30" x14ac:dyDescent="0.25">
      <c r="A1006">
        <v>500</v>
      </c>
      <c r="B1006">
        <v>4131</v>
      </c>
      <c r="C1006" t="s">
        <v>2053</v>
      </c>
      <c r="D1006" t="s">
        <v>420</v>
      </c>
      <c r="E1006" t="s">
        <v>2054</v>
      </c>
      <c r="F1006" t="s">
        <v>2055</v>
      </c>
      <c r="G1006" t="str">
        <f>"200805000641"</f>
        <v>200805000641</v>
      </c>
      <c r="H1006" t="s">
        <v>2056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30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76</v>
      </c>
      <c r="W1006">
        <v>532</v>
      </c>
      <c r="X1006">
        <v>0</v>
      </c>
      <c r="Z1006">
        <v>0</v>
      </c>
      <c r="AA1006">
        <v>0</v>
      </c>
      <c r="AB1006">
        <v>8</v>
      </c>
      <c r="AC1006">
        <v>136</v>
      </c>
      <c r="AD1006" t="s">
        <v>2057</v>
      </c>
    </row>
    <row r="1007" spans="1:30" x14ac:dyDescent="0.25">
      <c r="H1007" t="s">
        <v>2058</v>
      </c>
    </row>
    <row r="1008" spans="1:30" x14ac:dyDescent="0.25">
      <c r="A1008">
        <v>501</v>
      </c>
      <c r="B1008">
        <v>845</v>
      </c>
      <c r="C1008" t="s">
        <v>1766</v>
      </c>
      <c r="D1008" t="s">
        <v>2059</v>
      </c>
      <c r="E1008" t="s">
        <v>47</v>
      </c>
      <c r="F1008" t="s">
        <v>2060</v>
      </c>
      <c r="G1008" t="str">
        <f>"201406007481"</f>
        <v>201406007481</v>
      </c>
      <c r="H1008" t="s">
        <v>2061</v>
      </c>
      <c r="I1008">
        <v>150</v>
      </c>
      <c r="J1008">
        <v>0</v>
      </c>
      <c r="K1008">
        <v>0</v>
      </c>
      <c r="L1008">
        <v>0</v>
      </c>
      <c r="M1008">
        <v>0</v>
      </c>
      <c r="N1008">
        <v>70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48</v>
      </c>
      <c r="W1008">
        <v>336</v>
      </c>
      <c r="X1008">
        <v>0</v>
      </c>
      <c r="Z1008">
        <v>0</v>
      </c>
      <c r="AA1008">
        <v>0</v>
      </c>
      <c r="AB1008">
        <v>0</v>
      </c>
      <c r="AC1008">
        <v>0</v>
      </c>
      <c r="AD1008" t="s">
        <v>2062</v>
      </c>
    </row>
    <row r="1009" spans="1:30" x14ac:dyDescent="0.25">
      <c r="H1009" t="s">
        <v>2063</v>
      </c>
    </row>
    <row r="1010" spans="1:30" x14ac:dyDescent="0.25">
      <c r="A1010">
        <v>502</v>
      </c>
      <c r="B1010">
        <v>2407</v>
      </c>
      <c r="C1010" t="s">
        <v>2064</v>
      </c>
      <c r="D1010" t="s">
        <v>271</v>
      </c>
      <c r="E1010" t="s">
        <v>239</v>
      </c>
      <c r="F1010" t="s">
        <v>2065</v>
      </c>
      <c r="G1010" t="str">
        <f>"00149190"</f>
        <v>00149190</v>
      </c>
      <c r="H1010">
        <v>748</v>
      </c>
      <c r="I1010">
        <v>0</v>
      </c>
      <c r="J1010">
        <v>0</v>
      </c>
      <c r="K1010">
        <v>0</v>
      </c>
      <c r="L1010">
        <v>200</v>
      </c>
      <c r="M1010">
        <v>0</v>
      </c>
      <c r="N1010">
        <v>30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63</v>
      </c>
      <c r="W1010">
        <v>441</v>
      </c>
      <c r="X1010">
        <v>0</v>
      </c>
      <c r="Z1010">
        <v>0</v>
      </c>
      <c r="AA1010">
        <v>0</v>
      </c>
      <c r="AB1010">
        <v>0</v>
      </c>
      <c r="AC1010">
        <v>0</v>
      </c>
      <c r="AD1010">
        <v>1419</v>
      </c>
    </row>
    <row r="1011" spans="1:30" x14ac:dyDescent="0.25">
      <c r="H1011" t="s">
        <v>2066</v>
      </c>
    </row>
    <row r="1012" spans="1:30" x14ac:dyDescent="0.25">
      <c r="A1012">
        <v>503</v>
      </c>
      <c r="B1012">
        <v>5954</v>
      </c>
      <c r="C1012" t="s">
        <v>2067</v>
      </c>
      <c r="D1012" t="s">
        <v>2068</v>
      </c>
      <c r="E1012" t="s">
        <v>2069</v>
      </c>
      <c r="F1012" t="s">
        <v>2070</v>
      </c>
      <c r="G1012" t="str">
        <f>"00362469"</f>
        <v>00362469</v>
      </c>
      <c r="H1012" t="s">
        <v>293</v>
      </c>
      <c r="I1012">
        <v>0</v>
      </c>
      <c r="J1012">
        <v>0</v>
      </c>
      <c r="K1012">
        <v>0</v>
      </c>
      <c r="L1012">
        <v>200</v>
      </c>
      <c r="M1012">
        <v>0</v>
      </c>
      <c r="N1012">
        <v>70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1</v>
      </c>
      <c r="W1012">
        <v>7</v>
      </c>
      <c r="X1012">
        <v>0</v>
      </c>
      <c r="Z1012">
        <v>0</v>
      </c>
      <c r="AA1012">
        <v>0</v>
      </c>
      <c r="AB1012">
        <v>24</v>
      </c>
      <c r="AC1012">
        <v>408</v>
      </c>
      <c r="AD1012" t="s">
        <v>2071</v>
      </c>
    </row>
    <row r="1013" spans="1:30" x14ac:dyDescent="0.25">
      <c r="H1013" t="s">
        <v>2072</v>
      </c>
    </row>
    <row r="1014" spans="1:30" x14ac:dyDescent="0.25">
      <c r="A1014">
        <v>504</v>
      </c>
      <c r="B1014">
        <v>1464</v>
      </c>
      <c r="C1014" t="s">
        <v>2073</v>
      </c>
      <c r="D1014" t="s">
        <v>98</v>
      </c>
      <c r="E1014" t="s">
        <v>183</v>
      </c>
      <c r="F1014" t="s">
        <v>2074</v>
      </c>
      <c r="G1014" t="str">
        <f>"201402010702"</f>
        <v>201402010702</v>
      </c>
      <c r="H1014" t="s">
        <v>204</v>
      </c>
      <c r="I1014">
        <v>0</v>
      </c>
      <c r="J1014">
        <v>0</v>
      </c>
      <c r="K1014">
        <v>0</v>
      </c>
      <c r="L1014">
        <v>0</v>
      </c>
      <c r="M1014">
        <v>100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84</v>
      </c>
      <c r="W1014">
        <v>588</v>
      </c>
      <c r="X1014">
        <v>0</v>
      </c>
      <c r="Z1014">
        <v>0</v>
      </c>
      <c r="AA1014">
        <v>0</v>
      </c>
      <c r="AB1014">
        <v>0</v>
      </c>
      <c r="AC1014">
        <v>0</v>
      </c>
      <c r="AD1014" t="s">
        <v>2075</v>
      </c>
    </row>
    <row r="1015" spans="1:30" x14ac:dyDescent="0.25">
      <c r="H1015" t="s">
        <v>2076</v>
      </c>
    </row>
    <row r="1016" spans="1:30" x14ac:dyDescent="0.25">
      <c r="A1016">
        <v>505</v>
      </c>
      <c r="B1016">
        <v>123</v>
      </c>
      <c r="C1016" t="s">
        <v>2077</v>
      </c>
      <c r="D1016" t="s">
        <v>86</v>
      </c>
      <c r="E1016" t="s">
        <v>47</v>
      </c>
      <c r="F1016" t="s">
        <v>2078</v>
      </c>
      <c r="G1016" t="str">
        <f>"200712003150"</f>
        <v>200712003150</v>
      </c>
      <c r="H1016">
        <v>847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30</v>
      </c>
      <c r="O1016">
        <v>0</v>
      </c>
      <c r="P1016">
        <v>0</v>
      </c>
      <c r="Q1016">
        <v>30</v>
      </c>
      <c r="R1016">
        <v>0</v>
      </c>
      <c r="S1016">
        <v>0</v>
      </c>
      <c r="T1016">
        <v>0</v>
      </c>
      <c r="U1016">
        <v>0</v>
      </c>
      <c r="V1016">
        <v>73</v>
      </c>
      <c r="W1016">
        <v>511</v>
      </c>
      <c r="X1016">
        <v>0</v>
      </c>
      <c r="Z1016">
        <v>0</v>
      </c>
      <c r="AA1016">
        <v>0</v>
      </c>
      <c r="AB1016">
        <v>0</v>
      </c>
      <c r="AC1016">
        <v>0</v>
      </c>
      <c r="AD1016">
        <v>1418</v>
      </c>
    </row>
    <row r="1017" spans="1:30" x14ac:dyDescent="0.25">
      <c r="H1017" t="s">
        <v>2079</v>
      </c>
    </row>
    <row r="1018" spans="1:30" x14ac:dyDescent="0.25">
      <c r="A1018">
        <v>506</v>
      </c>
      <c r="B1018">
        <v>4913</v>
      </c>
      <c r="C1018" t="s">
        <v>2080</v>
      </c>
      <c r="D1018" t="s">
        <v>335</v>
      </c>
      <c r="E1018" t="s">
        <v>238</v>
      </c>
      <c r="F1018" t="s">
        <v>2081</v>
      </c>
      <c r="G1018" t="str">
        <f>"201510000192"</f>
        <v>201510000192</v>
      </c>
      <c r="H1018" t="s">
        <v>2082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30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83</v>
      </c>
      <c r="W1018">
        <v>581</v>
      </c>
      <c r="X1018">
        <v>0</v>
      </c>
      <c r="Z1018">
        <v>0</v>
      </c>
      <c r="AA1018">
        <v>0</v>
      </c>
      <c r="AB1018">
        <v>0</v>
      </c>
      <c r="AC1018">
        <v>0</v>
      </c>
      <c r="AD1018" t="s">
        <v>2083</v>
      </c>
    </row>
    <row r="1019" spans="1:30" x14ac:dyDescent="0.25">
      <c r="H1019" t="s">
        <v>532</v>
      </c>
    </row>
    <row r="1020" spans="1:30" x14ac:dyDescent="0.25">
      <c r="A1020">
        <v>507</v>
      </c>
      <c r="B1020">
        <v>932</v>
      </c>
      <c r="C1020" t="s">
        <v>2084</v>
      </c>
      <c r="D1020" t="s">
        <v>162</v>
      </c>
      <c r="E1020" t="s">
        <v>183</v>
      </c>
      <c r="F1020" t="s">
        <v>2085</v>
      </c>
      <c r="G1020" t="str">
        <f>"201412000771"</f>
        <v>201412000771</v>
      </c>
      <c r="H1020">
        <v>759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70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84</v>
      </c>
      <c r="W1020">
        <v>588</v>
      </c>
      <c r="X1020">
        <v>0</v>
      </c>
      <c r="Z1020">
        <v>1</v>
      </c>
      <c r="AA1020">
        <v>0</v>
      </c>
      <c r="AB1020">
        <v>0</v>
      </c>
      <c r="AC1020">
        <v>0</v>
      </c>
      <c r="AD1020">
        <v>1417</v>
      </c>
    </row>
    <row r="1021" spans="1:30" x14ac:dyDescent="0.25">
      <c r="H1021" t="s">
        <v>2086</v>
      </c>
    </row>
    <row r="1022" spans="1:30" x14ac:dyDescent="0.25">
      <c r="A1022">
        <v>508</v>
      </c>
      <c r="B1022">
        <v>2732</v>
      </c>
      <c r="C1022" t="s">
        <v>2087</v>
      </c>
      <c r="D1022" t="s">
        <v>2088</v>
      </c>
      <c r="E1022" t="s">
        <v>162</v>
      </c>
      <c r="F1022" t="s">
        <v>2089</v>
      </c>
      <c r="G1022" t="str">
        <f>"00200334"</f>
        <v>00200334</v>
      </c>
      <c r="H1022">
        <v>759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70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84</v>
      </c>
      <c r="W1022">
        <v>588</v>
      </c>
      <c r="X1022">
        <v>0</v>
      </c>
      <c r="Z1022">
        <v>0</v>
      </c>
      <c r="AA1022">
        <v>0</v>
      </c>
      <c r="AB1022">
        <v>0</v>
      </c>
      <c r="AC1022">
        <v>0</v>
      </c>
      <c r="AD1022">
        <v>1417</v>
      </c>
    </row>
    <row r="1023" spans="1:30" x14ac:dyDescent="0.25">
      <c r="H1023" t="s">
        <v>2090</v>
      </c>
    </row>
    <row r="1024" spans="1:30" x14ac:dyDescent="0.25">
      <c r="A1024">
        <v>509</v>
      </c>
      <c r="B1024">
        <v>2363</v>
      </c>
      <c r="C1024" t="s">
        <v>2091</v>
      </c>
      <c r="D1024" t="s">
        <v>2092</v>
      </c>
      <c r="E1024" t="s">
        <v>183</v>
      </c>
      <c r="F1024" t="s">
        <v>2093</v>
      </c>
      <c r="G1024" t="str">
        <f>"200802007889"</f>
        <v>200802007889</v>
      </c>
      <c r="H1024">
        <v>759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70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84</v>
      </c>
      <c r="W1024">
        <v>588</v>
      </c>
      <c r="X1024">
        <v>0</v>
      </c>
      <c r="Z1024">
        <v>0</v>
      </c>
      <c r="AA1024">
        <v>0</v>
      </c>
      <c r="AB1024">
        <v>0</v>
      </c>
      <c r="AC1024">
        <v>0</v>
      </c>
      <c r="AD1024">
        <v>1417</v>
      </c>
    </row>
    <row r="1025" spans="1:30" x14ac:dyDescent="0.25">
      <c r="H1025" t="s">
        <v>2094</v>
      </c>
    </row>
    <row r="1026" spans="1:30" x14ac:dyDescent="0.25">
      <c r="A1026">
        <v>510</v>
      </c>
      <c r="B1026">
        <v>6226</v>
      </c>
      <c r="C1026" t="s">
        <v>2095</v>
      </c>
      <c r="D1026" t="s">
        <v>166</v>
      </c>
      <c r="E1026" t="s">
        <v>33</v>
      </c>
      <c r="F1026" t="s">
        <v>2096</v>
      </c>
      <c r="G1026" t="str">
        <f>"200805000679"</f>
        <v>200805000679</v>
      </c>
      <c r="H1026">
        <v>759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70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84</v>
      </c>
      <c r="W1026">
        <v>588</v>
      </c>
      <c r="X1026">
        <v>0</v>
      </c>
      <c r="Z1026">
        <v>0</v>
      </c>
      <c r="AA1026">
        <v>0</v>
      </c>
      <c r="AB1026">
        <v>0</v>
      </c>
      <c r="AC1026">
        <v>0</v>
      </c>
      <c r="AD1026">
        <v>1417</v>
      </c>
    </row>
    <row r="1027" spans="1:30" x14ac:dyDescent="0.25">
      <c r="H1027" t="s">
        <v>2097</v>
      </c>
    </row>
    <row r="1028" spans="1:30" x14ac:dyDescent="0.25">
      <c r="A1028">
        <v>511</v>
      </c>
      <c r="B1028">
        <v>3962</v>
      </c>
      <c r="C1028" t="s">
        <v>2098</v>
      </c>
      <c r="D1028" t="s">
        <v>51</v>
      </c>
      <c r="E1028" t="s">
        <v>39</v>
      </c>
      <c r="F1028" t="s">
        <v>2099</v>
      </c>
      <c r="G1028" t="str">
        <f>"201406008352"</f>
        <v>201406008352</v>
      </c>
      <c r="H1028">
        <v>759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70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84</v>
      </c>
      <c r="W1028">
        <v>588</v>
      </c>
      <c r="X1028">
        <v>0</v>
      </c>
      <c r="Z1028">
        <v>0</v>
      </c>
      <c r="AA1028">
        <v>0</v>
      </c>
      <c r="AB1028">
        <v>0</v>
      </c>
      <c r="AC1028">
        <v>0</v>
      </c>
      <c r="AD1028">
        <v>1417</v>
      </c>
    </row>
    <row r="1029" spans="1:30" x14ac:dyDescent="0.25">
      <c r="H1029" t="s">
        <v>2100</v>
      </c>
    </row>
    <row r="1030" spans="1:30" x14ac:dyDescent="0.25">
      <c r="A1030">
        <v>512</v>
      </c>
      <c r="B1030">
        <v>3097</v>
      </c>
      <c r="C1030" t="s">
        <v>2101</v>
      </c>
      <c r="D1030" t="s">
        <v>59</v>
      </c>
      <c r="E1030" t="s">
        <v>39</v>
      </c>
      <c r="F1030" t="s">
        <v>2102</v>
      </c>
      <c r="G1030" t="str">
        <f>"200905000437"</f>
        <v>200905000437</v>
      </c>
      <c r="H1030">
        <v>748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30</v>
      </c>
      <c r="O1030">
        <v>0</v>
      </c>
      <c r="P1030">
        <v>50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84</v>
      </c>
      <c r="W1030">
        <v>588</v>
      </c>
      <c r="X1030">
        <v>0</v>
      </c>
      <c r="Z1030">
        <v>1</v>
      </c>
      <c r="AA1030">
        <v>0</v>
      </c>
      <c r="AB1030">
        <v>0</v>
      </c>
      <c r="AC1030">
        <v>0</v>
      </c>
      <c r="AD1030">
        <v>1416</v>
      </c>
    </row>
    <row r="1031" spans="1:30" x14ac:dyDescent="0.25">
      <c r="H1031" t="s">
        <v>2103</v>
      </c>
    </row>
    <row r="1032" spans="1:30" x14ac:dyDescent="0.25">
      <c r="A1032">
        <v>513</v>
      </c>
      <c r="B1032">
        <v>3473</v>
      </c>
      <c r="C1032" t="s">
        <v>2104</v>
      </c>
      <c r="D1032" t="s">
        <v>335</v>
      </c>
      <c r="E1032" t="s">
        <v>47</v>
      </c>
      <c r="F1032" t="s">
        <v>2105</v>
      </c>
      <c r="G1032" t="str">
        <f>"201506001198"</f>
        <v>201506001198</v>
      </c>
      <c r="H1032">
        <v>748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30</v>
      </c>
      <c r="O1032">
        <v>0</v>
      </c>
      <c r="P1032">
        <v>50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84</v>
      </c>
      <c r="W1032">
        <v>588</v>
      </c>
      <c r="X1032">
        <v>0</v>
      </c>
      <c r="Z1032">
        <v>0</v>
      </c>
      <c r="AA1032">
        <v>0</v>
      </c>
      <c r="AB1032">
        <v>0</v>
      </c>
      <c r="AC1032">
        <v>0</v>
      </c>
      <c r="AD1032">
        <v>1416</v>
      </c>
    </row>
    <row r="1033" spans="1:30" x14ac:dyDescent="0.25">
      <c r="H1033" t="s">
        <v>2106</v>
      </c>
    </row>
    <row r="1034" spans="1:30" x14ac:dyDescent="0.25">
      <c r="A1034">
        <v>514</v>
      </c>
      <c r="B1034">
        <v>4737</v>
      </c>
      <c r="C1034" t="s">
        <v>2107</v>
      </c>
      <c r="D1034" t="s">
        <v>544</v>
      </c>
      <c r="E1034" t="s">
        <v>33</v>
      </c>
      <c r="F1034" t="s">
        <v>2108</v>
      </c>
      <c r="G1034" t="str">
        <f>"00148193"</f>
        <v>00148193</v>
      </c>
      <c r="H1034">
        <v>748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50</v>
      </c>
      <c r="O1034">
        <v>0</v>
      </c>
      <c r="P1034">
        <v>0</v>
      </c>
      <c r="Q1034">
        <v>30</v>
      </c>
      <c r="R1034">
        <v>0</v>
      </c>
      <c r="S1034">
        <v>0</v>
      </c>
      <c r="T1034">
        <v>0</v>
      </c>
      <c r="U1034">
        <v>0</v>
      </c>
      <c r="V1034">
        <v>84</v>
      </c>
      <c r="W1034">
        <v>588</v>
      </c>
      <c r="X1034">
        <v>0</v>
      </c>
      <c r="Z1034">
        <v>0</v>
      </c>
      <c r="AA1034">
        <v>0</v>
      </c>
      <c r="AB1034">
        <v>0</v>
      </c>
      <c r="AC1034">
        <v>0</v>
      </c>
      <c r="AD1034">
        <v>1416</v>
      </c>
    </row>
    <row r="1035" spans="1:30" x14ac:dyDescent="0.25">
      <c r="H1035" t="s">
        <v>2109</v>
      </c>
    </row>
    <row r="1036" spans="1:30" x14ac:dyDescent="0.25">
      <c r="A1036">
        <v>515</v>
      </c>
      <c r="B1036">
        <v>3000</v>
      </c>
      <c r="C1036" t="s">
        <v>2110</v>
      </c>
      <c r="D1036" t="s">
        <v>2111</v>
      </c>
      <c r="E1036" t="s">
        <v>40</v>
      </c>
      <c r="F1036" t="s">
        <v>2112</v>
      </c>
      <c r="G1036" t="str">
        <f>"201406010136"</f>
        <v>201406010136</v>
      </c>
      <c r="H1036">
        <v>748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30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79</v>
      </c>
      <c r="W1036">
        <v>553</v>
      </c>
      <c r="X1036">
        <v>0</v>
      </c>
      <c r="Z1036">
        <v>0</v>
      </c>
      <c r="AA1036">
        <v>0</v>
      </c>
      <c r="AB1036">
        <v>5</v>
      </c>
      <c r="AC1036">
        <v>85</v>
      </c>
      <c r="AD1036">
        <v>1416</v>
      </c>
    </row>
    <row r="1037" spans="1:30" x14ac:dyDescent="0.25">
      <c r="H1037" t="s">
        <v>2113</v>
      </c>
    </row>
    <row r="1038" spans="1:30" x14ac:dyDescent="0.25">
      <c r="A1038">
        <v>516</v>
      </c>
      <c r="B1038">
        <v>2135</v>
      </c>
      <c r="C1038" t="s">
        <v>2114</v>
      </c>
      <c r="D1038" t="s">
        <v>869</v>
      </c>
      <c r="E1038" t="s">
        <v>162</v>
      </c>
      <c r="F1038" t="s">
        <v>2115</v>
      </c>
      <c r="G1038" t="str">
        <f>"00277368"</f>
        <v>00277368</v>
      </c>
      <c r="H1038" t="s">
        <v>2116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47</v>
      </c>
      <c r="W1038">
        <v>329</v>
      </c>
      <c r="X1038">
        <v>0</v>
      </c>
      <c r="Z1038">
        <v>0</v>
      </c>
      <c r="AA1038">
        <v>0</v>
      </c>
      <c r="AB1038">
        <v>24</v>
      </c>
      <c r="AC1038">
        <v>408</v>
      </c>
      <c r="AD1038" t="s">
        <v>2117</v>
      </c>
    </row>
    <row r="1039" spans="1:30" x14ac:dyDescent="0.25">
      <c r="H1039" t="s">
        <v>2118</v>
      </c>
    </row>
    <row r="1040" spans="1:30" x14ac:dyDescent="0.25">
      <c r="A1040">
        <v>517</v>
      </c>
      <c r="B1040">
        <v>1187</v>
      </c>
      <c r="C1040" t="s">
        <v>2119</v>
      </c>
      <c r="D1040" t="s">
        <v>2120</v>
      </c>
      <c r="E1040" t="s">
        <v>1660</v>
      </c>
      <c r="F1040" t="s">
        <v>2121</v>
      </c>
      <c r="G1040" t="str">
        <f>"00307299"</f>
        <v>00307299</v>
      </c>
      <c r="H1040" t="s">
        <v>241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50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34</v>
      </c>
      <c r="W1040">
        <v>238</v>
      </c>
      <c r="X1040">
        <v>6</v>
      </c>
      <c r="Y1040">
        <v>1251</v>
      </c>
      <c r="Z1040">
        <v>2</v>
      </c>
      <c r="AA1040">
        <v>0</v>
      </c>
      <c r="AB1040">
        <v>24</v>
      </c>
      <c r="AC1040">
        <v>408</v>
      </c>
      <c r="AD1040" t="s">
        <v>2122</v>
      </c>
    </row>
    <row r="1041" spans="1:30" x14ac:dyDescent="0.25">
      <c r="H1041">
        <v>1251</v>
      </c>
    </row>
    <row r="1042" spans="1:30" x14ac:dyDescent="0.25">
      <c r="A1042">
        <v>518</v>
      </c>
      <c r="B1042">
        <v>4025</v>
      </c>
      <c r="C1042" t="s">
        <v>2123</v>
      </c>
      <c r="D1042" t="s">
        <v>2124</v>
      </c>
      <c r="E1042" t="s">
        <v>40</v>
      </c>
      <c r="F1042" t="s">
        <v>2125</v>
      </c>
      <c r="G1042" t="str">
        <f>"200801008779"</f>
        <v>200801008779</v>
      </c>
      <c r="H1042" t="s">
        <v>2126</v>
      </c>
      <c r="I1042">
        <v>0</v>
      </c>
      <c r="J1042">
        <v>0</v>
      </c>
      <c r="K1042">
        <v>0</v>
      </c>
      <c r="L1042">
        <v>0</v>
      </c>
      <c r="M1042">
        <v>100</v>
      </c>
      <c r="N1042">
        <v>50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84</v>
      </c>
      <c r="W1042">
        <v>588</v>
      </c>
      <c r="X1042">
        <v>0</v>
      </c>
      <c r="Z1042">
        <v>2</v>
      </c>
      <c r="AA1042">
        <v>0</v>
      </c>
      <c r="AB1042">
        <v>0</v>
      </c>
      <c r="AC1042">
        <v>0</v>
      </c>
      <c r="AD1042" t="s">
        <v>2127</v>
      </c>
    </row>
    <row r="1043" spans="1:30" x14ac:dyDescent="0.25">
      <c r="H1043" t="s">
        <v>2128</v>
      </c>
    </row>
    <row r="1044" spans="1:30" x14ac:dyDescent="0.25">
      <c r="A1044">
        <v>519</v>
      </c>
      <c r="B1044">
        <v>1377</v>
      </c>
      <c r="C1044" t="s">
        <v>2129</v>
      </c>
      <c r="D1044" t="s">
        <v>335</v>
      </c>
      <c r="E1044" t="s">
        <v>140</v>
      </c>
      <c r="F1044" t="s">
        <v>2130</v>
      </c>
      <c r="G1044" t="str">
        <f>"00309732"</f>
        <v>00309732</v>
      </c>
      <c r="H1044" t="s">
        <v>258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30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84</v>
      </c>
      <c r="W1044">
        <v>588</v>
      </c>
      <c r="X1044">
        <v>0</v>
      </c>
      <c r="Z1044">
        <v>0</v>
      </c>
      <c r="AA1044">
        <v>0</v>
      </c>
      <c r="AB1044">
        <v>0</v>
      </c>
      <c r="AC1044">
        <v>0</v>
      </c>
      <c r="AD1044" t="s">
        <v>2131</v>
      </c>
    </row>
    <row r="1045" spans="1:30" x14ac:dyDescent="0.25">
      <c r="H1045" t="s">
        <v>2132</v>
      </c>
    </row>
    <row r="1046" spans="1:30" x14ac:dyDescent="0.25">
      <c r="A1046">
        <v>520</v>
      </c>
      <c r="B1046">
        <v>1530</v>
      </c>
      <c r="C1046" t="s">
        <v>102</v>
      </c>
      <c r="D1046" t="s">
        <v>2133</v>
      </c>
      <c r="E1046" t="s">
        <v>251</v>
      </c>
      <c r="F1046" t="s">
        <v>2134</v>
      </c>
      <c r="G1046" t="str">
        <f>"00177267"</f>
        <v>00177267</v>
      </c>
      <c r="H1046" t="s">
        <v>667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50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25</v>
      </c>
      <c r="W1046">
        <v>175</v>
      </c>
      <c r="X1046">
        <v>0</v>
      </c>
      <c r="Z1046">
        <v>0</v>
      </c>
      <c r="AA1046">
        <v>0</v>
      </c>
      <c r="AB1046">
        <v>24</v>
      </c>
      <c r="AC1046">
        <v>408</v>
      </c>
      <c r="AD1046" t="s">
        <v>2135</v>
      </c>
    </row>
    <row r="1047" spans="1:30" x14ac:dyDescent="0.25">
      <c r="H1047" t="s">
        <v>521</v>
      </c>
    </row>
    <row r="1048" spans="1:30" x14ac:dyDescent="0.25">
      <c r="A1048">
        <v>521</v>
      </c>
      <c r="B1048">
        <v>4731</v>
      </c>
      <c r="C1048" t="s">
        <v>2136</v>
      </c>
      <c r="D1048" t="s">
        <v>1810</v>
      </c>
      <c r="E1048" t="s">
        <v>87</v>
      </c>
      <c r="F1048" t="s">
        <v>2137</v>
      </c>
      <c r="G1048" t="str">
        <f>"200803000728"</f>
        <v>200803000728</v>
      </c>
      <c r="H1048" t="s">
        <v>696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70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81</v>
      </c>
      <c r="W1048">
        <v>567</v>
      </c>
      <c r="X1048">
        <v>0</v>
      </c>
      <c r="Z1048">
        <v>1</v>
      </c>
      <c r="AA1048">
        <v>0</v>
      </c>
      <c r="AB1048">
        <v>0</v>
      </c>
      <c r="AC1048">
        <v>0</v>
      </c>
      <c r="AD1048" t="s">
        <v>2138</v>
      </c>
    </row>
    <row r="1049" spans="1:30" x14ac:dyDescent="0.25">
      <c r="H1049" t="s">
        <v>2139</v>
      </c>
    </row>
    <row r="1050" spans="1:30" x14ac:dyDescent="0.25">
      <c r="A1050">
        <v>522</v>
      </c>
      <c r="B1050">
        <v>973</v>
      </c>
      <c r="C1050" t="s">
        <v>2140</v>
      </c>
      <c r="D1050" t="s">
        <v>566</v>
      </c>
      <c r="E1050" t="s">
        <v>39</v>
      </c>
      <c r="F1050" t="s">
        <v>2141</v>
      </c>
      <c r="G1050" t="str">
        <f>"201309000019"</f>
        <v>201309000019</v>
      </c>
      <c r="H1050" t="s">
        <v>110</v>
      </c>
      <c r="I1050">
        <v>0</v>
      </c>
      <c r="J1050">
        <v>0</v>
      </c>
      <c r="K1050">
        <v>0</v>
      </c>
      <c r="L1050">
        <v>200</v>
      </c>
      <c r="M1050">
        <v>0</v>
      </c>
      <c r="N1050">
        <v>50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54</v>
      </c>
      <c r="W1050">
        <v>378</v>
      </c>
      <c r="X1050">
        <v>0</v>
      </c>
      <c r="Z1050">
        <v>0</v>
      </c>
      <c r="AA1050">
        <v>0</v>
      </c>
      <c r="AB1050">
        <v>0</v>
      </c>
      <c r="AC1050">
        <v>0</v>
      </c>
      <c r="AD1050" t="s">
        <v>2142</v>
      </c>
    </row>
    <row r="1051" spans="1:30" x14ac:dyDescent="0.25">
      <c r="H1051" t="s">
        <v>2143</v>
      </c>
    </row>
    <row r="1052" spans="1:30" x14ac:dyDescent="0.25">
      <c r="A1052">
        <v>523</v>
      </c>
      <c r="B1052">
        <v>4268</v>
      </c>
      <c r="C1052" t="s">
        <v>2144</v>
      </c>
      <c r="D1052" t="s">
        <v>2145</v>
      </c>
      <c r="E1052" t="s">
        <v>551</v>
      </c>
      <c r="F1052" t="s">
        <v>2146</v>
      </c>
      <c r="G1052" t="str">
        <f>"00344757"</f>
        <v>00344757</v>
      </c>
      <c r="H1052">
        <v>715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30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37</v>
      </c>
      <c r="W1052">
        <v>259</v>
      </c>
      <c r="X1052">
        <v>0</v>
      </c>
      <c r="Z1052">
        <v>0</v>
      </c>
      <c r="AA1052">
        <v>0</v>
      </c>
      <c r="AB1052">
        <v>24</v>
      </c>
      <c r="AC1052">
        <v>408</v>
      </c>
      <c r="AD1052">
        <v>1412</v>
      </c>
    </row>
    <row r="1053" spans="1:30" x14ac:dyDescent="0.25">
      <c r="H1053" t="s">
        <v>2147</v>
      </c>
    </row>
    <row r="1054" spans="1:30" x14ac:dyDescent="0.25">
      <c r="A1054">
        <v>524</v>
      </c>
      <c r="B1054">
        <v>3701</v>
      </c>
      <c r="C1054" t="s">
        <v>2148</v>
      </c>
      <c r="D1054" t="s">
        <v>182</v>
      </c>
      <c r="E1054" t="s">
        <v>2149</v>
      </c>
      <c r="F1054" t="s">
        <v>2150</v>
      </c>
      <c r="G1054" t="str">
        <f>"00187913"</f>
        <v>00187913</v>
      </c>
      <c r="H1054" t="s">
        <v>1768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84</v>
      </c>
      <c r="W1054">
        <v>588</v>
      </c>
      <c r="X1054">
        <v>0</v>
      </c>
      <c r="Z1054">
        <v>0</v>
      </c>
      <c r="AA1054">
        <v>0</v>
      </c>
      <c r="AB1054">
        <v>0</v>
      </c>
      <c r="AC1054">
        <v>0</v>
      </c>
      <c r="AD1054" t="s">
        <v>2151</v>
      </c>
    </row>
    <row r="1055" spans="1:30" x14ac:dyDescent="0.25">
      <c r="H1055" t="s">
        <v>2152</v>
      </c>
    </row>
    <row r="1056" spans="1:30" x14ac:dyDescent="0.25">
      <c r="A1056">
        <v>525</v>
      </c>
      <c r="B1056">
        <v>241</v>
      </c>
      <c r="C1056" t="s">
        <v>2153</v>
      </c>
      <c r="D1056" t="s">
        <v>694</v>
      </c>
      <c r="E1056" t="s">
        <v>151</v>
      </c>
      <c r="F1056" t="s">
        <v>2154</v>
      </c>
      <c r="G1056" t="str">
        <f>"200801006740"</f>
        <v>200801006740</v>
      </c>
      <c r="H1056">
        <v>693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50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76</v>
      </c>
      <c r="W1056">
        <v>532</v>
      </c>
      <c r="X1056">
        <v>0</v>
      </c>
      <c r="Z1056">
        <v>0</v>
      </c>
      <c r="AA1056">
        <v>0</v>
      </c>
      <c r="AB1056">
        <v>8</v>
      </c>
      <c r="AC1056">
        <v>136</v>
      </c>
      <c r="AD1056">
        <v>1411</v>
      </c>
    </row>
    <row r="1057" spans="1:30" x14ac:dyDescent="0.25">
      <c r="H1057" t="s">
        <v>2155</v>
      </c>
    </row>
    <row r="1058" spans="1:30" x14ac:dyDescent="0.25">
      <c r="A1058">
        <v>526</v>
      </c>
      <c r="B1058">
        <v>5304</v>
      </c>
      <c r="C1058" t="s">
        <v>2156</v>
      </c>
      <c r="D1058" t="s">
        <v>51</v>
      </c>
      <c r="E1058" t="s">
        <v>162</v>
      </c>
      <c r="F1058" t="s">
        <v>2157</v>
      </c>
      <c r="G1058" t="str">
        <f>"00359255"</f>
        <v>00359255</v>
      </c>
      <c r="H1058" t="s">
        <v>1449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30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45</v>
      </c>
      <c r="W1058">
        <v>315</v>
      </c>
      <c r="X1058">
        <v>0</v>
      </c>
      <c r="Z1058">
        <v>0</v>
      </c>
      <c r="AA1058">
        <v>0</v>
      </c>
      <c r="AB1058">
        <v>24</v>
      </c>
      <c r="AC1058">
        <v>408</v>
      </c>
      <c r="AD1058" t="s">
        <v>2158</v>
      </c>
    </row>
    <row r="1059" spans="1:30" x14ac:dyDescent="0.25">
      <c r="H1059" t="s">
        <v>2159</v>
      </c>
    </row>
    <row r="1060" spans="1:30" x14ac:dyDescent="0.25">
      <c r="A1060">
        <v>527</v>
      </c>
      <c r="B1060">
        <v>4169</v>
      </c>
      <c r="C1060" t="s">
        <v>2160</v>
      </c>
      <c r="D1060" t="s">
        <v>1269</v>
      </c>
      <c r="E1060" t="s">
        <v>47</v>
      </c>
      <c r="F1060" t="s">
        <v>2161</v>
      </c>
      <c r="G1060" t="str">
        <f>"00305461"</f>
        <v>00305461</v>
      </c>
      <c r="H1060">
        <v>792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30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84</v>
      </c>
      <c r="W1060">
        <v>588</v>
      </c>
      <c r="X1060">
        <v>0</v>
      </c>
      <c r="Z1060">
        <v>0</v>
      </c>
      <c r="AA1060">
        <v>0</v>
      </c>
      <c r="AB1060">
        <v>0</v>
      </c>
      <c r="AC1060">
        <v>0</v>
      </c>
      <c r="AD1060">
        <v>1410</v>
      </c>
    </row>
    <row r="1061" spans="1:30" x14ac:dyDescent="0.25">
      <c r="H1061" t="s">
        <v>2162</v>
      </c>
    </row>
    <row r="1062" spans="1:30" x14ac:dyDescent="0.25">
      <c r="A1062">
        <v>528</v>
      </c>
      <c r="B1062">
        <v>4143</v>
      </c>
      <c r="C1062" t="s">
        <v>2163</v>
      </c>
      <c r="D1062" t="s">
        <v>373</v>
      </c>
      <c r="E1062" t="s">
        <v>449</v>
      </c>
      <c r="F1062" t="s">
        <v>2164</v>
      </c>
      <c r="G1062" t="str">
        <f>"00343661"</f>
        <v>00343661</v>
      </c>
      <c r="H1062">
        <v>792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30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84</v>
      </c>
      <c r="W1062">
        <v>588</v>
      </c>
      <c r="X1062">
        <v>0</v>
      </c>
      <c r="Z1062">
        <v>2</v>
      </c>
      <c r="AA1062">
        <v>0</v>
      </c>
      <c r="AB1062">
        <v>0</v>
      </c>
      <c r="AC1062">
        <v>0</v>
      </c>
      <c r="AD1062">
        <v>1410</v>
      </c>
    </row>
    <row r="1063" spans="1:30" x14ac:dyDescent="0.25">
      <c r="H1063" t="s">
        <v>2165</v>
      </c>
    </row>
    <row r="1064" spans="1:30" x14ac:dyDescent="0.25">
      <c r="A1064">
        <v>529</v>
      </c>
      <c r="B1064">
        <v>499</v>
      </c>
      <c r="C1064" t="s">
        <v>2166</v>
      </c>
      <c r="D1064" t="s">
        <v>694</v>
      </c>
      <c r="E1064" t="s">
        <v>151</v>
      </c>
      <c r="F1064" t="s">
        <v>2167</v>
      </c>
      <c r="G1064" t="str">
        <f>"00212019"</f>
        <v>00212019</v>
      </c>
      <c r="H1064">
        <v>792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30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84</v>
      </c>
      <c r="W1064">
        <v>588</v>
      </c>
      <c r="X1064">
        <v>0</v>
      </c>
      <c r="Z1064">
        <v>0</v>
      </c>
      <c r="AA1064">
        <v>0</v>
      </c>
      <c r="AB1064">
        <v>0</v>
      </c>
      <c r="AC1064">
        <v>0</v>
      </c>
      <c r="AD1064">
        <v>1410</v>
      </c>
    </row>
    <row r="1065" spans="1:30" x14ac:dyDescent="0.25">
      <c r="H1065" t="s">
        <v>2168</v>
      </c>
    </row>
    <row r="1066" spans="1:30" x14ac:dyDescent="0.25">
      <c r="A1066">
        <v>530</v>
      </c>
      <c r="B1066">
        <v>286</v>
      </c>
      <c r="C1066" t="s">
        <v>2169</v>
      </c>
      <c r="D1066" t="s">
        <v>335</v>
      </c>
      <c r="E1066" t="s">
        <v>39</v>
      </c>
      <c r="F1066" t="s">
        <v>2170</v>
      </c>
      <c r="G1066" t="str">
        <f>"201406003418"</f>
        <v>201406003418</v>
      </c>
      <c r="H1066">
        <v>770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50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84</v>
      </c>
      <c r="W1066">
        <v>588</v>
      </c>
      <c r="X1066">
        <v>0</v>
      </c>
      <c r="Z1066">
        <v>0</v>
      </c>
      <c r="AA1066">
        <v>0</v>
      </c>
      <c r="AB1066">
        <v>0</v>
      </c>
      <c r="AC1066">
        <v>0</v>
      </c>
      <c r="AD1066">
        <v>1408</v>
      </c>
    </row>
    <row r="1067" spans="1:30" x14ac:dyDescent="0.25">
      <c r="H1067" t="s">
        <v>2171</v>
      </c>
    </row>
    <row r="1068" spans="1:30" x14ac:dyDescent="0.25">
      <c r="A1068">
        <v>531</v>
      </c>
      <c r="B1068">
        <v>3977</v>
      </c>
      <c r="C1068" t="s">
        <v>2172</v>
      </c>
      <c r="D1068" t="s">
        <v>694</v>
      </c>
      <c r="E1068" t="s">
        <v>39</v>
      </c>
      <c r="F1068" t="s">
        <v>2173</v>
      </c>
      <c r="G1068" t="str">
        <f>"00146383"</f>
        <v>00146383</v>
      </c>
      <c r="H1068" t="s">
        <v>241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70</v>
      </c>
      <c r="O1068">
        <v>0</v>
      </c>
      <c r="P1068">
        <v>30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84</v>
      </c>
      <c r="W1068">
        <v>588</v>
      </c>
      <c r="X1068">
        <v>0</v>
      </c>
      <c r="Z1068">
        <v>2</v>
      </c>
      <c r="AA1068">
        <v>0</v>
      </c>
      <c r="AB1068">
        <v>0</v>
      </c>
      <c r="AC1068">
        <v>0</v>
      </c>
      <c r="AD1068" t="s">
        <v>2174</v>
      </c>
    </row>
    <row r="1069" spans="1:30" x14ac:dyDescent="0.25">
      <c r="H1069" t="s">
        <v>2175</v>
      </c>
    </row>
    <row r="1070" spans="1:30" x14ac:dyDescent="0.25">
      <c r="A1070">
        <v>532</v>
      </c>
      <c r="B1070">
        <v>242</v>
      </c>
      <c r="C1070" t="s">
        <v>2176</v>
      </c>
      <c r="D1070" t="s">
        <v>229</v>
      </c>
      <c r="E1070" t="s">
        <v>108</v>
      </c>
      <c r="F1070" t="s">
        <v>2177</v>
      </c>
      <c r="G1070" t="str">
        <f>"201511036600"</f>
        <v>201511036600</v>
      </c>
      <c r="H1070">
        <v>913</v>
      </c>
      <c r="I1070">
        <v>0</v>
      </c>
      <c r="J1070">
        <v>0</v>
      </c>
      <c r="K1070">
        <v>0</v>
      </c>
      <c r="L1070">
        <v>0</v>
      </c>
      <c r="M1070">
        <v>100</v>
      </c>
      <c r="N1070">
        <v>30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52</v>
      </c>
      <c r="W1070">
        <v>364</v>
      </c>
      <c r="X1070">
        <v>0</v>
      </c>
      <c r="Z1070">
        <v>0</v>
      </c>
      <c r="AA1070">
        <v>0</v>
      </c>
      <c r="AB1070">
        <v>0</v>
      </c>
      <c r="AC1070">
        <v>0</v>
      </c>
      <c r="AD1070">
        <v>1407</v>
      </c>
    </row>
    <row r="1071" spans="1:30" x14ac:dyDescent="0.25">
      <c r="H1071" t="s">
        <v>2178</v>
      </c>
    </row>
    <row r="1072" spans="1:30" x14ac:dyDescent="0.25">
      <c r="A1072">
        <v>533</v>
      </c>
      <c r="B1072">
        <v>2132</v>
      </c>
      <c r="C1072" t="s">
        <v>2179</v>
      </c>
      <c r="D1072" t="s">
        <v>2180</v>
      </c>
      <c r="E1072" t="s">
        <v>224</v>
      </c>
      <c r="F1072" t="s">
        <v>2181</v>
      </c>
      <c r="G1072" t="str">
        <f>"200803000863"</f>
        <v>200803000863</v>
      </c>
      <c r="H1072">
        <v>759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30</v>
      </c>
      <c r="O1072">
        <v>0</v>
      </c>
      <c r="P1072">
        <v>0</v>
      </c>
      <c r="Q1072">
        <v>30</v>
      </c>
      <c r="R1072">
        <v>0</v>
      </c>
      <c r="S1072">
        <v>0</v>
      </c>
      <c r="T1072">
        <v>0</v>
      </c>
      <c r="U1072">
        <v>0</v>
      </c>
      <c r="V1072">
        <v>84</v>
      </c>
      <c r="W1072">
        <v>588</v>
      </c>
      <c r="X1072">
        <v>0</v>
      </c>
      <c r="Z1072">
        <v>0</v>
      </c>
      <c r="AA1072">
        <v>0</v>
      </c>
      <c r="AB1072">
        <v>0</v>
      </c>
      <c r="AC1072">
        <v>0</v>
      </c>
      <c r="AD1072">
        <v>1407</v>
      </c>
    </row>
    <row r="1073" spans="1:30" x14ac:dyDescent="0.25">
      <c r="H1073" t="s">
        <v>2182</v>
      </c>
    </row>
    <row r="1074" spans="1:30" x14ac:dyDescent="0.25">
      <c r="A1074">
        <v>534</v>
      </c>
      <c r="B1074">
        <v>5828</v>
      </c>
      <c r="C1074" t="s">
        <v>2183</v>
      </c>
      <c r="D1074" t="s">
        <v>330</v>
      </c>
      <c r="E1074" t="s">
        <v>51</v>
      </c>
      <c r="F1074" t="s">
        <v>2184</v>
      </c>
      <c r="G1074" t="str">
        <f>"00150295"</f>
        <v>00150295</v>
      </c>
      <c r="H1074" t="s">
        <v>2185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30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26</v>
      </c>
      <c r="W1074">
        <v>182</v>
      </c>
      <c r="X1074">
        <v>0</v>
      </c>
      <c r="Z1074">
        <v>0</v>
      </c>
      <c r="AA1074">
        <v>0</v>
      </c>
      <c r="AB1074">
        <v>24</v>
      </c>
      <c r="AC1074">
        <v>408</v>
      </c>
      <c r="AD1074" t="s">
        <v>2186</v>
      </c>
    </row>
    <row r="1075" spans="1:30" x14ac:dyDescent="0.25">
      <c r="H1075" t="s">
        <v>2187</v>
      </c>
    </row>
    <row r="1076" spans="1:30" x14ac:dyDescent="0.25">
      <c r="A1076">
        <v>535</v>
      </c>
      <c r="B1076">
        <v>74</v>
      </c>
      <c r="C1076" t="s">
        <v>2188</v>
      </c>
      <c r="D1076" t="s">
        <v>143</v>
      </c>
      <c r="E1076" t="s">
        <v>39</v>
      </c>
      <c r="F1076" t="s">
        <v>2189</v>
      </c>
      <c r="G1076" t="str">
        <f>"201511029070"</f>
        <v>201511029070</v>
      </c>
      <c r="H1076">
        <v>748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70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84</v>
      </c>
      <c r="W1076">
        <v>588</v>
      </c>
      <c r="X1076">
        <v>0</v>
      </c>
      <c r="Z1076">
        <v>0</v>
      </c>
      <c r="AA1076">
        <v>0</v>
      </c>
      <c r="AB1076">
        <v>0</v>
      </c>
      <c r="AC1076">
        <v>0</v>
      </c>
      <c r="AD1076">
        <v>1406</v>
      </c>
    </row>
    <row r="1077" spans="1:30" x14ac:dyDescent="0.25">
      <c r="H1077" t="s">
        <v>2190</v>
      </c>
    </row>
    <row r="1078" spans="1:30" x14ac:dyDescent="0.25">
      <c r="A1078">
        <v>536</v>
      </c>
      <c r="B1078">
        <v>3828</v>
      </c>
      <c r="C1078" t="s">
        <v>2191</v>
      </c>
      <c r="D1078" t="s">
        <v>1453</v>
      </c>
      <c r="E1078" t="s">
        <v>39</v>
      </c>
      <c r="F1078" t="s">
        <v>2192</v>
      </c>
      <c r="G1078" t="str">
        <f>"201511015778"</f>
        <v>201511015778</v>
      </c>
      <c r="H1078">
        <v>748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70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84</v>
      </c>
      <c r="W1078">
        <v>588</v>
      </c>
      <c r="X1078">
        <v>0</v>
      </c>
      <c r="Z1078">
        <v>0</v>
      </c>
      <c r="AA1078">
        <v>0</v>
      </c>
      <c r="AB1078">
        <v>0</v>
      </c>
      <c r="AC1078">
        <v>0</v>
      </c>
      <c r="AD1078">
        <v>1406</v>
      </c>
    </row>
    <row r="1079" spans="1:30" x14ac:dyDescent="0.25">
      <c r="H1079" t="s">
        <v>2193</v>
      </c>
    </row>
    <row r="1080" spans="1:30" x14ac:dyDescent="0.25">
      <c r="A1080">
        <v>537</v>
      </c>
      <c r="B1080">
        <v>5157</v>
      </c>
      <c r="C1080" t="s">
        <v>2194</v>
      </c>
      <c r="D1080" t="s">
        <v>2195</v>
      </c>
      <c r="E1080" t="s">
        <v>468</v>
      </c>
      <c r="F1080" t="s">
        <v>2196</v>
      </c>
      <c r="G1080" t="str">
        <f>"00269771"</f>
        <v>00269771</v>
      </c>
      <c r="H1080" t="s">
        <v>2197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50</v>
      </c>
      <c r="O1080">
        <v>70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84</v>
      </c>
      <c r="W1080">
        <v>588</v>
      </c>
      <c r="X1080">
        <v>0</v>
      </c>
      <c r="Z1080">
        <v>0</v>
      </c>
      <c r="AA1080">
        <v>0</v>
      </c>
      <c r="AB1080">
        <v>0</v>
      </c>
      <c r="AC1080">
        <v>0</v>
      </c>
      <c r="AD1080" t="s">
        <v>2198</v>
      </c>
    </row>
    <row r="1081" spans="1:30" x14ac:dyDescent="0.25">
      <c r="H1081" t="s">
        <v>2199</v>
      </c>
    </row>
    <row r="1082" spans="1:30" x14ac:dyDescent="0.25">
      <c r="A1082">
        <v>538</v>
      </c>
      <c r="B1082">
        <v>3100</v>
      </c>
      <c r="C1082" t="s">
        <v>1379</v>
      </c>
      <c r="D1082" t="s">
        <v>2200</v>
      </c>
      <c r="E1082" t="s">
        <v>40</v>
      </c>
      <c r="F1082" t="s">
        <v>2201</v>
      </c>
      <c r="G1082" t="str">
        <f>"201406010202"</f>
        <v>201406010202</v>
      </c>
      <c r="H1082" t="s">
        <v>2185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30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84</v>
      </c>
      <c r="W1082">
        <v>588</v>
      </c>
      <c r="X1082">
        <v>0</v>
      </c>
      <c r="Z1082">
        <v>0</v>
      </c>
      <c r="AA1082">
        <v>0</v>
      </c>
      <c r="AB1082">
        <v>0</v>
      </c>
      <c r="AC1082">
        <v>0</v>
      </c>
      <c r="AD1082" t="s">
        <v>2202</v>
      </c>
    </row>
    <row r="1083" spans="1:30" x14ac:dyDescent="0.25">
      <c r="H1083" t="s">
        <v>2203</v>
      </c>
    </row>
    <row r="1084" spans="1:30" x14ac:dyDescent="0.25">
      <c r="A1084">
        <v>539</v>
      </c>
      <c r="B1084">
        <v>3053</v>
      </c>
      <c r="C1084" t="s">
        <v>2204</v>
      </c>
      <c r="D1084" t="s">
        <v>661</v>
      </c>
      <c r="E1084" t="s">
        <v>919</v>
      </c>
      <c r="F1084" t="s">
        <v>2205</v>
      </c>
      <c r="G1084" t="str">
        <f>"00068270"</f>
        <v>00068270</v>
      </c>
      <c r="H1084" t="s">
        <v>2206</v>
      </c>
      <c r="I1084">
        <v>0</v>
      </c>
      <c r="J1084">
        <v>0</v>
      </c>
      <c r="K1084">
        <v>0</v>
      </c>
      <c r="L1084">
        <v>0</v>
      </c>
      <c r="M1084">
        <v>100</v>
      </c>
      <c r="N1084">
        <v>30</v>
      </c>
      <c r="O1084">
        <v>30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84</v>
      </c>
      <c r="W1084">
        <v>588</v>
      </c>
      <c r="X1084">
        <v>0</v>
      </c>
      <c r="Z1084">
        <v>0</v>
      </c>
      <c r="AA1084">
        <v>0</v>
      </c>
      <c r="AB1084">
        <v>0</v>
      </c>
      <c r="AC1084">
        <v>0</v>
      </c>
      <c r="AD1084" t="s">
        <v>2207</v>
      </c>
    </row>
    <row r="1085" spans="1:30" x14ac:dyDescent="0.25">
      <c r="H1085" t="s">
        <v>2208</v>
      </c>
    </row>
    <row r="1086" spans="1:30" x14ac:dyDescent="0.25">
      <c r="A1086">
        <v>540</v>
      </c>
      <c r="B1086">
        <v>3704</v>
      </c>
      <c r="C1086" t="s">
        <v>2209</v>
      </c>
      <c r="D1086" t="s">
        <v>86</v>
      </c>
      <c r="E1086" t="s">
        <v>92</v>
      </c>
      <c r="F1086" t="s">
        <v>2210</v>
      </c>
      <c r="G1086" t="str">
        <f>"00229242"</f>
        <v>00229242</v>
      </c>
      <c r="H1086">
        <v>792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30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83</v>
      </c>
      <c r="W1086">
        <v>581</v>
      </c>
      <c r="X1086">
        <v>0</v>
      </c>
      <c r="Z1086">
        <v>0</v>
      </c>
      <c r="AA1086">
        <v>0</v>
      </c>
      <c r="AB1086">
        <v>0</v>
      </c>
      <c r="AC1086">
        <v>0</v>
      </c>
      <c r="AD1086">
        <v>1403</v>
      </c>
    </row>
    <row r="1087" spans="1:30" x14ac:dyDescent="0.25">
      <c r="H1087" t="s">
        <v>2211</v>
      </c>
    </row>
    <row r="1088" spans="1:30" x14ac:dyDescent="0.25">
      <c r="A1088">
        <v>541</v>
      </c>
      <c r="B1088">
        <v>1392</v>
      </c>
      <c r="C1088" t="s">
        <v>2212</v>
      </c>
      <c r="D1088" t="s">
        <v>2213</v>
      </c>
      <c r="E1088" t="s">
        <v>40</v>
      </c>
      <c r="F1088" t="s">
        <v>2214</v>
      </c>
      <c r="G1088" t="str">
        <f>"201406009790"</f>
        <v>201406009790</v>
      </c>
      <c r="H1088">
        <v>748</v>
      </c>
      <c r="I1088">
        <v>0</v>
      </c>
      <c r="J1088">
        <v>0</v>
      </c>
      <c r="K1088">
        <v>0</v>
      </c>
      <c r="L1088">
        <v>200</v>
      </c>
      <c r="M1088">
        <v>0</v>
      </c>
      <c r="N1088">
        <v>70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55</v>
      </c>
      <c r="W1088">
        <v>385</v>
      </c>
      <c r="X1088">
        <v>0</v>
      </c>
      <c r="Z1088">
        <v>0</v>
      </c>
      <c r="AA1088">
        <v>0</v>
      </c>
      <c r="AB1088">
        <v>0</v>
      </c>
      <c r="AC1088">
        <v>0</v>
      </c>
      <c r="AD1088">
        <v>1403</v>
      </c>
    </row>
    <row r="1089" spans="1:30" x14ac:dyDescent="0.25">
      <c r="H1089" t="s">
        <v>2215</v>
      </c>
    </row>
    <row r="1090" spans="1:30" x14ac:dyDescent="0.25">
      <c r="A1090">
        <v>542</v>
      </c>
      <c r="B1090">
        <v>1936</v>
      </c>
      <c r="C1090" t="s">
        <v>2216</v>
      </c>
      <c r="D1090" t="s">
        <v>830</v>
      </c>
      <c r="E1090" t="s">
        <v>40</v>
      </c>
      <c r="F1090" t="s">
        <v>2217</v>
      </c>
      <c r="G1090" t="str">
        <f>"00317537"</f>
        <v>00317537</v>
      </c>
      <c r="H1090">
        <v>715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70</v>
      </c>
      <c r="O1090">
        <v>0</v>
      </c>
      <c r="P1090">
        <v>0</v>
      </c>
      <c r="Q1090">
        <v>0</v>
      </c>
      <c r="R1090">
        <v>30</v>
      </c>
      <c r="S1090">
        <v>0</v>
      </c>
      <c r="T1090">
        <v>0</v>
      </c>
      <c r="U1090">
        <v>0</v>
      </c>
      <c r="V1090">
        <v>84</v>
      </c>
      <c r="W1090">
        <v>588</v>
      </c>
      <c r="X1090">
        <v>0</v>
      </c>
      <c r="Z1090">
        <v>0</v>
      </c>
      <c r="AA1090">
        <v>0</v>
      </c>
      <c r="AB1090">
        <v>0</v>
      </c>
      <c r="AC1090">
        <v>0</v>
      </c>
      <c r="AD1090">
        <v>1403</v>
      </c>
    </row>
    <row r="1091" spans="1:30" x14ac:dyDescent="0.25">
      <c r="H1091" t="s">
        <v>2218</v>
      </c>
    </row>
    <row r="1092" spans="1:30" x14ac:dyDescent="0.25">
      <c r="A1092">
        <v>543</v>
      </c>
      <c r="B1092">
        <v>2944</v>
      </c>
      <c r="C1092" t="s">
        <v>2219</v>
      </c>
      <c r="D1092" t="s">
        <v>335</v>
      </c>
      <c r="E1092" t="s">
        <v>162</v>
      </c>
      <c r="F1092" t="s">
        <v>2220</v>
      </c>
      <c r="G1092" t="str">
        <f>"201406004539"</f>
        <v>201406004539</v>
      </c>
      <c r="H1092" t="s">
        <v>1063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70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84</v>
      </c>
      <c r="W1092">
        <v>588</v>
      </c>
      <c r="X1092">
        <v>0</v>
      </c>
      <c r="Z1092">
        <v>0</v>
      </c>
      <c r="AA1092">
        <v>0</v>
      </c>
      <c r="AB1092">
        <v>0</v>
      </c>
      <c r="AC1092">
        <v>0</v>
      </c>
      <c r="AD1092" t="s">
        <v>2221</v>
      </c>
    </row>
    <row r="1093" spans="1:30" x14ac:dyDescent="0.25">
      <c r="H1093" t="s">
        <v>2222</v>
      </c>
    </row>
    <row r="1094" spans="1:30" x14ac:dyDescent="0.25">
      <c r="A1094">
        <v>544</v>
      </c>
      <c r="B1094">
        <v>2852</v>
      </c>
      <c r="C1094" t="s">
        <v>2223</v>
      </c>
      <c r="D1094" t="s">
        <v>166</v>
      </c>
      <c r="E1094" t="s">
        <v>595</v>
      </c>
      <c r="F1094" t="s">
        <v>2224</v>
      </c>
      <c r="G1094" t="str">
        <f>"00340363"</f>
        <v>00340363</v>
      </c>
      <c r="H1094">
        <v>814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84</v>
      </c>
      <c r="W1094">
        <v>588</v>
      </c>
      <c r="X1094">
        <v>0</v>
      </c>
      <c r="Z1094">
        <v>0</v>
      </c>
      <c r="AA1094">
        <v>0</v>
      </c>
      <c r="AB1094">
        <v>0</v>
      </c>
      <c r="AC1094">
        <v>0</v>
      </c>
      <c r="AD1094">
        <v>1402</v>
      </c>
    </row>
    <row r="1095" spans="1:30" x14ac:dyDescent="0.25">
      <c r="H1095" t="s">
        <v>2225</v>
      </c>
    </row>
    <row r="1096" spans="1:30" x14ac:dyDescent="0.25">
      <c r="A1096">
        <v>545</v>
      </c>
      <c r="B1096">
        <v>776</v>
      </c>
      <c r="C1096" t="s">
        <v>2226</v>
      </c>
      <c r="D1096" t="s">
        <v>694</v>
      </c>
      <c r="E1096" t="s">
        <v>162</v>
      </c>
      <c r="F1096" t="s">
        <v>2227</v>
      </c>
      <c r="G1096" t="str">
        <f>"00275283"</f>
        <v>00275283</v>
      </c>
      <c r="H1096">
        <v>814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84</v>
      </c>
      <c r="W1096">
        <v>588</v>
      </c>
      <c r="X1096">
        <v>0</v>
      </c>
      <c r="Z1096">
        <v>0</v>
      </c>
      <c r="AA1096">
        <v>0</v>
      </c>
      <c r="AB1096">
        <v>0</v>
      </c>
      <c r="AC1096">
        <v>0</v>
      </c>
      <c r="AD1096">
        <v>1402</v>
      </c>
    </row>
    <row r="1097" spans="1:30" x14ac:dyDescent="0.25">
      <c r="H1097" t="s">
        <v>2228</v>
      </c>
    </row>
    <row r="1098" spans="1:30" x14ac:dyDescent="0.25">
      <c r="A1098">
        <v>546</v>
      </c>
      <c r="B1098">
        <v>1003</v>
      </c>
      <c r="C1098" t="s">
        <v>2229</v>
      </c>
      <c r="D1098" t="s">
        <v>636</v>
      </c>
      <c r="E1098" t="s">
        <v>107</v>
      </c>
      <c r="F1098" t="s">
        <v>2230</v>
      </c>
      <c r="G1098" t="str">
        <f>"00259341"</f>
        <v>00259341</v>
      </c>
      <c r="H1098">
        <v>814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84</v>
      </c>
      <c r="W1098">
        <v>588</v>
      </c>
      <c r="X1098">
        <v>0</v>
      </c>
      <c r="Z1098">
        <v>0</v>
      </c>
      <c r="AA1098">
        <v>0</v>
      </c>
      <c r="AB1098">
        <v>0</v>
      </c>
      <c r="AC1098">
        <v>0</v>
      </c>
      <c r="AD1098">
        <v>1402</v>
      </c>
    </row>
    <row r="1099" spans="1:30" x14ac:dyDescent="0.25">
      <c r="H1099" t="s">
        <v>2231</v>
      </c>
    </row>
    <row r="1100" spans="1:30" x14ac:dyDescent="0.25">
      <c r="A1100">
        <v>547</v>
      </c>
      <c r="B1100">
        <v>3714</v>
      </c>
      <c r="C1100" t="s">
        <v>2232</v>
      </c>
      <c r="D1100" t="s">
        <v>1276</v>
      </c>
      <c r="E1100" t="s">
        <v>217</v>
      </c>
      <c r="F1100" t="s">
        <v>2233</v>
      </c>
      <c r="G1100" t="str">
        <f>"00081834"</f>
        <v>00081834</v>
      </c>
      <c r="H1100">
        <v>814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84</v>
      </c>
      <c r="W1100">
        <v>588</v>
      </c>
      <c r="X1100">
        <v>0</v>
      </c>
      <c r="Z1100">
        <v>0</v>
      </c>
      <c r="AA1100">
        <v>0</v>
      </c>
      <c r="AB1100">
        <v>0</v>
      </c>
      <c r="AC1100">
        <v>0</v>
      </c>
      <c r="AD1100">
        <v>1402</v>
      </c>
    </row>
    <row r="1101" spans="1:30" x14ac:dyDescent="0.25">
      <c r="H1101" t="s">
        <v>2234</v>
      </c>
    </row>
    <row r="1102" spans="1:30" x14ac:dyDescent="0.25">
      <c r="A1102">
        <v>548</v>
      </c>
      <c r="B1102">
        <v>1023</v>
      </c>
      <c r="C1102" t="s">
        <v>2235</v>
      </c>
      <c r="D1102" t="s">
        <v>223</v>
      </c>
      <c r="E1102" t="s">
        <v>39</v>
      </c>
      <c r="F1102" t="s">
        <v>2236</v>
      </c>
      <c r="G1102" t="str">
        <f>"201406012039"</f>
        <v>201406012039</v>
      </c>
      <c r="H1102" t="s">
        <v>264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30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83</v>
      </c>
      <c r="W1102">
        <v>581</v>
      </c>
      <c r="X1102">
        <v>0</v>
      </c>
      <c r="Z1102">
        <v>0</v>
      </c>
      <c r="AA1102">
        <v>0</v>
      </c>
      <c r="AB1102">
        <v>0</v>
      </c>
      <c r="AC1102">
        <v>0</v>
      </c>
      <c r="AD1102" t="s">
        <v>2237</v>
      </c>
    </row>
    <row r="1103" spans="1:30" x14ac:dyDescent="0.25">
      <c r="H1103" t="s">
        <v>2238</v>
      </c>
    </row>
    <row r="1104" spans="1:30" x14ac:dyDescent="0.25">
      <c r="A1104">
        <v>549</v>
      </c>
      <c r="B1104">
        <v>4044</v>
      </c>
      <c r="C1104" t="s">
        <v>2239</v>
      </c>
      <c r="D1104" t="s">
        <v>2240</v>
      </c>
      <c r="E1104" t="s">
        <v>47</v>
      </c>
      <c r="F1104" t="s">
        <v>2241</v>
      </c>
      <c r="G1104" t="str">
        <f>"00149259"</f>
        <v>00149259</v>
      </c>
      <c r="H1104" t="s">
        <v>2242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50</v>
      </c>
      <c r="O1104">
        <v>50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84</v>
      </c>
      <c r="W1104">
        <v>588</v>
      </c>
      <c r="X1104">
        <v>0</v>
      </c>
      <c r="Z1104">
        <v>0</v>
      </c>
      <c r="AA1104">
        <v>0</v>
      </c>
      <c r="AB1104">
        <v>0</v>
      </c>
      <c r="AC1104">
        <v>0</v>
      </c>
      <c r="AD1104" t="s">
        <v>2237</v>
      </c>
    </row>
    <row r="1105" spans="1:30" x14ac:dyDescent="0.25">
      <c r="H1105" t="s">
        <v>2243</v>
      </c>
    </row>
    <row r="1106" spans="1:30" x14ac:dyDescent="0.25">
      <c r="A1106">
        <v>550</v>
      </c>
      <c r="B1106">
        <v>5798</v>
      </c>
      <c r="C1106" t="s">
        <v>2244</v>
      </c>
      <c r="D1106" t="s">
        <v>2180</v>
      </c>
      <c r="E1106" t="s">
        <v>107</v>
      </c>
      <c r="F1106" t="s">
        <v>2245</v>
      </c>
      <c r="G1106" t="str">
        <f>"00300972"</f>
        <v>00300972</v>
      </c>
      <c r="H1106" t="s">
        <v>2246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30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69</v>
      </c>
      <c r="W1106">
        <v>483</v>
      </c>
      <c r="X1106">
        <v>0</v>
      </c>
      <c r="Z1106">
        <v>0</v>
      </c>
      <c r="AA1106">
        <v>0</v>
      </c>
      <c r="AB1106">
        <v>0</v>
      </c>
      <c r="AC1106">
        <v>0</v>
      </c>
      <c r="AD1106" t="s">
        <v>2247</v>
      </c>
    </row>
    <row r="1107" spans="1:30" x14ac:dyDescent="0.25">
      <c r="H1107" t="s">
        <v>2248</v>
      </c>
    </row>
    <row r="1108" spans="1:30" x14ac:dyDescent="0.25">
      <c r="A1108">
        <v>551</v>
      </c>
      <c r="B1108">
        <v>2729</v>
      </c>
      <c r="C1108" t="s">
        <v>2249</v>
      </c>
      <c r="D1108" t="s">
        <v>223</v>
      </c>
      <c r="E1108" t="s">
        <v>15</v>
      </c>
      <c r="F1108" t="s">
        <v>2250</v>
      </c>
      <c r="G1108" t="str">
        <f>"201406004944"</f>
        <v>201406004944</v>
      </c>
      <c r="H1108" t="s">
        <v>470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30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84</v>
      </c>
      <c r="W1108">
        <v>588</v>
      </c>
      <c r="X1108">
        <v>0</v>
      </c>
      <c r="Z1108">
        <v>0</v>
      </c>
      <c r="AA1108">
        <v>0</v>
      </c>
      <c r="AB1108">
        <v>0</v>
      </c>
      <c r="AC1108">
        <v>0</v>
      </c>
      <c r="AD1108" t="s">
        <v>2251</v>
      </c>
    </row>
    <row r="1109" spans="1:30" x14ac:dyDescent="0.25">
      <c r="H1109" t="s">
        <v>2252</v>
      </c>
    </row>
    <row r="1110" spans="1:30" x14ac:dyDescent="0.25">
      <c r="A1110">
        <v>552</v>
      </c>
      <c r="B1110">
        <v>5920</v>
      </c>
      <c r="C1110" t="s">
        <v>2253</v>
      </c>
      <c r="D1110" t="s">
        <v>2254</v>
      </c>
      <c r="E1110" t="s">
        <v>40</v>
      </c>
      <c r="F1110" t="s">
        <v>2255</v>
      </c>
      <c r="G1110" t="str">
        <f>"201511040740"</f>
        <v>201511040740</v>
      </c>
      <c r="H1110" t="s">
        <v>1957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84</v>
      </c>
      <c r="W1110">
        <v>588</v>
      </c>
      <c r="X1110">
        <v>0</v>
      </c>
      <c r="Z1110">
        <v>0</v>
      </c>
      <c r="AA1110">
        <v>0</v>
      </c>
      <c r="AB1110">
        <v>0</v>
      </c>
      <c r="AC1110">
        <v>0</v>
      </c>
      <c r="AD1110" t="s">
        <v>2256</v>
      </c>
    </row>
    <row r="1111" spans="1:30" x14ac:dyDescent="0.25">
      <c r="H1111" t="s">
        <v>2257</v>
      </c>
    </row>
    <row r="1112" spans="1:30" x14ac:dyDescent="0.25">
      <c r="A1112">
        <v>553</v>
      </c>
      <c r="B1112">
        <v>5963</v>
      </c>
      <c r="C1112" t="s">
        <v>2258</v>
      </c>
      <c r="D1112" t="s">
        <v>143</v>
      </c>
      <c r="E1112" t="s">
        <v>2259</v>
      </c>
      <c r="F1112" t="s">
        <v>2260</v>
      </c>
      <c r="G1112" t="str">
        <f>"00284637"</f>
        <v>00284637</v>
      </c>
      <c r="H1112" t="s">
        <v>1546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70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84</v>
      </c>
      <c r="W1112">
        <v>588</v>
      </c>
      <c r="X1112">
        <v>0</v>
      </c>
      <c r="Z1112">
        <v>0</v>
      </c>
      <c r="AA1112">
        <v>0</v>
      </c>
      <c r="AB1112">
        <v>0</v>
      </c>
      <c r="AC1112">
        <v>0</v>
      </c>
      <c r="AD1112" t="s">
        <v>2261</v>
      </c>
    </row>
    <row r="1113" spans="1:30" x14ac:dyDescent="0.25">
      <c r="H1113" t="s">
        <v>2262</v>
      </c>
    </row>
    <row r="1114" spans="1:30" x14ac:dyDescent="0.25">
      <c r="A1114">
        <v>554</v>
      </c>
      <c r="B1114">
        <v>1769</v>
      </c>
      <c r="C1114" t="s">
        <v>2263</v>
      </c>
      <c r="D1114" t="s">
        <v>1359</v>
      </c>
      <c r="E1114" t="s">
        <v>2145</v>
      </c>
      <c r="F1114" t="s">
        <v>2264</v>
      </c>
      <c r="G1114" t="str">
        <f>"200802000345"</f>
        <v>200802000345</v>
      </c>
      <c r="H1114">
        <v>781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30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84</v>
      </c>
      <c r="W1114">
        <v>588</v>
      </c>
      <c r="X1114">
        <v>0</v>
      </c>
      <c r="Z1114">
        <v>0</v>
      </c>
      <c r="AA1114">
        <v>0</v>
      </c>
      <c r="AB1114">
        <v>0</v>
      </c>
      <c r="AC1114">
        <v>0</v>
      </c>
      <c r="AD1114">
        <v>1399</v>
      </c>
    </row>
    <row r="1115" spans="1:30" x14ac:dyDescent="0.25">
      <c r="H1115" t="s">
        <v>1213</v>
      </c>
    </row>
    <row r="1116" spans="1:30" x14ac:dyDescent="0.25">
      <c r="A1116">
        <v>555</v>
      </c>
      <c r="B1116">
        <v>2288</v>
      </c>
      <c r="C1116" t="s">
        <v>2265</v>
      </c>
      <c r="D1116" t="s">
        <v>346</v>
      </c>
      <c r="E1116" t="s">
        <v>1660</v>
      </c>
      <c r="F1116" t="s">
        <v>2266</v>
      </c>
      <c r="G1116" t="str">
        <f>"00292035"</f>
        <v>00292035</v>
      </c>
      <c r="H1116">
        <v>781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30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84</v>
      </c>
      <c r="W1116">
        <v>588</v>
      </c>
      <c r="X1116">
        <v>0</v>
      </c>
      <c r="Z1116">
        <v>0</v>
      </c>
      <c r="AA1116">
        <v>0</v>
      </c>
      <c r="AB1116">
        <v>0</v>
      </c>
      <c r="AC1116">
        <v>0</v>
      </c>
      <c r="AD1116">
        <v>1399</v>
      </c>
    </row>
    <row r="1117" spans="1:30" x14ac:dyDescent="0.25">
      <c r="H1117" t="s">
        <v>2267</v>
      </c>
    </row>
    <row r="1118" spans="1:30" x14ac:dyDescent="0.25">
      <c r="A1118">
        <v>556</v>
      </c>
      <c r="B1118">
        <v>5794</v>
      </c>
      <c r="C1118" t="s">
        <v>2268</v>
      </c>
      <c r="D1118" t="s">
        <v>183</v>
      </c>
      <c r="E1118" t="s">
        <v>2268</v>
      </c>
      <c r="F1118" t="s">
        <v>2269</v>
      </c>
      <c r="G1118" t="str">
        <f>"00343238"</f>
        <v>00343238</v>
      </c>
      <c r="H1118">
        <v>781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30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84</v>
      </c>
      <c r="W1118">
        <v>588</v>
      </c>
      <c r="X1118">
        <v>0</v>
      </c>
      <c r="Z1118">
        <v>0</v>
      </c>
      <c r="AA1118">
        <v>0</v>
      </c>
      <c r="AB1118">
        <v>0</v>
      </c>
      <c r="AC1118">
        <v>0</v>
      </c>
      <c r="AD1118">
        <v>1399</v>
      </c>
    </row>
    <row r="1119" spans="1:30" x14ac:dyDescent="0.25">
      <c r="H1119" t="s">
        <v>2270</v>
      </c>
    </row>
    <row r="1120" spans="1:30" x14ac:dyDescent="0.25">
      <c r="A1120">
        <v>557</v>
      </c>
      <c r="B1120">
        <v>1372</v>
      </c>
      <c r="C1120" t="s">
        <v>2271</v>
      </c>
      <c r="D1120" t="s">
        <v>335</v>
      </c>
      <c r="E1120" t="s">
        <v>40</v>
      </c>
      <c r="F1120" t="s">
        <v>2272</v>
      </c>
      <c r="G1120" t="str">
        <f>"00224684"</f>
        <v>00224684</v>
      </c>
      <c r="H1120">
        <v>781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30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84</v>
      </c>
      <c r="W1120">
        <v>588</v>
      </c>
      <c r="X1120">
        <v>0</v>
      </c>
      <c r="Z1120">
        <v>0</v>
      </c>
      <c r="AA1120">
        <v>0</v>
      </c>
      <c r="AB1120">
        <v>0</v>
      </c>
      <c r="AC1120">
        <v>0</v>
      </c>
      <c r="AD1120">
        <v>1399</v>
      </c>
    </row>
    <row r="1121" spans="1:30" x14ac:dyDescent="0.25">
      <c r="H1121">
        <v>1247</v>
      </c>
    </row>
    <row r="1122" spans="1:30" x14ac:dyDescent="0.25">
      <c r="A1122">
        <v>558</v>
      </c>
      <c r="B1122">
        <v>1022</v>
      </c>
      <c r="C1122" t="s">
        <v>2273</v>
      </c>
      <c r="D1122" t="s">
        <v>114</v>
      </c>
      <c r="E1122" t="s">
        <v>47</v>
      </c>
      <c r="F1122" t="s">
        <v>2274</v>
      </c>
      <c r="G1122" t="str">
        <f>"00274367"</f>
        <v>00274367</v>
      </c>
      <c r="H1122" t="s">
        <v>204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50</v>
      </c>
      <c r="O1122">
        <v>0</v>
      </c>
      <c r="P1122">
        <v>0</v>
      </c>
      <c r="Q1122">
        <v>30</v>
      </c>
      <c r="R1122">
        <v>0</v>
      </c>
      <c r="S1122">
        <v>0</v>
      </c>
      <c r="T1122">
        <v>0</v>
      </c>
      <c r="U1122">
        <v>0</v>
      </c>
      <c r="V1122">
        <v>84</v>
      </c>
      <c r="W1122">
        <v>588</v>
      </c>
      <c r="X1122">
        <v>0</v>
      </c>
      <c r="Z1122">
        <v>0</v>
      </c>
      <c r="AA1122">
        <v>0</v>
      </c>
      <c r="AB1122">
        <v>0</v>
      </c>
      <c r="AC1122">
        <v>0</v>
      </c>
      <c r="AD1122" t="s">
        <v>2275</v>
      </c>
    </row>
    <row r="1123" spans="1:30" x14ac:dyDescent="0.25">
      <c r="H1123" t="s">
        <v>2276</v>
      </c>
    </row>
    <row r="1124" spans="1:30" x14ac:dyDescent="0.25">
      <c r="A1124">
        <v>559</v>
      </c>
      <c r="B1124">
        <v>4814</v>
      </c>
      <c r="C1124" t="s">
        <v>1129</v>
      </c>
      <c r="D1124" t="s">
        <v>151</v>
      </c>
      <c r="E1124" t="s">
        <v>115</v>
      </c>
      <c r="F1124" t="s">
        <v>2277</v>
      </c>
      <c r="G1124" t="str">
        <f>"00360405"</f>
        <v>00360405</v>
      </c>
      <c r="H1124">
        <v>715</v>
      </c>
      <c r="I1124">
        <v>0</v>
      </c>
      <c r="J1124">
        <v>0</v>
      </c>
      <c r="K1124">
        <v>0</v>
      </c>
      <c r="L1124">
        <v>200</v>
      </c>
      <c r="M1124">
        <v>0</v>
      </c>
      <c r="N1124">
        <v>30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38</v>
      </c>
      <c r="W1124">
        <v>266</v>
      </c>
      <c r="X1124">
        <v>0</v>
      </c>
      <c r="Z1124">
        <v>0</v>
      </c>
      <c r="AA1124">
        <v>0</v>
      </c>
      <c r="AB1124">
        <v>11</v>
      </c>
      <c r="AC1124">
        <v>187</v>
      </c>
      <c r="AD1124">
        <v>1398</v>
      </c>
    </row>
    <row r="1125" spans="1:30" x14ac:dyDescent="0.25">
      <c r="H1125" t="s">
        <v>2278</v>
      </c>
    </row>
    <row r="1126" spans="1:30" x14ac:dyDescent="0.25">
      <c r="A1126">
        <v>560</v>
      </c>
      <c r="B1126">
        <v>2375</v>
      </c>
      <c r="C1126" t="s">
        <v>2279</v>
      </c>
      <c r="D1126" t="s">
        <v>2280</v>
      </c>
      <c r="E1126" t="s">
        <v>47</v>
      </c>
      <c r="F1126" t="s">
        <v>2281</v>
      </c>
      <c r="G1126" t="str">
        <f>"201603000287"</f>
        <v>201603000287</v>
      </c>
      <c r="H1126" t="s">
        <v>2282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30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59</v>
      </c>
      <c r="W1126">
        <v>413</v>
      </c>
      <c r="X1126">
        <v>0</v>
      </c>
      <c r="Z1126">
        <v>0</v>
      </c>
      <c r="AA1126">
        <v>0</v>
      </c>
      <c r="AB1126">
        <v>0</v>
      </c>
      <c r="AC1126">
        <v>0</v>
      </c>
      <c r="AD1126" t="s">
        <v>2283</v>
      </c>
    </row>
    <row r="1127" spans="1:30" x14ac:dyDescent="0.25">
      <c r="H1127" t="s">
        <v>2284</v>
      </c>
    </row>
    <row r="1128" spans="1:30" x14ac:dyDescent="0.25">
      <c r="A1128">
        <v>561</v>
      </c>
      <c r="B1128">
        <v>3880</v>
      </c>
      <c r="C1128" t="s">
        <v>2285</v>
      </c>
      <c r="D1128" t="s">
        <v>140</v>
      </c>
      <c r="E1128" t="s">
        <v>449</v>
      </c>
      <c r="F1128" t="s">
        <v>2286</v>
      </c>
      <c r="G1128" t="str">
        <f>"00194181"</f>
        <v>00194181</v>
      </c>
      <c r="H1128" t="s">
        <v>2287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30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80</v>
      </c>
      <c r="W1128">
        <v>560</v>
      </c>
      <c r="X1128">
        <v>0</v>
      </c>
      <c r="Z1128">
        <v>0</v>
      </c>
      <c r="AA1128">
        <v>0</v>
      </c>
      <c r="AB1128">
        <v>0</v>
      </c>
      <c r="AC1128">
        <v>0</v>
      </c>
      <c r="AD1128" t="s">
        <v>2288</v>
      </c>
    </row>
    <row r="1129" spans="1:30" x14ac:dyDescent="0.25">
      <c r="H1129" t="s">
        <v>1213</v>
      </c>
    </row>
    <row r="1130" spans="1:30" x14ac:dyDescent="0.25">
      <c r="A1130">
        <v>562</v>
      </c>
      <c r="B1130">
        <v>2020</v>
      </c>
      <c r="C1130" t="s">
        <v>2289</v>
      </c>
      <c r="D1130" t="s">
        <v>144</v>
      </c>
      <c r="E1130" t="s">
        <v>974</v>
      </c>
      <c r="F1130" t="s">
        <v>2290</v>
      </c>
      <c r="G1130" t="str">
        <f>"00252532"</f>
        <v>00252532</v>
      </c>
      <c r="H1130" t="s">
        <v>2291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84</v>
      </c>
      <c r="W1130">
        <v>588</v>
      </c>
      <c r="X1130">
        <v>0</v>
      </c>
      <c r="Z1130">
        <v>2</v>
      </c>
      <c r="AA1130">
        <v>0</v>
      </c>
      <c r="AB1130">
        <v>0</v>
      </c>
      <c r="AC1130">
        <v>0</v>
      </c>
      <c r="AD1130" t="s">
        <v>2292</v>
      </c>
    </row>
    <row r="1131" spans="1:30" x14ac:dyDescent="0.25">
      <c r="H1131" t="s">
        <v>2293</v>
      </c>
    </row>
    <row r="1132" spans="1:30" x14ac:dyDescent="0.25">
      <c r="A1132">
        <v>563</v>
      </c>
      <c r="B1132">
        <v>1737</v>
      </c>
      <c r="C1132" t="s">
        <v>2294</v>
      </c>
      <c r="D1132" t="s">
        <v>1660</v>
      </c>
      <c r="E1132" t="s">
        <v>535</v>
      </c>
      <c r="F1132" t="s">
        <v>2295</v>
      </c>
      <c r="G1132" t="str">
        <f>"00318166"</f>
        <v>00318166</v>
      </c>
      <c r="H1132" t="s">
        <v>813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70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84</v>
      </c>
      <c r="W1132">
        <v>588</v>
      </c>
      <c r="X1132">
        <v>0</v>
      </c>
      <c r="Z1132">
        <v>0</v>
      </c>
      <c r="AA1132">
        <v>0</v>
      </c>
      <c r="AB1132">
        <v>0</v>
      </c>
      <c r="AC1132">
        <v>0</v>
      </c>
      <c r="AD1132" t="s">
        <v>2296</v>
      </c>
    </row>
    <row r="1133" spans="1:30" x14ac:dyDescent="0.25">
      <c r="H1133" t="s">
        <v>2297</v>
      </c>
    </row>
    <row r="1134" spans="1:30" x14ac:dyDescent="0.25">
      <c r="A1134">
        <v>564</v>
      </c>
      <c r="B1134">
        <v>1050</v>
      </c>
      <c r="C1134" t="s">
        <v>2298</v>
      </c>
      <c r="D1134" t="s">
        <v>2299</v>
      </c>
      <c r="E1134" t="s">
        <v>140</v>
      </c>
      <c r="F1134" t="s">
        <v>2300</v>
      </c>
      <c r="G1134" t="str">
        <f>"00282319"</f>
        <v>00282319</v>
      </c>
      <c r="H1134" t="s">
        <v>2301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30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81</v>
      </c>
      <c r="W1134">
        <v>567</v>
      </c>
      <c r="X1134">
        <v>0</v>
      </c>
      <c r="Z1134">
        <v>0</v>
      </c>
      <c r="AA1134">
        <v>0</v>
      </c>
      <c r="AB1134">
        <v>0</v>
      </c>
      <c r="AC1134">
        <v>0</v>
      </c>
      <c r="AD1134" t="s">
        <v>2302</v>
      </c>
    </row>
    <row r="1135" spans="1:30" x14ac:dyDescent="0.25">
      <c r="H1135" t="s">
        <v>2303</v>
      </c>
    </row>
    <row r="1136" spans="1:30" x14ac:dyDescent="0.25">
      <c r="A1136">
        <v>565</v>
      </c>
      <c r="B1136">
        <v>4887</v>
      </c>
      <c r="C1136" t="s">
        <v>2304</v>
      </c>
      <c r="D1136" t="s">
        <v>661</v>
      </c>
      <c r="E1136" t="s">
        <v>51</v>
      </c>
      <c r="F1136" t="s">
        <v>2305</v>
      </c>
      <c r="G1136" t="str">
        <f>"201209000056"</f>
        <v>201209000056</v>
      </c>
      <c r="H1136" t="s">
        <v>2287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84</v>
      </c>
      <c r="W1136">
        <v>588</v>
      </c>
      <c r="X1136">
        <v>0</v>
      </c>
      <c r="Z1136">
        <v>2</v>
      </c>
      <c r="AA1136">
        <v>0</v>
      </c>
      <c r="AB1136">
        <v>0</v>
      </c>
      <c r="AC1136">
        <v>0</v>
      </c>
      <c r="AD1136" t="s">
        <v>2306</v>
      </c>
    </row>
    <row r="1137" spans="1:30" x14ac:dyDescent="0.25">
      <c r="H1137">
        <v>1247</v>
      </c>
    </row>
    <row r="1138" spans="1:30" x14ac:dyDescent="0.25">
      <c r="A1138">
        <v>566</v>
      </c>
      <c r="B1138">
        <v>6084</v>
      </c>
      <c r="C1138" t="s">
        <v>2307</v>
      </c>
      <c r="D1138" t="s">
        <v>40</v>
      </c>
      <c r="E1138" t="s">
        <v>39</v>
      </c>
      <c r="F1138" t="s">
        <v>2308</v>
      </c>
      <c r="G1138" t="str">
        <f>"00352287"</f>
        <v>00352287</v>
      </c>
      <c r="H1138" t="s">
        <v>2287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84</v>
      </c>
      <c r="W1138">
        <v>588</v>
      </c>
      <c r="X1138">
        <v>0</v>
      </c>
      <c r="Z1138">
        <v>0</v>
      </c>
      <c r="AA1138">
        <v>0</v>
      </c>
      <c r="AB1138">
        <v>0</v>
      </c>
      <c r="AC1138">
        <v>0</v>
      </c>
      <c r="AD1138" t="s">
        <v>2306</v>
      </c>
    </row>
    <row r="1139" spans="1:30" x14ac:dyDescent="0.25">
      <c r="H1139" t="s">
        <v>2309</v>
      </c>
    </row>
    <row r="1140" spans="1:30" x14ac:dyDescent="0.25">
      <c r="A1140">
        <v>567</v>
      </c>
      <c r="B1140">
        <v>1087</v>
      </c>
      <c r="C1140" t="s">
        <v>2310</v>
      </c>
      <c r="D1140" t="s">
        <v>1810</v>
      </c>
      <c r="E1140" t="s">
        <v>2311</v>
      </c>
      <c r="F1140" t="s">
        <v>2312</v>
      </c>
      <c r="G1140" t="str">
        <f>"00005078"</f>
        <v>00005078</v>
      </c>
      <c r="H1140" t="s">
        <v>2313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63</v>
      </c>
      <c r="W1140">
        <v>441</v>
      </c>
      <c r="X1140">
        <v>0</v>
      </c>
      <c r="Z1140">
        <v>1</v>
      </c>
      <c r="AA1140">
        <v>0</v>
      </c>
      <c r="AB1140">
        <v>21</v>
      </c>
      <c r="AC1140">
        <v>357</v>
      </c>
      <c r="AD1140" t="s">
        <v>2314</v>
      </c>
    </row>
    <row r="1141" spans="1:30" x14ac:dyDescent="0.25">
      <c r="H1141" t="s">
        <v>2315</v>
      </c>
    </row>
    <row r="1142" spans="1:30" x14ac:dyDescent="0.25">
      <c r="A1142">
        <v>568</v>
      </c>
      <c r="B1142">
        <v>4397</v>
      </c>
      <c r="C1142" t="s">
        <v>2316</v>
      </c>
      <c r="D1142" t="s">
        <v>162</v>
      </c>
      <c r="E1142" t="s">
        <v>40</v>
      </c>
      <c r="F1142" t="s">
        <v>2317</v>
      </c>
      <c r="G1142" t="str">
        <f>"00364801"</f>
        <v>00364801</v>
      </c>
      <c r="H1142">
        <v>737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70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84</v>
      </c>
      <c r="W1142">
        <v>588</v>
      </c>
      <c r="X1142">
        <v>0</v>
      </c>
      <c r="Z1142">
        <v>0</v>
      </c>
      <c r="AA1142">
        <v>0</v>
      </c>
      <c r="AB1142">
        <v>0</v>
      </c>
      <c r="AC1142">
        <v>0</v>
      </c>
      <c r="AD1142">
        <v>1395</v>
      </c>
    </row>
    <row r="1143" spans="1:30" x14ac:dyDescent="0.25">
      <c r="H1143" t="s">
        <v>2318</v>
      </c>
    </row>
    <row r="1144" spans="1:30" x14ac:dyDescent="0.25">
      <c r="A1144">
        <v>569</v>
      </c>
      <c r="B1144">
        <v>1179</v>
      </c>
      <c r="C1144" t="s">
        <v>2319</v>
      </c>
      <c r="D1144" t="s">
        <v>335</v>
      </c>
      <c r="E1144" t="s">
        <v>107</v>
      </c>
      <c r="F1144" t="s">
        <v>2320</v>
      </c>
      <c r="G1144" t="str">
        <f>"00308946"</f>
        <v>00308946</v>
      </c>
      <c r="H1144" t="s">
        <v>2321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30</v>
      </c>
      <c r="O1144">
        <v>0</v>
      </c>
      <c r="P1144">
        <v>30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84</v>
      </c>
      <c r="W1144">
        <v>588</v>
      </c>
      <c r="X1144">
        <v>0</v>
      </c>
      <c r="Z1144">
        <v>0</v>
      </c>
      <c r="AA1144">
        <v>0</v>
      </c>
      <c r="AB1144">
        <v>0</v>
      </c>
      <c r="AC1144">
        <v>0</v>
      </c>
      <c r="AD1144" t="s">
        <v>2322</v>
      </c>
    </row>
    <row r="1145" spans="1:30" x14ac:dyDescent="0.25">
      <c r="H1145">
        <v>1247</v>
      </c>
    </row>
    <row r="1146" spans="1:30" x14ac:dyDescent="0.25">
      <c r="A1146">
        <v>570</v>
      </c>
      <c r="B1146">
        <v>5807</v>
      </c>
      <c r="C1146" t="s">
        <v>2323</v>
      </c>
      <c r="D1146" t="s">
        <v>420</v>
      </c>
      <c r="E1146" t="s">
        <v>162</v>
      </c>
      <c r="F1146" t="s">
        <v>2324</v>
      </c>
      <c r="G1146" t="str">
        <f>"00200155"</f>
        <v>00200155</v>
      </c>
      <c r="H1146" t="s">
        <v>2325</v>
      </c>
      <c r="I1146">
        <v>0</v>
      </c>
      <c r="J1146">
        <v>0</v>
      </c>
      <c r="K1146">
        <v>0</v>
      </c>
      <c r="L1146">
        <v>200</v>
      </c>
      <c r="M1146">
        <v>0</v>
      </c>
      <c r="N1146">
        <v>70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53</v>
      </c>
      <c r="W1146">
        <v>371</v>
      </c>
      <c r="X1146">
        <v>0</v>
      </c>
      <c r="Z1146">
        <v>0</v>
      </c>
      <c r="AA1146">
        <v>0</v>
      </c>
      <c r="AB1146">
        <v>0</v>
      </c>
      <c r="AC1146">
        <v>0</v>
      </c>
      <c r="AD1146" t="s">
        <v>2326</v>
      </c>
    </row>
    <row r="1147" spans="1:30" x14ac:dyDescent="0.25">
      <c r="H1147" t="s">
        <v>2327</v>
      </c>
    </row>
    <row r="1148" spans="1:30" x14ac:dyDescent="0.25">
      <c r="A1148">
        <v>571</v>
      </c>
      <c r="B1148">
        <v>4333</v>
      </c>
      <c r="C1148" t="s">
        <v>2328</v>
      </c>
      <c r="D1148" t="s">
        <v>2329</v>
      </c>
      <c r="E1148" t="s">
        <v>39</v>
      </c>
      <c r="F1148" t="s">
        <v>2330</v>
      </c>
      <c r="G1148" t="str">
        <f>"00156491"</f>
        <v>00156491</v>
      </c>
      <c r="H1148">
        <v>726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30</v>
      </c>
      <c r="O1148">
        <v>0</v>
      </c>
      <c r="P1148">
        <v>50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84</v>
      </c>
      <c r="W1148">
        <v>588</v>
      </c>
      <c r="X1148">
        <v>0</v>
      </c>
      <c r="Z1148">
        <v>0</v>
      </c>
      <c r="AA1148">
        <v>0</v>
      </c>
      <c r="AB1148">
        <v>0</v>
      </c>
      <c r="AC1148">
        <v>0</v>
      </c>
      <c r="AD1148">
        <v>1394</v>
      </c>
    </row>
    <row r="1149" spans="1:30" x14ac:dyDescent="0.25">
      <c r="H1149" t="s">
        <v>2331</v>
      </c>
    </row>
    <row r="1150" spans="1:30" x14ac:dyDescent="0.25">
      <c r="A1150">
        <v>572</v>
      </c>
      <c r="B1150">
        <v>1055</v>
      </c>
      <c r="C1150" t="s">
        <v>2332</v>
      </c>
      <c r="D1150" t="s">
        <v>694</v>
      </c>
      <c r="E1150" t="s">
        <v>47</v>
      </c>
      <c r="F1150" t="s">
        <v>2333</v>
      </c>
      <c r="G1150" t="str">
        <f>"00155696"</f>
        <v>00155696</v>
      </c>
      <c r="H1150">
        <v>726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76</v>
      </c>
      <c r="W1150">
        <v>532</v>
      </c>
      <c r="X1150">
        <v>0</v>
      </c>
      <c r="Z1150">
        <v>0</v>
      </c>
      <c r="AA1150">
        <v>0</v>
      </c>
      <c r="AB1150">
        <v>8</v>
      </c>
      <c r="AC1150">
        <v>136</v>
      </c>
      <c r="AD1150">
        <v>1394</v>
      </c>
    </row>
    <row r="1151" spans="1:30" x14ac:dyDescent="0.25">
      <c r="H1151" t="s">
        <v>2334</v>
      </c>
    </row>
    <row r="1152" spans="1:30" x14ac:dyDescent="0.25">
      <c r="A1152">
        <v>573</v>
      </c>
      <c r="B1152">
        <v>192</v>
      </c>
      <c r="C1152" t="s">
        <v>2335</v>
      </c>
      <c r="D1152" t="s">
        <v>134</v>
      </c>
      <c r="E1152" t="s">
        <v>535</v>
      </c>
      <c r="F1152" t="s">
        <v>2336</v>
      </c>
      <c r="G1152" t="str">
        <f>"00236589"</f>
        <v>00236589</v>
      </c>
      <c r="H1152" t="s">
        <v>402</v>
      </c>
      <c r="I1152">
        <v>0</v>
      </c>
      <c r="J1152">
        <v>0</v>
      </c>
      <c r="K1152">
        <v>0</v>
      </c>
      <c r="L1152">
        <v>0</v>
      </c>
      <c r="M1152">
        <v>100</v>
      </c>
      <c r="N1152">
        <v>30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84</v>
      </c>
      <c r="W1152">
        <v>588</v>
      </c>
      <c r="X1152">
        <v>0</v>
      </c>
      <c r="Z1152">
        <v>0</v>
      </c>
      <c r="AA1152">
        <v>0</v>
      </c>
      <c r="AB1152">
        <v>0</v>
      </c>
      <c r="AC1152">
        <v>0</v>
      </c>
      <c r="AD1152" t="s">
        <v>2337</v>
      </c>
    </row>
    <row r="1153" spans="1:30" x14ac:dyDescent="0.25">
      <c r="H1153" t="s">
        <v>2338</v>
      </c>
    </row>
    <row r="1154" spans="1:30" x14ac:dyDescent="0.25">
      <c r="A1154">
        <v>574</v>
      </c>
      <c r="B1154">
        <v>657</v>
      </c>
      <c r="C1154" t="s">
        <v>2339</v>
      </c>
      <c r="D1154" t="s">
        <v>694</v>
      </c>
      <c r="E1154" t="s">
        <v>40</v>
      </c>
      <c r="F1154" t="s">
        <v>2340</v>
      </c>
      <c r="G1154" t="str">
        <f>"00298585"</f>
        <v>00298585</v>
      </c>
      <c r="H1154">
        <v>715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30</v>
      </c>
      <c r="O1154">
        <v>0</v>
      </c>
      <c r="P1154">
        <v>30</v>
      </c>
      <c r="Q1154">
        <v>30</v>
      </c>
      <c r="R1154">
        <v>0</v>
      </c>
      <c r="S1154">
        <v>0</v>
      </c>
      <c r="T1154">
        <v>0</v>
      </c>
      <c r="U1154">
        <v>0</v>
      </c>
      <c r="V1154">
        <v>84</v>
      </c>
      <c r="W1154">
        <v>588</v>
      </c>
      <c r="X1154">
        <v>0</v>
      </c>
      <c r="Z1154">
        <v>0</v>
      </c>
      <c r="AA1154">
        <v>0</v>
      </c>
      <c r="AB1154">
        <v>0</v>
      </c>
      <c r="AC1154">
        <v>0</v>
      </c>
      <c r="AD1154">
        <v>1393</v>
      </c>
    </row>
    <row r="1155" spans="1:30" x14ac:dyDescent="0.25">
      <c r="H1155" t="s">
        <v>2341</v>
      </c>
    </row>
    <row r="1156" spans="1:30" x14ac:dyDescent="0.25">
      <c r="A1156">
        <v>575</v>
      </c>
      <c r="B1156">
        <v>2824</v>
      </c>
      <c r="C1156" t="s">
        <v>2342</v>
      </c>
      <c r="D1156" t="s">
        <v>2343</v>
      </c>
      <c r="E1156" t="s">
        <v>183</v>
      </c>
      <c r="F1156" t="s">
        <v>2344</v>
      </c>
      <c r="G1156" t="str">
        <f>"00278787"</f>
        <v>00278787</v>
      </c>
      <c r="H1156" t="s">
        <v>672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70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84</v>
      </c>
      <c r="W1156">
        <v>588</v>
      </c>
      <c r="X1156">
        <v>0</v>
      </c>
      <c r="Z1156">
        <v>0</v>
      </c>
      <c r="AA1156">
        <v>0</v>
      </c>
      <c r="AB1156">
        <v>0</v>
      </c>
      <c r="AC1156">
        <v>0</v>
      </c>
      <c r="AD1156" t="s">
        <v>2345</v>
      </c>
    </row>
    <row r="1157" spans="1:30" x14ac:dyDescent="0.25">
      <c r="H1157" t="s">
        <v>2346</v>
      </c>
    </row>
    <row r="1158" spans="1:30" x14ac:dyDescent="0.25">
      <c r="A1158">
        <v>576</v>
      </c>
      <c r="B1158">
        <v>1536</v>
      </c>
      <c r="C1158" t="s">
        <v>2347</v>
      </c>
      <c r="D1158" t="s">
        <v>2348</v>
      </c>
      <c r="E1158" t="s">
        <v>275</v>
      </c>
      <c r="F1158" t="s">
        <v>2349</v>
      </c>
      <c r="G1158" t="str">
        <f>"201412005626"</f>
        <v>201412005626</v>
      </c>
      <c r="H1158" t="s">
        <v>204</v>
      </c>
      <c r="I1158">
        <v>0</v>
      </c>
      <c r="J1158">
        <v>0</v>
      </c>
      <c r="K1158">
        <v>0</v>
      </c>
      <c r="L1158">
        <v>200</v>
      </c>
      <c r="M1158">
        <v>0</v>
      </c>
      <c r="N1158">
        <v>50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37</v>
      </c>
      <c r="W1158">
        <v>259</v>
      </c>
      <c r="X1158">
        <v>0</v>
      </c>
      <c r="Z1158">
        <v>0</v>
      </c>
      <c r="AA1158">
        <v>0</v>
      </c>
      <c r="AB1158">
        <v>9</v>
      </c>
      <c r="AC1158">
        <v>153</v>
      </c>
      <c r="AD1158" t="s">
        <v>2350</v>
      </c>
    </row>
    <row r="1159" spans="1:30" x14ac:dyDescent="0.25">
      <c r="H1159" t="s">
        <v>2351</v>
      </c>
    </row>
    <row r="1160" spans="1:30" x14ac:dyDescent="0.25">
      <c r="A1160">
        <v>577</v>
      </c>
      <c r="B1160">
        <v>5758</v>
      </c>
      <c r="C1160" t="s">
        <v>2352</v>
      </c>
      <c r="D1160" t="s">
        <v>2353</v>
      </c>
      <c r="E1160" t="s">
        <v>183</v>
      </c>
      <c r="F1160" t="s">
        <v>2354</v>
      </c>
      <c r="G1160" t="str">
        <f>"00356341"</f>
        <v>00356341</v>
      </c>
      <c r="H1160">
        <v>803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84</v>
      </c>
      <c r="W1160">
        <v>588</v>
      </c>
      <c r="X1160">
        <v>0</v>
      </c>
      <c r="Z1160">
        <v>0</v>
      </c>
      <c r="AA1160">
        <v>0</v>
      </c>
      <c r="AB1160">
        <v>0</v>
      </c>
      <c r="AC1160">
        <v>0</v>
      </c>
      <c r="AD1160">
        <v>1391</v>
      </c>
    </row>
    <row r="1161" spans="1:30" x14ac:dyDescent="0.25">
      <c r="H1161" t="s">
        <v>2355</v>
      </c>
    </row>
    <row r="1162" spans="1:30" x14ac:dyDescent="0.25">
      <c r="A1162">
        <v>578</v>
      </c>
      <c r="B1162">
        <v>740</v>
      </c>
      <c r="C1162" t="s">
        <v>1363</v>
      </c>
      <c r="D1162" t="s">
        <v>182</v>
      </c>
      <c r="E1162" t="s">
        <v>151</v>
      </c>
      <c r="F1162" t="s">
        <v>2356</v>
      </c>
      <c r="G1162" t="str">
        <f>"201511034282"</f>
        <v>201511034282</v>
      </c>
      <c r="H1162">
        <v>748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30</v>
      </c>
      <c r="O1162">
        <v>0</v>
      </c>
      <c r="P1162">
        <v>0</v>
      </c>
      <c r="Q1162">
        <v>30</v>
      </c>
      <c r="R1162">
        <v>0</v>
      </c>
      <c r="S1162">
        <v>0</v>
      </c>
      <c r="T1162">
        <v>0</v>
      </c>
      <c r="U1162">
        <v>0</v>
      </c>
      <c r="V1162">
        <v>25</v>
      </c>
      <c r="W1162">
        <v>175</v>
      </c>
      <c r="X1162">
        <v>0</v>
      </c>
      <c r="Z1162">
        <v>0</v>
      </c>
      <c r="AA1162">
        <v>0</v>
      </c>
      <c r="AB1162">
        <v>24</v>
      </c>
      <c r="AC1162">
        <v>408</v>
      </c>
      <c r="AD1162">
        <v>1391</v>
      </c>
    </row>
    <row r="1163" spans="1:30" x14ac:dyDescent="0.25">
      <c r="H1163" t="s">
        <v>2357</v>
      </c>
    </row>
    <row r="1164" spans="1:30" x14ac:dyDescent="0.25">
      <c r="A1164">
        <v>579</v>
      </c>
      <c r="B1164">
        <v>5681</v>
      </c>
      <c r="C1164" t="s">
        <v>2358</v>
      </c>
      <c r="D1164" t="s">
        <v>75</v>
      </c>
      <c r="E1164" t="s">
        <v>482</v>
      </c>
      <c r="F1164" t="s">
        <v>2359</v>
      </c>
      <c r="G1164" t="str">
        <f>"200807000799"</f>
        <v>200807000799</v>
      </c>
      <c r="H1164" t="s">
        <v>219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30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84</v>
      </c>
      <c r="W1164">
        <v>588</v>
      </c>
      <c r="X1164">
        <v>0</v>
      </c>
      <c r="Z1164">
        <v>0</v>
      </c>
      <c r="AA1164">
        <v>0</v>
      </c>
      <c r="AB1164">
        <v>0</v>
      </c>
      <c r="AC1164">
        <v>0</v>
      </c>
      <c r="AD1164" t="s">
        <v>2360</v>
      </c>
    </row>
    <row r="1165" spans="1:30" x14ac:dyDescent="0.25">
      <c r="H1165" t="s">
        <v>2361</v>
      </c>
    </row>
    <row r="1166" spans="1:30" x14ac:dyDescent="0.25">
      <c r="A1166">
        <v>580</v>
      </c>
      <c r="B1166">
        <v>2218</v>
      </c>
      <c r="C1166" t="s">
        <v>2362</v>
      </c>
      <c r="D1166" t="s">
        <v>2363</v>
      </c>
      <c r="E1166" t="s">
        <v>1972</v>
      </c>
      <c r="F1166" t="s">
        <v>2364</v>
      </c>
      <c r="G1166" t="str">
        <f>"00142331"</f>
        <v>00142331</v>
      </c>
      <c r="H1166" t="s">
        <v>226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30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84</v>
      </c>
      <c r="W1166">
        <v>588</v>
      </c>
      <c r="X1166">
        <v>0</v>
      </c>
      <c r="Z1166">
        <v>0</v>
      </c>
      <c r="AA1166">
        <v>0</v>
      </c>
      <c r="AB1166">
        <v>0</v>
      </c>
      <c r="AC1166">
        <v>0</v>
      </c>
      <c r="AD1166" t="s">
        <v>2365</v>
      </c>
    </row>
    <row r="1167" spans="1:30" x14ac:dyDescent="0.25">
      <c r="H1167" t="s">
        <v>2366</v>
      </c>
    </row>
    <row r="1168" spans="1:30" x14ac:dyDescent="0.25">
      <c r="A1168">
        <v>581</v>
      </c>
      <c r="B1168">
        <v>2284</v>
      </c>
      <c r="C1168" t="s">
        <v>2367</v>
      </c>
      <c r="D1168" t="s">
        <v>150</v>
      </c>
      <c r="E1168" t="s">
        <v>238</v>
      </c>
      <c r="F1168" t="s">
        <v>2368</v>
      </c>
      <c r="G1168" t="str">
        <f>"00247335"</f>
        <v>00247335</v>
      </c>
      <c r="H1168" t="s">
        <v>231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50</v>
      </c>
      <c r="O1168">
        <v>30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84</v>
      </c>
      <c r="W1168">
        <v>588</v>
      </c>
      <c r="X1168">
        <v>0</v>
      </c>
      <c r="Z1168">
        <v>2</v>
      </c>
      <c r="AA1168">
        <v>0</v>
      </c>
      <c r="AB1168">
        <v>0</v>
      </c>
      <c r="AC1168">
        <v>0</v>
      </c>
      <c r="AD1168" t="s">
        <v>2369</v>
      </c>
    </row>
    <row r="1169" spans="1:30" x14ac:dyDescent="0.25">
      <c r="H1169">
        <v>1247</v>
      </c>
    </row>
    <row r="1170" spans="1:30" x14ac:dyDescent="0.25">
      <c r="A1170">
        <v>582</v>
      </c>
      <c r="B1170">
        <v>2038</v>
      </c>
      <c r="C1170" t="s">
        <v>2370</v>
      </c>
      <c r="D1170" t="s">
        <v>46</v>
      </c>
      <c r="E1170" t="s">
        <v>107</v>
      </c>
      <c r="F1170" t="s">
        <v>2371</v>
      </c>
      <c r="G1170" t="str">
        <f>"200712005349"</f>
        <v>200712005349</v>
      </c>
      <c r="H1170" t="s">
        <v>1572</v>
      </c>
      <c r="I1170">
        <v>0</v>
      </c>
      <c r="J1170">
        <v>0</v>
      </c>
      <c r="K1170">
        <v>0</v>
      </c>
      <c r="L1170">
        <v>200</v>
      </c>
      <c r="M1170">
        <v>0</v>
      </c>
      <c r="N1170">
        <v>50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60</v>
      </c>
      <c r="W1170">
        <v>420</v>
      </c>
      <c r="X1170">
        <v>0</v>
      </c>
      <c r="Z1170">
        <v>2</v>
      </c>
      <c r="AA1170">
        <v>0</v>
      </c>
      <c r="AB1170">
        <v>0</v>
      </c>
      <c r="AC1170">
        <v>0</v>
      </c>
      <c r="AD1170" t="s">
        <v>2372</v>
      </c>
    </row>
    <row r="1171" spans="1:30" x14ac:dyDescent="0.25">
      <c r="H1171" t="s">
        <v>521</v>
      </c>
    </row>
    <row r="1172" spans="1:30" x14ac:dyDescent="0.25">
      <c r="A1172">
        <v>583</v>
      </c>
      <c r="B1172">
        <v>2318</v>
      </c>
      <c r="C1172" t="s">
        <v>2373</v>
      </c>
      <c r="D1172" t="s">
        <v>39</v>
      </c>
      <c r="E1172" t="s">
        <v>151</v>
      </c>
      <c r="F1172" t="s">
        <v>2374</v>
      </c>
      <c r="G1172" t="str">
        <f>"200801011351"</f>
        <v>200801011351</v>
      </c>
      <c r="H1172">
        <v>770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30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84</v>
      </c>
      <c r="W1172">
        <v>588</v>
      </c>
      <c r="X1172">
        <v>0</v>
      </c>
      <c r="Z1172">
        <v>2</v>
      </c>
      <c r="AA1172">
        <v>0</v>
      </c>
      <c r="AB1172">
        <v>0</v>
      </c>
      <c r="AC1172">
        <v>0</v>
      </c>
      <c r="AD1172">
        <v>1388</v>
      </c>
    </row>
    <row r="1173" spans="1:30" x14ac:dyDescent="0.25">
      <c r="H1173" t="s">
        <v>2375</v>
      </c>
    </row>
    <row r="1174" spans="1:30" x14ac:dyDescent="0.25">
      <c r="A1174">
        <v>584</v>
      </c>
      <c r="B1174">
        <v>4461</v>
      </c>
      <c r="C1174" t="s">
        <v>2376</v>
      </c>
      <c r="D1174" t="s">
        <v>223</v>
      </c>
      <c r="E1174" t="s">
        <v>495</v>
      </c>
      <c r="F1174" t="s">
        <v>2377</v>
      </c>
      <c r="G1174" t="str">
        <f>"00320891"</f>
        <v>00320891</v>
      </c>
      <c r="H1174">
        <v>770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30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84</v>
      </c>
      <c r="W1174">
        <v>588</v>
      </c>
      <c r="X1174">
        <v>0</v>
      </c>
      <c r="Z1174">
        <v>0</v>
      </c>
      <c r="AA1174">
        <v>0</v>
      </c>
      <c r="AB1174">
        <v>0</v>
      </c>
      <c r="AC1174">
        <v>0</v>
      </c>
      <c r="AD1174">
        <v>1388</v>
      </c>
    </row>
    <row r="1175" spans="1:30" x14ac:dyDescent="0.25">
      <c r="H1175" t="s">
        <v>2378</v>
      </c>
    </row>
    <row r="1176" spans="1:30" x14ac:dyDescent="0.25">
      <c r="A1176">
        <v>585</v>
      </c>
      <c r="B1176">
        <v>912</v>
      </c>
      <c r="C1176" t="s">
        <v>2379</v>
      </c>
      <c r="D1176" t="s">
        <v>223</v>
      </c>
      <c r="E1176" t="s">
        <v>107</v>
      </c>
      <c r="F1176" t="s">
        <v>2380</v>
      </c>
      <c r="G1176" t="str">
        <f>"00308044"</f>
        <v>00308044</v>
      </c>
      <c r="H1176">
        <v>770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30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84</v>
      </c>
      <c r="W1176">
        <v>588</v>
      </c>
      <c r="X1176">
        <v>0</v>
      </c>
      <c r="Z1176">
        <v>0</v>
      </c>
      <c r="AA1176">
        <v>0</v>
      </c>
      <c r="AB1176">
        <v>0</v>
      </c>
      <c r="AC1176">
        <v>0</v>
      </c>
      <c r="AD1176">
        <v>1388</v>
      </c>
    </row>
    <row r="1177" spans="1:30" x14ac:dyDescent="0.25">
      <c r="H1177" t="s">
        <v>2381</v>
      </c>
    </row>
    <row r="1178" spans="1:30" x14ac:dyDescent="0.25">
      <c r="A1178">
        <v>586</v>
      </c>
      <c r="B1178">
        <v>4504</v>
      </c>
      <c r="C1178" t="s">
        <v>2382</v>
      </c>
      <c r="D1178" t="s">
        <v>75</v>
      </c>
      <c r="E1178" t="s">
        <v>40</v>
      </c>
      <c r="F1178" t="s">
        <v>2383</v>
      </c>
      <c r="G1178" t="str">
        <f>"00323190"</f>
        <v>00323190</v>
      </c>
      <c r="H1178">
        <v>770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30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84</v>
      </c>
      <c r="W1178">
        <v>588</v>
      </c>
      <c r="X1178">
        <v>0</v>
      </c>
      <c r="Z1178">
        <v>0</v>
      </c>
      <c r="AA1178">
        <v>0</v>
      </c>
      <c r="AB1178">
        <v>0</v>
      </c>
      <c r="AC1178">
        <v>0</v>
      </c>
      <c r="AD1178">
        <v>1388</v>
      </c>
    </row>
    <row r="1179" spans="1:30" x14ac:dyDescent="0.25">
      <c r="H1179" t="s">
        <v>2384</v>
      </c>
    </row>
    <row r="1180" spans="1:30" x14ac:dyDescent="0.25">
      <c r="A1180">
        <v>587</v>
      </c>
      <c r="B1180">
        <v>895</v>
      </c>
      <c r="C1180" t="s">
        <v>2385</v>
      </c>
      <c r="D1180" t="s">
        <v>40</v>
      </c>
      <c r="E1180" t="s">
        <v>400</v>
      </c>
      <c r="F1180" t="s">
        <v>2386</v>
      </c>
      <c r="G1180" t="str">
        <f>"00309023"</f>
        <v>00309023</v>
      </c>
      <c r="H1180">
        <v>770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30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84</v>
      </c>
      <c r="W1180">
        <v>588</v>
      </c>
      <c r="X1180">
        <v>0</v>
      </c>
      <c r="Z1180">
        <v>0</v>
      </c>
      <c r="AA1180">
        <v>0</v>
      </c>
      <c r="AB1180">
        <v>0</v>
      </c>
      <c r="AC1180">
        <v>0</v>
      </c>
      <c r="AD1180">
        <v>1388</v>
      </c>
    </row>
    <row r="1181" spans="1:30" x14ac:dyDescent="0.25">
      <c r="H1181" t="s">
        <v>2387</v>
      </c>
    </row>
    <row r="1182" spans="1:30" x14ac:dyDescent="0.25">
      <c r="A1182">
        <v>588</v>
      </c>
      <c r="B1182">
        <v>2484</v>
      </c>
      <c r="C1182" t="s">
        <v>2388</v>
      </c>
      <c r="D1182" t="s">
        <v>1625</v>
      </c>
      <c r="E1182" t="s">
        <v>40</v>
      </c>
      <c r="F1182" t="s">
        <v>2389</v>
      </c>
      <c r="G1182" t="str">
        <f>"201406015682"</f>
        <v>201406015682</v>
      </c>
      <c r="H1182">
        <v>770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30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84</v>
      </c>
      <c r="W1182">
        <v>588</v>
      </c>
      <c r="X1182">
        <v>0</v>
      </c>
      <c r="Z1182">
        <v>0</v>
      </c>
      <c r="AA1182">
        <v>0</v>
      </c>
      <c r="AB1182">
        <v>0</v>
      </c>
      <c r="AC1182">
        <v>0</v>
      </c>
      <c r="AD1182">
        <v>1388</v>
      </c>
    </row>
    <row r="1183" spans="1:30" x14ac:dyDescent="0.25">
      <c r="H1183" t="s">
        <v>2390</v>
      </c>
    </row>
    <row r="1184" spans="1:30" x14ac:dyDescent="0.25">
      <c r="A1184">
        <v>589</v>
      </c>
      <c r="B1184">
        <v>3330</v>
      </c>
      <c r="C1184" t="s">
        <v>2391</v>
      </c>
      <c r="D1184" t="s">
        <v>51</v>
      </c>
      <c r="E1184" t="s">
        <v>39</v>
      </c>
      <c r="F1184" t="s">
        <v>2392</v>
      </c>
      <c r="G1184" t="str">
        <f>"00370006"</f>
        <v>00370006</v>
      </c>
      <c r="H1184" t="s">
        <v>1115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30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84</v>
      </c>
      <c r="W1184">
        <v>588</v>
      </c>
      <c r="X1184">
        <v>0</v>
      </c>
      <c r="Z1184">
        <v>0</v>
      </c>
      <c r="AA1184">
        <v>0</v>
      </c>
      <c r="AB1184">
        <v>0</v>
      </c>
      <c r="AC1184">
        <v>0</v>
      </c>
      <c r="AD1184" t="s">
        <v>2393</v>
      </c>
    </row>
    <row r="1185" spans="1:30" x14ac:dyDescent="0.25">
      <c r="H1185" t="s">
        <v>2394</v>
      </c>
    </row>
    <row r="1186" spans="1:30" x14ac:dyDescent="0.25">
      <c r="A1186">
        <v>590</v>
      </c>
      <c r="B1186">
        <v>1044</v>
      </c>
      <c r="C1186" t="s">
        <v>2395</v>
      </c>
      <c r="D1186" t="s">
        <v>335</v>
      </c>
      <c r="E1186" t="s">
        <v>2396</v>
      </c>
      <c r="F1186" t="s">
        <v>2397</v>
      </c>
      <c r="G1186" t="str">
        <f>"00254216"</f>
        <v>00254216</v>
      </c>
      <c r="H1186" t="s">
        <v>1572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76</v>
      </c>
      <c r="W1186">
        <v>532</v>
      </c>
      <c r="X1186">
        <v>0</v>
      </c>
      <c r="Z1186">
        <v>0</v>
      </c>
      <c r="AA1186">
        <v>0</v>
      </c>
      <c r="AB1186">
        <v>8</v>
      </c>
      <c r="AC1186">
        <v>136</v>
      </c>
      <c r="AD1186" t="s">
        <v>2398</v>
      </c>
    </row>
    <row r="1187" spans="1:30" x14ac:dyDescent="0.25">
      <c r="H1187" t="s">
        <v>2399</v>
      </c>
    </row>
    <row r="1188" spans="1:30" x14ac:dyDescent="0.25">
      <c r="A1188">
        <v>591</v>
      </c>
      <c r="B1188">
        <v>3568</v>
      </c>
      <c r="C1188" t="s">
        <v>2400</v>
      </c>
      <c r="D1188" t="s">
        <v>75</v>
      </c>
      <c r="E1188" t="s">
        <v>1718</v>
      </c>
      <c r="F1188" t="s">
        <v>2401</v>
      </c>
      <c r="G1188" t="str">
        <f>"200712001782"</f>
        <v>200712001782</v>
      </c>
      <c r="H1188">
        <v>748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50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84</v>
      </c>
      <c r="W1188">
        <v>588</v>
      </c>
      <c r="X1188">
        <v>0</v>
      </c>
      <c r="Z1188">
        <v>0</v>
      </c>
      <c r="AA1188">
        <v>0</v>
      </c>
      <c r="AB1188">
        <v>0</v>
      </c>
      <c r="AC1188">
        <v>0</v>
      </c>
      <c r="AD1188">
        <v>1386</v>
      </c>
    </row>
    <row r="1189" spans="1:30" x14ac:dyDescent="0.25">
      <c r="H1189" t="s">
        <v>2402</v>
      </c>
    </row>
    <row r="1190" spans="1:30" x14ac:dyDescent="0.25">
      <c r="A1190">
        <v>592</v>
      </c>
      <c r="B1190">
        <v>3765</v>
      </c>
      <c r="C1190" t="s">
        <v>2403</v>
      </c>
      <c r="D1190" t="s">
        <v>2404</v>
      </c>
      <c r="E1190" t="s">
        <v>2405</v>
      </c>
      <c r="F1190" t="s">
        <v>2406</v>
      </c>
      <c r="G1190" t="str">
        <f>"201406009972"</f>
        <v>201406009972</v>
      </c>
      <c r="H1190">
        <v>748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50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84</v>
      </c>
      <c r="W1190">
        <v>588</v>
      </c>
      <c r="X1190">
        <v>0</v>
      </c>
      <c r="Z1190">
        <v>0</v>
      </c>
      <c r="AA1190">
        <v>0</v>
      </c>
      <c r="AB1190">
        <v>0</v>
      </c>
      <c r="AC1190">
        <v>0</v>
      </c>
      <c r="AD1190">
        <v>1386</v>
      </c>
    </row>
    <row r="1191" spans="1:30" x14ac:dyDescent="0.25">
      <c r="H1191" t="s">
        <v>2407</v>
      </c>
    </row>
    <row r="1192" spans="1:30" x14ac:dyDescent="0.25">
      <c r="A1192">
        <v>593</v>
      </c>
      <c r="B1192">
        <v>218</v>
      </c>
      <c r="C1192" t="s">
        <v>2408</v>
      </c>
      <c r="D1192" t="s">
        <v>150</v>
      </c>
      <c r="E1192" t="s">
        <v>39</v>
      </c>
      <c r="F1192" t="s">
        <v>2409</v>
      </c>
      <c r="G1192" t="str">
        <f>"201406014429"</f>
        <v>201406014429</v>
      </c>
      <c r="H1192" t="s">
        <v>818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30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84</v>
      </c>
      <c r="W1192">
        <v>588</v>
      </c>
      <c r="X1192">
        <v>0</v>
      </c>
      <c r="Z1192">
        <v>0</v>
      </c>
      <c r="AA1192">
        <v>0</v>
      </c>
      <c r="AB1192">
        <v>0</v>
      </c>
      <c r="AC1192">
        <v>0</v>
      </c>
      <c r="AD1192" t="s">
        <v>2410</v>
      </c>
    </row>
    <row r="1193" spans="1:30" x14ac:dyDescent="0.25">
      <c r="H1193" t="s">
        <v>2411</v>
      </c>
    </row>
    <row r="1194" spans="1:30" x14ac:dyDescent="0.25">
      <c r="A1194">
        <v>594</v>
      </c>
      <c r="B1194">
        <v>2695</v>
      </c>
      <c r="C1194" t="s">
        <v>2412</v>
      </c>
      <c r="D1194" t="s">
        <v>2413</v>
      </c>
      <c r="E1194" t="s">
        <v>47</v>
      </c>
      <c r="F1194" t="s">
        <v>2414</v>
      </c>
      <c r="G1194" t="str">
        <f>"00338575"</f>
        <v>00338575</v>
      </c>
      <c r="H1194" t="s">
        <v>818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30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84</v>
      </c>
      <c r="W1194">
        <v>588</v>
      </c>
      <c r="X1194">
        <v>0</v>
      </c>
      <c r="Z1194">
        <v>0</v>
      </c>
      <c r="AA1194">
        <v>0</v>
      </c>
      <c r="AB1194">
        <v>0</v>
      </c>
      <c r="AC1194">
        <v>0</v>
      </c>
      <c r="AD1194" t="s">
        <v>2410</v>
      </c>
    </row>
    <row r="1195" spans="1:30" x14ac:dyDescent="0.25">
      <c r="H1195">
        <v>1247</v>
      </c>
    </row>
    <row r="1196" spans="1:30" x14ac:dyDescent="0.25">
      <c r="A1196">
        <v>595</v>
      </c>
      <c r="B1196">
        <v>2561</v>
      </c>
      <c r="C1196" t="s">
        <v>2104</v>
      </c>
      <c r="D1196" t="s">
        <v>1576</v>
      </c>
      <c r="E1196" t="s">
        <v>183</v>
      </c>
      <c r="F1196" t="s">
        <v>2415</v>
      </c>
      <c r="G1196" t="str">
        <f>"00195652"</f>
        <v>00195652</v>
      </c>
      <c r="H1196" t="s">
        <v>258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84</v>
      </c>
      <c r="W1196">
        <v>588</v>
      </c>
      <c r="X1196">
        <v>0</v>
      </c>
      <c r="Z1196">
        <v>0</v>
      </c>
      <c r="AA1196">
        <v>0</v>
      </c>
      <c r="AB1196">
        <v>0</v>
      </c>
      <c r="AC1196">
        <v>0</v>
      </c>
      <c r="AD1196" t="s">
        <v>2416</v>
      </c>
    </row>
    <row r="1197" spans="1:30" x14ac:dyDescent="0.25">
      <c r="H1197" t="s">
        <v>2417</v>
      </c>
    </row>
    <row r="1198" spans="1:30" x14ac:dyDescent="0.25">
      <c r="A1198">
        <v>596</v>
      </c>
      <c r="B1198">
        <v>751</v>
      </c>
      <c r="C1198" t="s">
        <v>2418</v>
      </c>
      <c r="D1198" t="s">
        <v>804</v>
      </c>
      <c r="E1198" t="s">
        <v>378</v>
      </c>
      <c r="F1198" t="s">
        <v>2419</v>
      </c>
      <c r="G1198" t="str">
        <f>"00152985"</f>
        <v>00152985</v>
      </c>
      <c r="H1198" t="s">
        <v>1251</v>
      </c>
      <c r="I1198">
        <v>150</v>
      </c>
      <c r="J1198">
        <v>0</v>
      </c>
      <c r="K1198">
        <v>0</v>
      </c>
      <c r="L1198">
        <v>0</v>
      </c>
      <c r="M1198">
        <v>100</v>
      </c>
      <c r="N1198">
        <v>30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0</v>
      </c>
      <c r="W1198">
        <v>0</v>
      </c>
      <c r="X1198">
        <v>0</v>
      </c>
      <c r="Z1198">
        <v>0</v>
      </c>
      <c r="AA1198">
        <v>0</v>
      </c>
      <c r="AB1198">
        <v>24</v>
      </c>
      <c r="AC1198">
        <v>408</v>
      </c>
      <c r="AD1198" t="s">
        <v>2420</v>
      </c>
    </row>
    <row r="1199" spans="1:30" x14ac:dyDescent="0.25">
      <c r="H1199" t="s">
        <v>549</v>
      </c>
    </row>
    <row r="1200" spans="1:30" x14ac:dyDescent="0.25">
      <c r="A1200">
        <v>597</v>
      </c>
      <c r="B1200">
        <v>318</v>
      </c>
      <c r="C1200" t="s">
        <v>2421</v>
      </c>
      <c r="D1200" t="s">
        <v>335</v>
      </c>
      <c r="E1200" t="s">
        <v>47</v>
      </c>
      <c r="F1200" t="s">
        <v>2422</v>
      </c>
      <c r="G1200" t="str">
        <f>"201405002003"</f>
        <v>201405002003</v>
      </c>
      <c r="H1200" t="s">
        <v>568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30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84</v>
      </c>
      <c r="W1200">
        <v>588</v>
      </c>
      <c r="X1200">
        <v>0</v>
      </c>
      <c r="Z1200">
        <v>0</v>
      </c>
      <c r="AA1200">
        <v>0</v>
      </c>
      <c r="AB1200">
        <v>0</v>
      </c>
      <c r="AC1200">
        <v>0</v>
      </c>
      <c r="AD1200" t="s">
        <v>2423</v>
      </c>
    </row>
    <row r="1201" spans="1:30" x14ac:dyDescent="0.25">
      <c r="H1201" t="s">
        <v>2424</v>
      </c>
    </row>
    <row r="1202" spans="1:30" x14ac:dyDescent="0.25">
      <c r="A1202">
        <v>598</v>
      </c>
      <c r="B1202">
        <v>5159</v>
      </c>
      <c r="C1202" t="s">
        <v>2425</v>
      </c>
      <c r="D1202" t="s">
        <v>166</v>
      </c>
      <c r="E1202" t="s">
        <v>2426</v>
      </c>
      <c r="F1202" t="s">
        <v>2427</v>
      </c>
      <c r="G1202" t="str">
        <f>"00363854"</f>
        <v>00363854</v>
      </c>
      <c r="H1202" t="s">
        <v>568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30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84</v>
      </c>
      <c r="W1202">
        <v>588</v>
      </c>
      <c r="X1202">
        <v>0</v>
      </c>
      <c r="Z1202">
        <v>0</v>
      </c>
      <c r="AA1202">
        <v>0</v>
      </c>
      <c r="AB1202">
        <v>0</v>
      </c>
      <c r="AC1202">
        <v>0</v>
      </c>
      <c r="AD1202" t="s">
        <v>2423</v>
      </c>
    </row>
    <row r="1203" spans="1:30" x14ac:dyDescent="0.25">
      <c r="H1203" t="s">
        <v>2428</v>
      </c>
    </row>
    <row r="1204" spans="1:30" x14ac:dyDescent="0.25">
      <c r="A1204">
        <v>599</v>
      </c>
      <c r="B1204">
        <v>5573</v>
      </c>
      <c r="C1204" t="s">
        <v>2429</v>
      </c>
      <c r="D1204" t="s">
        <v>869</v>
      </c>
      <c r="E1204" t="s">
        <v>482</v>
      </c>
      <c r="F1204" t="s">
        <v>2430</v>
      </c>
      <c r="G1204" t="str">
        <f>"201412004760"</f>
        <v>201412004760</v>
      </c>
      <c r="H1204">
        <v>781</v>
      </c>
      <c r="I1204">
        <v>0</v>
      </c>
      <c r="J1204">
        <v>0</v>
      </c>
      <c r="K1204">
        <v>0</v>
      </c>
      <c r="L1204">
        <v>200</v>
      </c>
      <c r="M1204">
        <v>0</v>
      </c>
      <c r="N1204">
        <v>30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53</v>
      </c>
      <c r="W1204">
        <v>371</v>
      </c>
      <c r="X1204">
        <v>0</v>
      </c>
      <c r="Z1204">
        <v>0</v>
      </c>
      <c r="AA1204">
        <v>0</v>
      </c>
      <c r="AB1204">
        <v>0</v>
      </c>
      <c r="AC1204">
        <v>0</v>
      </c>
      <c r="AD1204">
        <v>1382</v>
      </c>
    </row>
    <row r="1205" spans="1:30" x14ac:dyDescent="0.25">
      <c r="H1205" t="s">
        <v>2431</v>
      </c>
    </row>
    <row r="1206" spans="1:30" x14ac:dyDescent="0.25">
      <c r="A1206">
        <v>600</v>
      </c>
      <c r="B1206">
        <v>5082</v>
      </c>
      <c r="C1206" t="s">
        <v>2432</v>
      </c>
      <c r="D1206" t="s">
        <v>526</v>
      </c>
      <c r="E1206" t="s">
        <v>108</v>
      </c>
      <c r="F1206" t="s">
        <v>2433</v>
      </c>
      <c r="G1206" t="str">
        <f>"00150141"</f>
        <v>00150141</v>
      </c>
      <c r="H1206" t="s">
        <v>2434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76</v>
      </c>
      <c r="W1206">
        <v>532</v>
      </c>
      <c r="X1206">
        <v>0</v>
      </c>
      <c r="Z1206">
        <v>0</v>
      </c>
      <c r="AA1206">
        <v>0</v>
      </c>
      <c r="AB1206">
        <v>8</v>
      </c>
      <c r="AC1206">
        <v>136</v>
      </c>
      <c r="AD1206" t="s">
        <v>2435</v>
      </c>
    </row>
    <row r="1207" spans="1:30" x14ac:dyDescent="0.25">
      <c r="H1207" t="s">
        <v>2436</v>
      </c>
    </row>
    <row r="1208" spans="1:30" x14ac:dyDescent="0.25">
      <c r="A1208">
        <v>601</v>
      </c>
      <c r="B1208">
        <v>2070</v>
      </c>
      <c r="C1208" t="s">
        <v>2437</v>
      </c>
      <c r="D1208" t="s">
        <v>47</v>
      </c>
      <c r="E1208" t="s">
        <v>2438</v>
      </c>
      <c r="F1208" t="s">
        <v>2439</v>
      </c>
      <c r="G1208" t="str">
        <f>"00273976"</f>
        <v>00273976</v>
      </c>
      <c r="H1208" t="s">
        <v>705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30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84</v>
      </c>
      <c r="W1208">
        <v>588</v>
      </c>
      <c r="X1208">
        <v>0</v>
      </c>
      <c r="Z1208">
        <v>0</v>
      </c>
      <c r="AA1208">
        <v>0</v>
      </c>
      <c r="AB1208">
        <v>0</v>
      </c>
      <c r="AC1208">
        <v>0</v>
      </c>
      <c r="AD1208" t="s">
        <v>2440</v>
      </c>
    </row>
    <row r="1209" spans="1:30" x14ac:dyDescent="0.25">
      <c r="H1209" t="s">
        <v>2441</v>
      </c>
    </row>
    <row r="1210" spans="1:30" x14ac:dyDescent="0.25">
      <c r="A1210">
        <v>602</v>
      </c>
      <c r="B1210">
        <v>4616</v>
      </c>
      <c r="C1210" t="s">
        <v>2442</v>
      </c>
      <c r="D1210" t="s">
        <v>143</v>
      </c>
      <c r="E1210" t="s">
        <v>40</v>
      </c>
      <c r="F1210" t="s">
        <v>2443</v>
      </c>
      <c r="G1210" t="str">
        <f>"201506004482"</f>
        <v>201506004482</v>
      </c>
      <c r="H1210" t="s">
        <v>705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30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84</v>
      </c>
      <c r="W1210">
        <v>588</v>
      </c>
      <c r="X1210">
        <v>0</v>
      </c>
      <c r="Z1210">
        <v>2</v>
      </c>
      <c r="AA1210">
        <v>0</v>
      </c>
      <c r="AB1210">
        <v>0</v>
      </c>
      <c r="AC1210">
        <v>0</v>
      </c>
      <c r="AD1210" t="s">
        <v>2440</v>
      </c>
    </row>
    <row r="1211" spans="1:30" x14ac:dyDescent="0.25">
      <c r="H1211" t="s">
        <v>2444</v>
      </c>
    </row>
    <row r="1212" spans="1:30" x14ac:dyDescent="0.25">
      <c r="A1212">
        <v>603</v>
      </c>
      <c r="B1212">
        <v>4119</v>
      </c>
      <c r="C1212" t="s">
        <v>477</v>
      </c>
      <c r="D1212" t="s">
        <v>46</v>
      </c>
      <c r="E1212" t="s">
        <v>107</v>
      </c>
      <c r="F1212" t="s">
        <v>2445</v>
      </c>
      <c r="G1212" t="str">
        <f>"00336949"</f>
        <v>00336949</v>
      </c>
      <c r="H1212" t="s">
        <v>2446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30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70</v>
      </c>
      <c r="W1212">
        <v>490</v>
      </c>
      <c r="X1212">
        <v>0</v>
      </c>
      <c r="Z1212">
        <v>0</v>
      </c>
      <c r="AA1212">
        <v>0</v>
      </c>
      <c r="AB1212">
        <v>0</v>
      </c>
      <c r="AC1212">
        <v>0</v>
      </c>
      <c r="AD1212" t="s">
        <v>2447</v>
      </c>
    </row>
    <row r="1213" spans="1:30" x14ac:dyDescent="0.25">
      <c r="H1213" t="s">
        <v>2448</v>
      </c>
    </row>
    <row r="1214" spans="1:30" x14ac:dyDescent="0.25">
      <c r="A1214">
        <v>604</v>
      </c>
      <c r="B1214">
        <v>2504</v>
      </c>
      <c r="C1214" t="s">
        <v>2449</v>
      </c>
      <c r="D1214" t="s">
        <v>229</v>
      </c>
      <c r="E1214" t="s">
        <v>1070</v>
      </c>
      <c r="F1214" t="s">
        <v>2450</v>
      </c>
      <c r="G1214" t="str">
        <f>"200810000836"</f>
        <v>200810000836</v>
      </c>
      <c r="H1214" t="s">
        <v>2451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46</v>
      </c>
      <c r="W1214">
        <v>322</v>
      </c>
      <c r="X1214">
        <v>0</v>
      </c>
      <c r="Z1214">
        <v>0</v>
      </c>
      <c r="AA1214">
        <v>0</v>
      </c>
      <c r="AB1214">
        <v>24</v>
      </c>
      <c r="AC1214">
        <v>408</v>
      </c>
      <c r="AD1214" t="s">
        <v>2452</v>
      </c>
    </row>
    <row r="1215" spans="1:30" x14ac:dyDescent="0.25">
      <c r="H1215" t="s">
        <v>2453</v>
      </c>
    </row>
    <row r="1216" spans="1:30" x14ac:dyDescent="0.25">
      <c r="A1216">
        <v>605</v>
      </c>
      <c r="B1216">
        <v>3188</v>
      </c>
      <c r="C1216" t="s">
        <v>2454</v>
      </c>
      <c r="D1216" t="s">
        <v>144</v>
      </c>
      <c r="E1216" t="s">
        <v>1391</v>
      </c>
      <c r="F1216" t="s">
        <v>2455</v>
      </c>
      <c r="G1216" t="str">
        <f>"00206385"</f>
        <v>00206385</v>
      </c>
      <c r="H1216" t="s">
        <v>1131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30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78</v>
      </c>
      <c r="W1216">
        <v>546</v>
      </c>
      <c r="X1216">
        <v>0</v>
      </c>
      <c r="Z1216">
        <v>1</v>
      </c>
      <c r="AA1216">
        <v>0</v>
      </c>
      <c r="AB1216">
        <v>6</v>
      </c>
      <c r="AC1216">
        <v>102</v>
      </c>
      <c r="AD1216" t="s">
        <v>2456</v>
      </c>
    </row>
    <row r="1217" spans="1:30" x14ac:dyDescent="0.25">
      <c r="H1217" t="s">
        <v>2457</v>
      </c>
    </row>
    <row r="1218" spans="1:30" x14ac:dyDescent="0.25">
      <c r="A1218">
        <v>606</v>
      </c>
      <c r="B1218">
        <v>3533</v>
      </c>
      <c r="C1218" t="s">
        <v>2458</v>
      </c>
      <c r="D1218" t="s">
        <v>196</v>
      </c>
      <c r="E1218" t="s">
        <v>47</v>
      </c>
      <c r="F1218" t="s">
        <v>2459</v>
      </c>
      <c r="G1218" t="str">
        <f>"200905000068"</f>
        <v>200905000068</v>
      </c>
      <c r="H1218" t="s">
        <v>1371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30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84</v>
      </c>
      <c r="W1218">
        <v>588</v>
      </c>
      <c r="X1218">
        <v>0</v>
      </c>
      <c r="Z1218">
        <v>0</v>
      </c>
      <c r="AA1218">
        <v>0</v>
      </c>
      <c r="AB1218">
        <v>0</v>
      </c>
      <c r="AC1218">
        <v>0</v>
      </c>
      <c r="AD1218" t="s">
        <v>2460</v>
      </c>
    </row>
    <row r="1219" spans="1:30" x14ac:dyDescent="0.25">
      <c r="H1219" t="s">
        <v>2461</v>
      </c>
    </row>
    <row r="1220" spans="1:30" x14ac:dyDescent="0.25">
      <c r="A1220">
        <v>607</v>
      </c>
      <c r="B1220">
        <v>4327</v>
      </c>
      <c r="C1220" t="s">
        <v>2462</v>
      </c>
      <c r="D1220" t="s">
        <v>335</v>
      </c>
      <c r="E1220" t="s">
        <v>39</v>
      </c>
      <c r="F1220" t="s">
        <v>2463</v>
      </c>
      <c r="G1220" t="str">
        <f>"00332808"</f>
        <v>00332808</v>
      </c>
      <c r="H1220" t="s">
        <v>1371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30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84</v>
      </c>
      <c r="W1220">
        <v>588</v>
      </c>
      <c r="X1220">
        <v>0</v>
      </c>
      <c r="Z1220">
        <v>0</v>
      </c>
      <c r="AA1220">
        <v>0</v>
      </c>
      <c r="AB1220">
        <v>0</v>
      </c>
      <c r="AC1220">
        <v>0</v>
      </c>
      <c r="AD1220" t="s">
        <v>2460</v>
      </c>
    </row>
    <row r="1221" spans="1:30" x14ac:dyDescent="0.25">
      <c r="H1221" t="s">
        <v>2464</v>
      </c>
    </row>
    <row r="1222" spans="1:30" x14ac:dyDescent="0.25">
      <c r="A1222">
        <v>608</v>
      </c>
      <c r="B1222">
        <v>3806</v>
      </c>
      <c r="C1222" t="s">
        <v>2465</v>
      </c>
      <c r="D1222" t="s">
        <v>869</v>
      </c>
      <c r="E1222" t="s">
        <v>15</v>
      </c>
      <c r="F1222" t="s">
        <v>2466</v>
      </c>
      <c r="G1222" t="str">
        <f>"201402011243"</f>
        <v>201402011243</v>
      </c>
      <c r="H1222">
        <v>792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84</v>
      </c>
      <c r="W1222">
        <v>588</v>
      </c>
      <c r="X1222">
        <v>0</v>
      </c>
      <c r="Z1222">
        <v>0</v>
      </c>
      <c r="AA1222">
        <v>0</v>
      </c>
      <c r="AB1222">
        <v>0</v>
      </c>
      <c r="AC1222">
        <v>0</v>
      </c>
      <c r="AD1222">
        <v>1380</v>
      </c>
    </row>
    <row r="1223" spans="1:30" x14ac:dyDescent="0.25">
      <c r="H1223" t="s">
        <v>2467</v>
      </c>
    </row>
    <row r="1224" spans="1:30" x14ac:dyDescent="0.25">
      <c r="A1224">
        <v>609</v>
      </c>
      <c r="B1224">
        <v>4772</v>
      </c>
      <c r="C1224" t="s">
        <v>2468</v>
      </c>
      <c r="D1224" t="s">
        <v>420</v>
      </c>
      <c r="E1224" t="s">
        <v>1660</v>
      </c>
      <c r="F1224" t="s">
        <v>2469</v>
      </c>
      <c r="G1224" t="str">
        <f>"00260592"</f>
        <v>00260592</v>
      </c>
      <c r="H1224">
        <v>792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84</v>
      </c>
      <c r="W1224">
        <v>588</v>
      </c>
      <c r="X1224">
        <v>0</v>
      </c>
      <c r="Z1224">
        <v>2</v>
      </c>
      <c r="AA1224">
        <v>0</v>
      </c>
      <c r="AB1224">
        <v>0</v>
      </c>
      <c r="AC1224">
        <v>0</v>
      </c>
      <c r="AD1224">
        <v>1380</v>
      </c>
    </row>
    <row r="1225" spans="1:30" x14ac:dyDescent="0.25">
      <c r="H1225" t="s">
        <v>2470</v>
      </c>
    </row>
    <row r="1226" spans="1:30" x14ac:dyDescent="0.25">
      <c r="A1226">
        <v>610</v>
      </c>
      <c r="B1226">
        <v>4568</v>
      </c>
      <c r="C1226" t="s">
        <v>2471</v>
      </c>
      <c r="D1226" t="s">
        <v>2472</v>
      </c>
      <c r="E1226" t="s">
        <v>39</v>
      </c>
      <c r="F1226" t="s">
        <v>2473</v>
      </c>
      <c r="G1226" t="str">
        <f>"201410011255"</f>
        <v>201410011255</v>
      </c>
      <c r="H1226">
        <v>792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84</v>
      </c>
      <c r="W1226">
        <v>588</v>
      </c>
      <c r="X1226">
        <v>0</v>
      </c>
      <c r="Z1226">
        <v>1</v>
      </c>
      <c r="AA1226">
        <v>0</v>
      </c>
      <c r="AB1226">
        <v>0</v>
      </c>
      <c r="AC1226">
        <v>0</v>
      </c>
      <c r="AD1226">
        <v>1380</v>
      </c>
    </row>
    <row r="1227" spans="1:30" x14ac:dyDescent="0.25">
      <c r="H1227" t="s">
        <v>2474</v>
      </c>
    </row>
    <row r="1228" spans="1:30" x14ac:dyDescent="0.25">
      <c r="A1228">
        <v>611</v>
      </c>
      <c r="B1228">
        <v>5093</v>
      </c>
      <c r="C1228" t="s">
        <v>2475</v>
      </c>
      <c r="D1228" t="s">
        <v>804</v>
      </c>
      <c r="E1228" t="s">
        <v>162</v>
      </c>
      <c r="F1228" t="s">
        <v>2476</v>
      </c>
      <c r="G1228" t="str">
        <f>"00264288"</f>
        <v>00264288</v>
      </c>
      <c r="H1228" t="s">
        <v>1054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30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84</v>
      </c>
      <c r="W1228">
        <v>588</v>
      </c>
      <c r="X1228">
        <v>0</v>
      </c>
      <c r="Z1228">
        <v>0</v>
      </c>
      <c r="AA1228">
        <v>0</v>
      </c>
      <c r="AB1228">
        <v>0</v>
      </c>
      <c r="AC1228">
        <v>0</v>
      </c>
      <c r="AD1228" t="s">
        <v>2477</v>
      </c>
    </row>
    <row r="1229" spans="1:30" x14ac:dyDescent="0.25">
      <c r="H1229" t="s">
        <v>2478</v>
      </c>
    </row>
    <row r="1230" spans="1:30" x14ac:dyDescent="0.25">
      <c r="A1230">
        <v>612</v>
      </c>
      <c r="B1230">
        <v>5118</v>
      </c>
      <c r="C1230" t="s">
        <v>2479</v>
      </c>
      <c r="D1230" t="s">
        <v>223</v>
      </c>
      <c r="E1230" t="s">
        <v>183</v>
      </c>
      <c r="F1230" t="s">
        <v>2480</v>
      </c>
      <c r="G1230" t="str">
        <f>"201506001626"</f>
        <v>201506001626</v>
      </c>
      <c r="H1230">
        <v>748</v>
      </c>
      <c r="I1230">
        <v>0</v>
      </c>
      <c r="J1230">
        <v>0</v>
      </c>
      <c r="K1230">
        <v>0</v>
      </c>
      <c r="L1230">
        <v>200</v>
      </c>
      <c r="M1230">
        <v>0</v>
      </c>
      <c r="N1230">
        <v>30</v>
      </c>
      <c r="O1230">
        <v>0</v>
      </c>
      <c r="P1230">
        <v>0</v>
      </c>
      <c r="Q1230">
        <v>30</v>
      </c>
      <c r="R1230">
        <v>0</v>
      </c>
      <c r="S1230">
        <v>0</v>
      </c>
      <c r="T1230">
        <v>0</v>
      </c>
      <c r="U1230">
        <v>0</v>
      </c>
      <c r="V1230">
        <v>53</v>
      </c>
      <c r="W1230">
        <v>371</v>
      </c>
      <c r="X1230">
        <v>0</v>
      </c>
      <c r="Z1230">
        <v>0</v>
      </c>
      <c r="AA1230">
        <v>0</v>
      </c>
      <c r="AB1230">
        <v>0</v>
      </c>
      <c r="AC1230">
        <v>0</v>
      </c>
      <c r="AD1230">
        <v>1379</v>
      </c>
    </row>
    <row r="1231" spans="1:30" x14ac:dyDescent="0.25">
      <c r="H1231">
        <v>1250</v>
      </c>
    </row>
    <row r="1232" spans="1:30" x14ac:dyDescent="0.25">
      <c r="A1232">
        <v>613</v>
      </c>
      <c r="B1232">
        <v>5682</v>
      </c>
      <c r="C1232" t="s">
        <v>2481</v>
      </c>
      <c r="D1232" t="s">
        <v>262</v>
      </c>
      <c r="E1232" t="s">
        <v>2482</v>
      </c>
      <c r="F1232" t="s">
        <v>2483</v>
      </c>
      <c r="G1232" t="str">
        <f>"00357905"</f>
        <v>00357905</v>
      </c>
      <c r="H1232" t="s">
        <v>2056</v>
      </c>
      <c r="I1232">
        <v>0</v>
      </c>
      <c r="J1232">
        <v>0</v>
      </c>
      <c r="K1232">
        <v>0</v>
      </c>
      <c r="L1232">
        <v>200</v>
      </c>
      <c r="M1232">
        <v>0</v>
      </c>
      <c r="N1232">
        <v>30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61</v>
      </c>
      <c r="W1232">
        <v>427</v>
      </c>
      <c r="X1232">
        <v>0</v>
      </c>
      <c r="Z1232">
        <v>0</v>
      </c>
      <c r="AA1232">
        <v>0</v>
      </c>
      <c r="AB1232">
        <v>0</v>
      </c>
      <c r="AC1232">
        <v>0</v>
      </c>
      <c r="AD1232" t="s">
        <v>2484</v>
      </c>
    </row>
    <row r="1233" spans="1:30" x14ac:dyDescent="0.25">
      <c r="H1233" t="s">
        <v>2485</v>
      </c>
    </row>
    <row r="1234" spans="1:30" x14ac:dyDescent="0.25">
      <c r="A1234">
        <v>614</v>
      </c>
      <c r="B1234">
        <v>4929</v>
      </c>
      <c r="C1234" t="s">
        <v>2486</v>
      </c>
      <c r="D1234" t="s">
        <v>2487</v>
      </c>
      <c r="E1234" t="s">
        <v>40</v>
      </c>
      <c r="F1234" t="s">
        <v>2488</v>
      </c>
      <c r="G1234" t="str">
        <f>"00184324"</f>
        <v>00184324</v>
      </c>
      <c r="H1234" t="s">
        <v>264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84</v>
      </c>
      <c r="W1234">
        <v>588</v>
      </c>
      <c r="X1234">
        <v>0</v>
      </c>
      <c r="Z1234">
        <v>0</v>
      </c>
      <c r="AA1234">
        <v>0</v>
      </c>
      <c r="AB1234">
        <v>0</v>
      </c>
      <c r="AC1234">
        <v>0</v>
      </c>
      <c r="AD1234" t="s">
        <v>2489</v>
      </c>
    </row>
    <row r="1235" spans="1:30" x14ac:dyDescent="0.25">
      <c r="H1235" t="s">
        <v>2490</v>
      </c>
    </row>
    <row r="1236" spans="1:30" x14ac:dyDescent="0.25">
      <c r="A1236">
        <v>615</v>
      </c>
      <c r="B1236">
        <v>4670</v>
      </c>
      <c r="C1236" t="s">
        <v>2491</v>
      </c>
      <c r="D1236" t="s">
        <v>420</v>
      </c>
      <c r="E1236" t="s">
        <v>108</v>
      </c>
      <c r="F1236" t="s">
        <v>2492</v>
      </c>
      <c r="G1236" t="str">
        <f>"201406013216"</f>
        <v>201406013216</v>
      </c>
      <c r="H1236" t="s">
        <v>2493</v>
      </c>
      <c r="I1236">
        <v>0</v>
      </c>
      <c r="J1236">
        <v>0</v>
      </c>
      <c r="K1236">
        <v>0</v>
      </c>
      <c r="L1236">
        <v>200</v>
      </c>
      <c r="M1236">
        <v>0</v>
      </c>
      <c r="N1236">
        <v>70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33</v>
      </c>
      <c r="W1236">
        <v>231</v>
      </c>
      <c r="X1236">
        <v>0</v>
      </c>
      <c r="Z1236">
        <v>0</v>
      </c>
      <c r="AA1236">
        <v>0</v>
      </c>
      <c r="AB1236">
        <v>0</v>
      </c>
      <c r="AC1236">
        <v>0</v>
      </c>
      <c r="AD1236" t="s">
        <v>2494</v>
      </c>
    </row>
    <row r="1237" spans="1:30" x14ac:dyDescent="0.25">
      <c r="H1237" t="s">
        <v>2495</v>
      </c>
    </row>
    <row r="1238" spans="1:30" x14ac:dyDescent="0.25">
      <c r="A1238">
        <v>616</v>
      </c>
      <c r="B1238">
        <v>1211</v>
      </c>
      <c r="C1238" t="s">
        <v>2496</v>
      </c>
      <c r="D1238" t="s">
        <v>420</v>
      </c>
      <c r="E1238" t="s">
        <v>47</v>
      </c>
      <c r="F1238" t="s">
        <v>2497</v>
      </c>
      <c r="G1238" t="str">
        <f>"00285898"</f>
        <v>00285898</v>
      </c>
      <c r="H1238" t="s">
        <v>311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30</v>
      </c>
      <c r="O1238">
        <v>30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84</v>
      </c>
      <c r="W1238">
        <v>588</v>
      </c>
      <c r="X1238">
        <v>0</v>
      </c>
      <c r="Z1238">
        <v>0</v>
      </c>
      <c r="AA1238">
        <v>0</v>
      </c>
      <c r="AB1238">
        <v>0</v>
      </c>
      <c r="AC1238">
        <v>0</v>
      </c>
      <c r="AD1238" t="s">
        <v>2498</v>
      </c>
    </row>
    <row r="1239" spans="1:30" x14ac:dyDescent="0.25">
      <c r="H1239" t="s">
        <v>1758</v>
      </c>
    </row>
    <row r="1240" spans="1:30" x14ac:dyDescent="0.25">
      <c r="A1240">
        <v>617</v>
      </c>
      <c r="B1240">
        <v>980</v>
      </c>
      <c r="C1240" t="s">
        <v>2499</v>
      </c>
      <c r="D1240" t="s">
        <v>86</v>
      </c>
      <c r="E1240" t="s">
        <v>40</v>
      </c>
      <c r="F1240" t="s">
        <v>2500</v>
      </c>
      <c r="G1240" t="str">
        <f>"201406009788"</f>
        <v>201406009788</v>
      </c>
      <c r="H1240">
        <v>759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30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84</v>
      </c>
      <c r="W1240">
        <v>588</v>
      </c>
      <c r="X1240">
        <v>0</v>
      </c>
      <c r="Z1240">
        <v>0</v>
      </c>
      <c r="AA1240">
        <v>0</v>
      </c>
      <c r="AB1240">
        <v>0</v>
      </c>
      <c r="AC1240">
        <v>0</v>
      </c>
      <c r="AD1240">
        <v>1377</v>
      </c>
    </row>
    <row r="1241" spans="1:30" x14ac:dyDescent="0.25">
      <c r="H1241" t="s">
        <v>2501</v>
      </c>
    </row>
    <row r="1242" spans="1:30" x14ac:dyDescent="0.25">
      <c r="A1242">
        <v>618</v>
      </c>
      <c r="B1242">
        <v>3326</v>
      </c>
      <c r="C1242" t="s">
        <v>2502</v>
      </c>
      <c r="D1242" t="s">
        <v>494</v>
      </c>
      <c r="E1242" t="s">
        <v>1276</v>
      </c>
      <c r="F1242" t="s">
        <v>2503</v>
      </c>
      <c r="G1242" t="str">
        <f>"00263750"</f>
        <v>00263750</v>
      </c>
      <c r="H1242">
        <v>759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30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84</v>
      </c>
      <c r="W1242">
        <v>588</v>
      </c>
      <c r="X1242">
        <v>0</v>
      </c>
      <c r="Z1242">
        <v>0</v>
      </c>
      <c r="AA1242">
        <v>0</v>
      </c>
      <c r="AB1242">
        <v>0</v>
      </c>
      <c r="AC1242">
        <v>0</v>
      </c>
      <c r="AD1242">
        <v>1377</v>
      </c>
    </row>
    <row r="1243" spans="1:30" x14ac:dyDescent="0.25">
      <c r="H1243" t="s">
        <v>2504</v>
      </c>
    </row>
    <row r="1244" spans="1:30" x14ac:dyDescent="0.25">
      <c r="A1244">
        <v>619</v>
      </c>
      <c r="B1244">
        <v>40</v>
      </c>
      <c r="C1244" t="s">
        <v>2505</v>
      </c>
      <c r="D1244" t="s">
        <v>1186</v>
      </c>
      <c r="E1244" t="s">
        <v>40</v>
      </c>
      <c r="F1244" t="s">
        <v>2506</v>
      </c>
      <c r="G1244" t="str">
        <f>"00194955"</f>
        <v>00194955</v>
      </c>
      <c r="H1244">
        <v>759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30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84</v>
      </c>
      <c r="W1244">
        <v>588</v>
      </c>
      <c r="X1244">
        <v>0</v>
      </c>
      <c r="Z1244">
        <v>0</v>
      </c>
      <c r="AA1244">
        <v>0</v>
      </c>
      <c r="AB1244">
        <v>0</v>
      </c>
      <c r="AC1244">
        <v>0</v>
      </c>
      <c r="AD1244">
        <v>1377</v>
      </c>
    </row>
    <row r="1245" spans="1:30" x14ac:dyDescent="0.25">
      <c r="H1245" t="s">
        <v>2507</v>
      </c>
    </row>
    <row r="1246" spans="1:30" x14ac:dyDescent="0.25">
      <c r="A1246">
        <v>620</v>
      </c>
      <c r="B1246">
        <v>122</v>
      </c>
      <c r="C1246" t="s">
        <v>2508</v>
      </c>
      <c r="D1246" t="s">
        <v>75</v>
      </c>
      <c r="E1246" t="s">
        <v>140</v>
      </c>
      <c r="F1246" t="s">
        <v>2509</v>
      </c>
      <c r="G1246" t="str">
        <f>"00222588"</f>
        <v>00222588</v>
      </c>
      <c r="H1246">
        <v>759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30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84</v>
      </c>
      <c r="W1246">
        <v>588</v>
      </c>
      <c r="X1246">
        <v>0</v>
      </c>
      <c r="Z1246">
        <v>0</v>
      </c>
      <c r="AA1246">
        <v>0</v>
      </c>
      <c r="AB1246">
        <v>0</v>
      </c>
      <c r="AC1246">
        <v>0</v>
      </c>
      <c r="AD1246">
        <v>1377</v>
      </c>
    </row>
    <row r="1247" spans="1:30" x14ac:dyDescent="0.25">
      <c r="H1247" t="s">
        <v>2510</v>
      </c>
    </row>
    <row r="1248" spans="1:30" x14ac:dyDescent="0.25">
      <c r="A1248">
        <v>621</v>
      </c>
      <c r="B1248">
        <v>3138</v>
      </c>
      <c r="C1248" t="s">
        <v>2511</v>
      </c>
      <c r="D1248" t="s">
        <v>143</v>
      </c>
      <c r="E1248" t="s">
        <v>1061</v>
      </c>
      <c r="F1248" t="s">
        <v>2512</v>
      </c>
      <c r="G1248" t="str">
        <f>"00202893"</f>
        <v>00202893</v>
      </c>
      <c r="H1248">
        <v>759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30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84</v>
      </c>
      <c r="W1248">
        <v>588</v>
      </c>
      <c r="X1248">
        <v>0</v>
      </c>
      <c r="Z1248">
        <v>0</v>
      </c>
      <c r="AA1248">
        <v>0</v>
      </c>
      <c r="AB1248">
        <v>0</v>
      </c>
      <c r="AC1248">
        <v>0</v>
      </c>
      <c r="AD1248">
        <v>1377</v>
      </c>
    </row>
    <row r="1249" spans="1:30" x14ac:dyDescent="0.25">
      <c r="H1249" t="s">
        <v>2031</v>
      </c>
    </row>
    <row r="1250" spans="1:30" x14ac:dyDescent="0.25">
      <c r="A1250">
        <v>622</v>
      </c>
      <c r="B1250">
        <v>989</v>
      </c>
      <c r="C1250" t="s">
        <v>2513</v>
      </c>
      <c r="D1250" t="s">
        <v>151</v>
      </c>
      <c r="E1250" t="s">
        <v>190</v>
      </c>
      <c r="F1250" t="s">
        <v>2514</v>
      </c>
      <c r="G1250" t="str">
        <f>"00147873"</f>
        <v>00147873</v>
      </c>
      <c r="H1250">
        <v>759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30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84</v>
      </c>
      <c r="W1250">
        <v>588</v>
      </c>
      <c r="X1250">
        <v>0</v>
      </c>
      <c r="Z1250">
        <v>0</v>
      </c>
      <c r="AA1250">
        <v>0</v>
      </c>
      <c r="AB1250">
        <v>0</v>
      </c>
      <c r="AC1250">
        <v>0</v>
      </c>
      <c r="AD1250">
        <v>1377</v>
      </c>
    </row>
    <row r="1251" spans="1:30" x14ac:dyDescent="0.25">
      <c r="H1251" t="s">
        <v>2515</v>
      </c>
    </row>
    <row r="1252" spans="1:30" x14ac:dyDescent="0.25">
      <c r="A1252">
        <v>623</v>
      </c>
      <c r="B1252">
        <v>5988</v>
      </c>
      <c r="C1252" t="s">
        <v>2516</v>
      </c>
      <c r="D1252" t="s">
        <v>830</v>
      </c>
      <c r="E1252" t="s">
        <v>162</v>
      </c>
      <c r="F1252" t="s">
        <v>2517</v>
      </c>
      <c r="G1252" t="str">
        <f>"00195002"</f>
        <v>00195002</v>
      </c>
      <c r="H1252">
        <v>759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30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84</v>
      </c>
      <c r="W1252">
        <v>588</v>
      </c>
      <c r="X1252">
        <v>0</v>
      </c>
      <c r="Z1252">
        <v>0</v>
      </c>
      <c r="AA1252">
        <v>0</v>
      </c>
      <c r="AB1252">
        <v>0</v>
      </c>
      <c r="AC1252">
        <v>0</v>
      </c>
      <c r="AD1252">
        <v>1377</v>
      </c>
    </row>
    <row r="1253" spans="1:30" x14ac:dyDescent="0.25">
      <c r="H1253" t="s">
        <v>2518</v>
      </c>
    </row>
    <row r="1254" spans="1:30" x14ac:dyDescent="0.25">
      <c r="A1254">
        <v>624</v>
      </c>
      <c r="B1254">
        <v>1719</v>
      </c>
      <c r="C1254" t="s">
        <v>2519</v>
      </c>
      <c r="D1254" t="s">
        <v>182</v>
      </c>
      <c r="E1254" t="s">
        <v>47</v>
      </c>
      <c r="F1254" t="s">
        <v>2520</v>
      </c>
      <c r="G1254" t="str">
        <f>"201511027219"</f>
        <v>201511027219</v>
      </c>
      <c r="H1254">
        <v>759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30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84</v>
      </c>
      <c r="W1254">
        <v>588</v>
      </c>
      <c r="X1254">
        <v>0</v>
      </c>
      <c r="Z1254">
        <v>0</v>
      </c>
      <c r="AA1254">
        <v>0</v>
      </c>
      <c r="AB1254">
        <v>0</v>
      </c>
      <c r="AC1254">
        <v>0</v>
      </c>
      <c r="AD1254">
        <v>1377</v>
      </c>
    </row>
    <row r="1255" spans="1:30" x14ac:dyDescent="0.25">
      <c r="H1255" t="s">
        <v>2521</v>
      </c>
    </row>
    <row r="1256" spans="1:30" x14ac:dyDescent="0.25">
      <c r="A1256">
        <v>625</v>
      </c>
      <c r="B1256">
        <v>2040</v>
      </c>
      <c r="C1256" t="s">
        <v>2522</v>
      </c>
      <c r="D1256" t="s">
        <v>182</v>
      </c>
      <c r="E1256" t="s">
        <v>40</v>
      </c>
      <c r="F1256" t="s">
        <v>2523</v>
      </c>
      <c r="G1256" t="str">
        <f>"00324531"</f>
        <v>00324531</v>
      </c>
      <c r="H1256">
        <v>759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30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84</v>
      </c>
      <c r="W1256">
        <v>588</v>
      </c>
      <c r="X1256">
        <v>0</v>
      </c>
      <c r="Z1256">
        <v>0</v>
      </c>
      <c r="AA1256">
        <v>0</v>
      </c>
      <c r="AB1256">
        <v>0</v>
      </c>
      <c r="AC1256">
        <v>0</v>
      </c>
      <c r="AD1256">
        <v>1377</v>
      </c>
    </row>
    <row r="1257" spans="1:30" x14ac:dyDescent="0.25">
      <c r="H1257" t="s">
        <v>2524</v>
      </c>
    </row>
    <row r="1258" spans="1:30" x14ac:dyDescent="0.25">
      <c r="A1258">
        <v>626</v>
      </c>
      <c r="B1258">
        <v>4594</v>
      </c>
      <c r="C1258" t="s">
        <v>2525</v>
      </c>
      <c r="D1258" t="s">
        <v>661</v>
      </c>
      <c r="E1258" t="s">
        <v>107</v>
      </c>
      <c r="F1258" t="s">
        <v>2526</v>
      </c>
      <c r="G1258" t="str">
        <f>"201005000090"</f>
        <v>201005000090</v>
      </c>
      <c r="H1258">
        <v>759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30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84</v>
      </c>
      <c r="W1258">
        <v>588</v>
      </c>
      <c r="X1258">
        <v>0</v>
      </c>
      <c r="Z1258">
        <v>0</v>
      </c>
      <c r="AA1258">
        <v>0</v>
      </c>
      <c r="AB1258">
        <v>0</v>
      </c>
      <c r="AC1258">
        <v>0</v>
      </c>
      <c r="AD1258">
        <v>1377</v>
      </c>
    </row>
    <row r="1259" spans="1:30" x14ac:dyDescent="0.25">
      <c r="H1259" t="s">
        <v>2527</v>
      </c>
    </row>
    <row r="1260" spans="1:30" x14ac:dyDescent="0.25">
      <c r="A1260">
        <v>627</v>
      </c>
      <c r="B1260">
        <v>532</v>
      </c>
      <c r="C1260" t="s">
        <v>2528</v>
      </c>
      <c r="D1260" t="s">
        <v>804</v>
      </c>
      <c r="E1260" t="s">
        <v>162</v>
      </c>
      <c r="F1260" t="s">
        <v>2529</v>
      </c>
      <c r="G1260" t="str">
        <f>"201511032504"</f>
        <v>201511032504</v>
      </c>
      <c r="H1260" t="s">
        <v>1806</v>
      </c>
      <c r="I1260">
        <v>0</v>
      </c>
      <c r="J1260">
        <v>0</v>
      </c>
      <c r="K1260">
        <v>0</v>
      </c>
      <c r="L1260">
        <v>200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62</v>
      </c>
      <c r="W1260">
        <v>434</v>
      </c>
      <c r="X1260">
        <v>0</v>
      </c>
      <c r="Z1260">
        <v>0</v>
      </c>
      <c r="AA1260">
        <v>0</v>
      </c>
      <c r="AB1260">
        <v>0</v>
      </c>
      <c r="AC1260">
        <v>0</v>
      </c>
      <c r="AD1260" t="s">
        <v>2530</v>
      </c>
    </row>
    <row r="1261" spans="1:30" x14ac:dyDescent="0.25">
      <c r="H1261" t="s">
        <v>2531</v>
      </c>
    </row>
    <row r="1262" spans="1:30" x14ac:dyDescent="0.25">
      <c r="A1262">
        <v>628</v>
      </c>
      <c r="B1262">
        <v>457</v>
      </c>
      <c r="C1262" t="s">
        <v>2532</v>
      </c>
      <c r="D1262" t="s">
        <v>335</v>
      </c>
      <c r="E1262" t="s">
        <v>40</v>
      </c>
      <c r="F1262" t="s">
        <v>2533</v>
      </c>
      <c r="G1262" t="str">
        <f>"201406002887"</f>
        <v>201406002887</v>
      </c>
      <c r="H1262" t="s">
        <v>2534</v>
      </c>
      <c r="I1262">
        <v>0</v>
      </c>
      <c r="J1262">
        <v>0</v>
      </c>
      <c r="K1262">
        <v>0</v>
      </c>
      <c r="L1262">
        <v>0</v>
      </c>
      <c r="M1262">
        <v>100</v>
      </c>
      <c r="N1262">
        <v>30</v>
      </c>
      <c r="O1262">
        <v>30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84</v>
      </c>
      <c r="W1262">
        <v>588</v>
      </c>
      <c r="X1262">
        <v>0</v>
      </c>
      <c r="Z1262">
        <v>0</v>
      </c>
      <c r="AA1262">
        <v>0</v>
      </c>
      <c r="AB1262">
        <v>0</v>
      </c>
      <c r="AC1262">
        <v>0</v>
      </c>
      <c r="AD1262" t="s">
        <v>2535</v>
      </c>
    </row>
    <row r="1263" spans="1:30" x14ac:dyDescent="0.25">
      <c r="H1263">
        <v>1250</v>
      </c>
    </row>
    <row r="1264" spans="1:30" x14ac:dyDescent="0.25">
      <c r="A1264">
        <v>629</v>
      </c>
      <c r="B1264">
        <v>5236</v>
      </c>
      <c r="C1264" t="s">
        <v>2536</v>
      </c>
      <c r="D1264" t="s">
        <v>2537</v>
      </c>
      <c r="E1264" t="s">
        <v>183</v>
      </c>
      <c r="F1264" t="s">
        <v>2538</v>
      </c>
      <c r="G1264" t="str">
        <f>"00253500"</f>
        <v>00253500</v>
      </c>
      <c r="H1264" t="s">
        <v>2539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30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62</v>
      </c>
      <c r="W1264">
        <v>434</v>
      </c>
      <c r="X1264">
        <v>0</v>
      </c>
      <c r="Z1264">
        <v>2</v>
      </c>
      <c r="AA1264">
        <v>0</v>
      </c>
      <c r="AB1264">
        <v>0</v>
      </c>
      <c r="AC1264">
        <v>0</v>
      </c>
      <c r="AD1264" t="s">
        <v>2540</v>
      </c>
    </row>
    <row r="1265" spans="1:30" x14ac:dyDescent="0.25">
      <c r="H1265" t="s">
        <v>2541</v>
      </c>
    </row>
    <row r="1266" spans="1:30" x14ac:dyDescent="0.25">
      <c r="A1266">
        <v>630</v>
      </c>
      <c r="B1266">
        <v>2444</v>
      </c>
      <c r="C1266" t="s">
        <v>2542</v>
      </c>
      <c r="D1266" t="s">
        <v>2543</v>
      </c>
      <c r="E1266" t="s">
        <v>1937</v>
      </c>
      <c r="F1266" t="s">
        <v>2544</v>
      </c>
      <c r="G1266" t="str">
        <f>"201304003723"</f>
        <v>201304003723</v>
      </c>
      <c r="H1266" t="s">
        <v>2545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30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84</v>
      </c>
      <c r="W1266">
        <v>588</v>
      </c>
      <c r="X1266">
        <v>0</v>
      </c>
      <c r="Z1266">
        <v>0</v>
      </c>
      <c r="AA1266">
        <v>0</v>
      </c>
      <c r="AB1266">
        <v>0</v>
      </c>
      <c r="AC1266">
        <v>0</v>
      </c>
      <c r="AD1266" t="s">
        <v>2540</v>
      </c>
    </row>
    <row r="1267" spans="1:30" x14ac:dyDescent="0.25">
      <c r="H1267" t="s">
        <v>2546</v>
      </c>
    </row>
    <row r="1268" spans="1:30" x14ac:dyDescent="0.25">
      <c r="A1268">
        <v>631</v>
      </c>
      <c r="B1268">
        <v>2811</v>
      </c>
      <c r="C1268" t="s">
        <v>2547</v>
      </c>
      <c r="D1268" t="s">
        <v>134</v>
      </c>
      <c r="E1268" t="s">
        <v>108</v>
      </c>
      <c r="F1268" t="s">
        <v>2548</v>
      </c>
      <c r="G1268" t="str">
        <f>"201410008553"</f>
        <v>201410008553</v>
      </c>
      <c r="H1268">
        <v>737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50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84</v>
      </c>
      <c r="W1268">
        <v>588</v>
      </c>
      <c r="X1268">
        <v>0</v>
      </c>
      <c r="Z1268">
        <v>2</v>
      </c>
      <c r="AA1268">
        <v>0</v>
      </c>
      <c r="AB1268">
        <v>0</v>
      </c>
      <c r="AC1268">
        <v>0</v>
      </c>
      <c r="AD1268">
        <v>1375</v>
      </c>
    </row>
    <row r="1269" spans="1:30" x14ac:dyDescent="0.25">
      <c r="H1269" t="s">
        <v>2549</v>
      </c>
    </row>
    <row r="1270" spans="1:30" x14ac:dyDescent="0.25">
      <c r="A1270">
        <v>632</v>
      </c>
      <c r="B1270">
        <v>2892</v>
      </c>
      <c r="C1270" t="s">
        <v>2550</v>
      </c>
      <c r="D1270" t="s">
        <v>1359</v>
      </c>
      <c r="E1270" t="s">
        <v>162</v>
      </c>
      <c r="F1270" t="s">
        <v>2551</v>
      </c>
      <c r="G1270" t="str">
        <f>"201402002700"</f>
        <v>201402002700</v>
      </c>
      <c r="H1270">
        <v>737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50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84</v>
      </c>
      <c r="W1270">
        <v>588</v>
      </c>
      <c r="X1270">
        <v>0</v>
      </c>
      <c r="Z1270">
        <v>0</v>
      </c>
      <c r="AA1270">
        <v>0</v>
      </c>
      <c r="AB1270">
        <v>0</v>
      </c>
      <c r="AC1270">
        <v>0</v>
      </c>
      <c r="AD1270">
        <v>1375</v>
      </c>
    </row>
    <row r="1271" spans="1:30" x14ac:dyDescent="0.25">
      <c r="H1271" t="s">
        <v>2552</v>
      </c>
    </row>
    <row r="1272" spans="1:30" x14ac:dyDescent="0.25">
      <c r="A1272">
        <v>633</v>
      </c>
      <c r="B1272">
        <v>5553</v>
      </c>
      <c r="C1272" t="s">
        <v>839</v>
      </c>
      <c r="D1272" t="s">
        <v>39</v>
      </c>
      <c r="E1272" t="s">
        <v>40</v>
      </c>
      <c r="F1272" t="s">
        <v>1663</v>
      </c>
      <c r="G1272" t="str">
        <f>"00268936"</f>
        <v>00268936</v>
      </c>
      <c r="H1272">
        <v>638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47</v>
      </c>
      <c r="W1272">
        <v>329</v>
      </c>
      <c r="X1272">
        <v>0</v>
      </c>
      <c r="Z1272">
        <v>2</v>
      </c>
      <c r="AA1272">
        <v>0</v>
      </c>
      <c r="AB1272">
        <v>24</v>
      </c>
      <c r="AC1272">
        <v>408</v>
      </c>
      <c r="AD1272">
        <v>1375</v>
      </c>
    </row>
    <row r="1273" spans="1:30" x14ac:dyDescent="0.25">
      <c r="H1273" t="s">
        <v>1664</v>
      </c>
    </row>
    <row r="1274" spans="1:30" x14ac:dyDescent="0.25">
      <c r="A1274">
        <v>634</v>
      </c>
      <c r="B1274">
        <v>4184</v>
      </c>
      <c r="C1274" t="s">
        <v>2553</v>
      </c>
      <c r="D1274" t="s">
        <v>346</v>
      </c>
      <c r="E1274" t="s">
        <v>1070</v>
      </c>
      <c r="F1274" t="s">
        <v>2554</v>
      </c>
      <c r="G1274" t="str">
        <f>"201402001961"</f>
        <v>201402001961</v>
      </c>
      <c r="H1274" t="s">
        <v>933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70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84</v>
      </c>
      <c r="W1274">
        <v>588</v>
      </c>
      <c r="X1274">
        <v>0</v>
      </c>
      <c r="Z1274">
        <v>0</v>
      </c>
      <c r="AA1274">
        <v>0</v>
      </c>
      <c r="AB1274">
        <v>0</v>
      </c>
      <c r="AC1274">
        <v>0</v>
      </c>
      <c r="AD1274" t="s">
        <v>2555</v>
      </c>
    </row>
    <row r="1275" spans="1:30" x14ac:dyDescent="0.25">
      <c r="H1275" t="s">
        <v>2556</v>
      </c>
    </row>
    <row r="1276" spans="1:30" x14ac:dyDescent="0.25">
      <c r="A1276">
        <v>635</v>
      </c>
      <c r="B1276">
        <v>1933</v>
      </c>
      <c r="C1276" t="s">
        <v>2557</v>
      </c>
      <c r="D1276" t="s">
        <v>39</v>
      </c>
      <c r="E1276" t="s">
        <v>107</v>
      </c>
      <c r="F1276" t="s">
        <v>2558</v>
      </c>
      <c r="G1276" t="str">
        <f>"00164237"</f>
        <v>00164237</v>
      </c>
      <c r="H1276">
        <v>726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30</v>
      </c>
      <c r="O1276">
        <v>30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84</v>
      </c>
      <c r="W1276">
        <v>588</v>
      </c>
      <c r="X1276">
        <v>0</v>
      </c>
      <c r="Z1276">
        <v>0</v>
      </c>
      <c r="AA1276">
        <v>0</v>
      </c>
      <c r="AB1276">
        <v>0</v>
      </c>
      <c r="AC1276">
        <v>0</v>
      </c>
      <c r="AD1276">
        <v>1374</v>
      </c>
    </row>
    <row r="1277" spans="1:30" x14ac:dyDescent="0.25">
      <c r="H1277" t="s">
        <v>1822</v>
      </c>
    </row>
    <row r="1278" spans="1:30" x14ac:dyDescent="0.25">
      <c r="A1278">
        <v>636</v>
      </c>
      <c r="B1278">
        <v>892</v>
      </c>
      <c r="C1278" t="s">
        <v>940</v>
      </c>
      <c r="D1278" t="s">
        <v>162</v>
      </c>
      <c r="E1278" t="s">
        <v>107</v>
      </c>
      <c r="F1278" t="s">
        <v>2559</v>
      </c>
      <c r="G1278" t="str">
        <f>"201511023232"</f>
        <v>201511023232</v>
      </c>
      <c r="H1278" t="s">
        <v>123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50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84</v>
      </c>
      <c r="W1278">
        <v>588</v>
      </c>
      <c r="X1278">
        <v>6</v>
      </c>
      <c r="Y1278">
        <v>1251</v>
      </c>
      <c r="Z1278">
        <v>0</v>
      </c>
      <c r="AA1278">
        <v>0</v>
      </c>
      <c r="AB1278">
        <v>0</v>
      </c>
      <c r="AC1278">
        <v>0</v>
      </c>
      <c r="AD1278" t="s">
        <v>2560</v>
      </c>
    </row>
    <row r="1279" spans="1:30" x14ac:dyDescent="0.25">
      <c r="H1279" t="s">
        <v>2561</v>
      </c>
    </row>
    <row r="1280" spans="1:30" x14ac:dyDescent="0.25">
      <c r="A1280">
        <v>637</v>
      </c>
      <c r="B1280">
        <v>892</v>
      </c>
      <c r="C1280" t="s">
        <v>940</v>
      </c>
      <c r="D1280" t="s">
        <v>162</v>
      </c>
      <c r="E1280" t="s">
        <v>107</v>
      </c>
      <c r="F1280" t="s">
        <v>2559</v>
      </c>
      <c r="G1280" t="str">
        <f>"201511023232"</f>
        <v>201511023232</v>
      </c>
      <c r="H1280" t="s">
        <v>123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50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84</v>
      </c>
      <c r="W1280">
        <v>588</v>
      </c>
      <c r="X1280">
        <v>0</v>
      </c>
      <c r="Z1280">
        <v>0</v>
      </c>
      <c r="AA1280">
        <v>0</v>
      </c>
      <c r="AB1280">
        <v>0</v>
      </c>
      <c r="AC1280">
        <v>0</v>
      </c>
      <c r="AD1280" t="s">
        <v>2560</v>
      </c>
    </row>
    <row r="1281" spans="1:30" x14ac:dyDescent="0.25">
      <c r="H1281" t="s">
        <v>2561</v>
      </c>
    </row>
    <row r="1282" spans="1:30" x14ac:dyDescent="0.25">
      <c r="A1282">
        <v>638</v>
      </c>
      <c r="B1282">
        <v>2894</v>
      </c>
      <c r="C1282" t="s">
        <v>2562</v>
      </c>
      <c r="D1282" t="s">
        <v>290</v>
      </c>
      <c r="E1282" t="s">
        <v>107</v>
      </c>
      <c r="F1282" t="s">
        <v>2563</v>
      </c>
      <c r="G1282" t="str">
        <f>"00331523"</f>
        <v>00331523</v>
      </c>
      <c r="H1282" t="s">
        <v>622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84</v>
      </c>
      <c r="W1282">
        <v>588</v>
      </c>
      <c r="X1282">
        <v>0</v>
      </c>
      <c r="Z1282">
        <v>0</v>
      </c>
      <c r="AA1282">
        <v>0</v>
      </c>
      <c r="AB1282">
        <v>0</v>
      </c>
      <c r="AC1282">
        <v>0</v>
      </c>
      <c r="AD1282" t="s">
        <v>2564</v>
      </c>
    </row>
    <row r="1283" spans="1:30" x14ac:dyDescent="0.25">
      <c r="H1283" t="s">
        <v>2565</v>
      </c>
    </row>
    <row r="1284" spans="1:30" x14ac:dyDescent="0.25">
      <c r="A1284">
        <v>639</v>
      </c>
      <c r="B1284">
        <v>5479</v>
      </c>
      <c r="C1284" t="s">
        <v>2566</v>
      </c>
      <c r="D1284" t="s">
        <v>661</v>
      </c>
      <c r="E1284" t="s">
        <v>238</v>
      </c>
      <c r="F1284" t="s">
        <v>2567</v>
      </c>
      <c r="G1284" t="str">
        <f>"00283088"</f>
        <v>00283088</v>
      </c>
      <c r="H1284">
        <v>715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70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84</v>
      </c>
      <c r="W1284">
        <v>588</v>
      </c>
      <c r="X1284">
        <v>0</v>
      </c>
      <c r="Z1284">
        <v>2</v>
      </c>
      <c r="AA1284">
        <v>0</v>
      </c>
      <c r="AB1284">
        <v>0</v>
      </c>
      <c r="AC1284">
        <v>0</v>
      </c>
      <c r="AD1284">
        <v>1373</v>
      </c>
    </row>
    <row r="1285" spans="1:30" x14ac:dyDescent="0.25">
      <c r="H1285" t="s">
        <v>521</v>
      </c>
    </row>
    <row r="1286" spans="1:30" x14ac:dyDescent="0.25">
      <c r="A1286">
        <v>640</v>
      </c>
      <c r="B1286">
        <v>4983</v>
      </c>
      <c r="C1286" t="s">
        <v>2568</v>
      </c>
      <c r="D1286" t="s">
        <v>182</v>
      </c>
      <c r="E1286" t="s">
        <v>1544</v>
      </c>
      <c r="F1286" t="s">
        <v>2569</v>
      </c>
      <c r="G1286" t="str">
        <f>"00242010"</f>
        <v>00242010</v>
      </c>
      <c r="H1286">
        <v>715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70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84</v>
      </c>
      <c r="W1286">
        <v>588</v>
      </c>
      <c r="X1286">
        <v>0</v>
      </c>
      <c r="Z1286">
        <v>0</v>
      </c>
      <c r="AA1286">
        <v>0</v>
      </c>
      <c r="AB1286">
        <v>0</v>
      </c>
      <c r="AC1286">
        <v>0</v>
      </c>
      <c r="AD1286">
        <v>1373</v>
      </c>
    </row>
    <row r="1287" spans="1:30" x14ac:dyDescent="0.25">
      <c r="H1287" t="s">
        <v>2570</v>
      </c>
    </row>
    <row r="1288" spans="1:30" x14ac:dyDescent="0.25">
      <c r="A1288">
        <v>641</v>
      </c>
      <c r="B1288">
        <v>4353</v>
      </c>
      <c r="C1288" t="s">
        <v>2571</v>
      </c>
      <c r="D1288" t="s">
        <v>223</v>
      </c>
      <c r="E1288" t="s">
        <v>162</v>
      </c>
      <c r="F1288" t="s">
        <v>2572</v>
      </c>
      <c r="G1288" t="str">
        <f>"00147778"</f>
        <v>00147778</v>
      </c>
      <c r="H1288" t="s">
        <v>826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50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78</v>
      </c>
      <c r="W1288">
        <v>546</v>
      </c>
      <c r="X1288">
        <v>0</v>
      </c>
      <c r="Z1288">
        <v>0</v>
      </c>
      <c r="AA1288">
        <v>0</v>
      </c>
      <c r="AB1288">
        <v>0</v>
      </c>
      <c r="AC1288">
        <v>0</v>
      </c>
      <c r="AD1288" t="s">
        <v>2573</v>
      </c>
    </row>
    <row r="1289" spans="1:30" x14ac:dyDescent="0.25">
      <c r="H1289" t="s">
        <v>2574</v>
      </c>
    </row>
    <row r="1290" spans="1:30" x14ac:dyDescent="0.25">
      <c r="A1290">
        <v>642</v>
      </c>
      <c r="B1290">
        <v>1727</v>
      </c>
      <c r="C1290" t="s">
        <v>2575</v>
      </c>
      <c r="D1290" t="s">
        <v>151</v>
      </c>
      <c r="E1290" t="s">
        <v>162</v>
      </c>
      <c r="F1290" t="s">
        <v>2576</v>
      </c>
      <c r="G1290" t="str">
        <f>"201411002259"</f>
        <v>201411002259</v>
      </c>
      <c r="H1290" t="s">
        <v>2577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30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38</v>
      </c>
      <c r="W1290">
        <v>266</v>
      </c>
      <c r="X1290">
        <v>6</v>
      </c>
      <c r="Y1290">
        <v>1251</v>
      </c>
      <c r="Z1290">
        <v>0</v>
      </c>
      <c r="AA1290">
        <v>0</v>
      </c>
      <c r="AB1290">
        <v>24</v>
      </c>
      <c r="AC1290">
        <v>408</v>
      </c>
      <c r="AD1290" t="s">
        <v>2578</v>
      </c>
    </row>
    <row r="1291" spans="1:30" x14ac:dyDescent="0.25">
      <c r="H1291">
        <v>1251</v>
      </c>
    </row>
    <row r="1292" spans="1:30" x14ac:dyDescent="0.25">
      <c r="A1292">
        <v>643</v>
      </c>
      <c r="B1292">
        <v>2061</v>
      </c>
      <c r="C1292" t="s">
        <v>2579</v>
      </c>
      <c r="D1292" t="s">
        <v>166</v>
      </c>
      <c r="E1292" t="s">
        <v>47</v>
      </c>
      <c r="F1292" t="s">
        <v>2580</v>
      </c>
      <c r="G1292" t="str">
        <f>"201406002802"</f>
        <v>201406002802</v>
      </c>
      <c r="H1292" t="s">
        <v>422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70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73</v>
      </c>
      <c r="W1292">
        <v>511</v>
      </c>
      <c r="X1292">
        <v>0</v>
      </c>
      <c r="Z1292">
        <v>0</v>
      </c>
      <c r="AA1292">
        <v>0</v>
      </c>
      <c r="AB1292">
        <v>6</v>
      </c>
      <c r="AC1292">
        <v>102</v>
      </c>
      <c r="AD1292" t="s">
        <v>2581</v>
      </c>
    </row>
    <row r="1293" spans="1:30" x14ac:dyDescent="0.25">
      <c r="H1293" t="s">
        <v>2582</v>
      </c>
    </row>
    <row r="1294" spans="1:30" x14ac:dyDescent="0.25">
      <c r="A1294">
        <v>644</v>
      </c>
      <c r="B1294">
        <v>1072</v>
      </c>
      <c r="C1294" t="s">
        <v>2583</v>
      </c>
      <c r="D1294" t="s">
        <v>151</v>
      </c>
      <c r="E1294" t="s">
        <v>2584</v>
      </c>
      <c r="F1294" t="s">
        <v>2585</v>
      </c>
      <c r="G1294" t="str">
        <f>"00277371"</f>
        <v>00277371</v>
      </c>
      <c r="H1294" t="s">
        <v>2325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30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84</v>
      </c>
      <c r="W1294">
        <v>588</v>
      </c>
      <c r="X1294">
        <v>0</v>
      </c>
      <c r="Z1294">
        <v>0</v>
      </c>
      <c r="AA1294">
        <v>0</v>
      </c>
      <c r="AB1294">
        <v>0</v>
      </c>
      <c r="AC1294">
        <v>0</v>
      </c>
      <c r="AD1294" t="s">
        <v>2586</v>
      </c>
    </row>
    <row r="1295" spans="1:30" x14ac:dyDescent="0.25">
      <c r="H1295" t="s">
        <v>2587</v>
      </c>
    </row>
    <row r="1296" spans="1:30" x14ac:dyDescent="0.25">
      <c r="A1296">
        <v>645</v>
      </c>
      <c r="B1296">
        <v>3075</v>
      </c>
      <c r="C1296" t="s">
        <v>1814</v>
      </c>
      <c r="D1296" t="s">
        <v>694</v>
      </c>
      <c r="E1296" t="s">
        <v>40</v>
      </c>
      <c r="F1296" t="s">
        <v>2588</v>
      </c>
      <c r="G1296" t="str">
        <f>"00310350"</f>
        <v>00310350</v>
      </c>
      <c r="H1296" t="s">
        <v>2325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30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84</v>
      </c>
      <c r="W1296">
        <v>588</v>
      </c>
      <c r="X1296">
        <v>0</v>
      </c>
      <c r="Z1296">
        <v>1</v>
      </c>
      <c r="AA1296">
        <v>0</v>
      </c>
      <c r="AB1296">
        <v>0</v>
      </c>
      <c r="AC1296">
        <v>0</v>
      </c>
      <c r="AD1296" t="s">
        <v>2586</v>
      </c>
    </row>
    <row r="1297" spans="1:30" x14ac:dyDescent="0.25">
      <c r="H1297" t="s">
        <v>2589</v>
      </c>
    </row>
    <row r="1298" spans="1:30" x14ac:dyDescent="0.25">
      <c r="A1298">
        <v>646</v>
      </c>
      <c r="B1298">
        <v>3969</v>
      </c>
      <c r="C1298" t="s">
        <v>419</v>
      </c>
      <c r="D1298" t="s">
        <v>75</v>
      </c>
      <c r="E1298" t="s">
        <v>40</v>
      </c>
      <c r="F1298" t="s">
        <v>2590</v>
      </c>
      <c r="G1298" t="str">
        <f>"00086894"</f>
        <v>00086894</v>
      </c>
      <c r="H1298" t="s">
        <v>357</v>
      </c>
      <c r="I1298">
        <v>150</v>
      </c>
      <c r="J1298">
        <v>0</v>
      </c>
      <c r="K1298">
        <v>0</v>
      </c>
      <c r="L1298">
        <v>0</v>
      </c>
      <c r="M1298">
        <v>0</v>
      </c>
      <c r="N1298">
        <v>30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47</v>
      </c>
      <c r="W1298">
        <v>329</v>
      </c>
      <c r="X1298">
        <v>0</v>
      </c>
      <c r="Z1298">
        <v>0</v>
      </c>
      <c r="AA1298">
        <v>0</v>
      </c>
      <c r="AB1298">
        <v>0</v>
      </c>
      <c r="AC1298">
        <v>0</v>
      </c>
      <c r="AD1298" t="s">
        <v>2591</v>
      </c>
    </row>
    <row r="1299" spans="1:30" x14ac:dyDescent="0.25">
      <c r="H1299" t="s">
        <v>2592</v>
      </c>
    </row>
    <row r="1300" spans="1:30" x14ac:dyDescent="0.25">
      <c r="A1300">
        <v>647</v>
      </c>
      <c r="B1300">
        <v>5510</v>
      </c>
      <c r="C1300" t="s">
        <v>2593</v>
      </c>
      <c r="D1300" t="s">
        <v>335</v>
      </c>
      <c r="E1300" t="s">
        <v>595</v>
      </c>
      <c r="F1300" t="s">
        <v>2594</v>
      </c>
      <c r="G1300" t="str">
        <f>"00126100"</f>
        <v>00126100</v>
      </c>
      <c r="H1300" t="s">
        <v>470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84</v>
      </c>
      <c r="W1300">
        <v>588</v>
      </c>
      <c r="X1300">
        <v>0</v>
      </c>
      <c r="Z1300">
        <v>0</v>
      </c>
      <c r="AA1300">
        <v>0</v>
      </c>
      <c r="AB1300">
        <v>0</v>
      </c>
      <c r="AC1300">
        <v>0</v>
      </c>
      <c r="AD1300" t="s">
        <v>2595</v>
      </c>
    </row>
    <row r="1301" spans="1:30" x14ac:dyDescent="0.25">
      <c r="H1301" t="s">
        <v>2596</v>
      </c>
    </row>
    <row r="1302" spans="1:30" x14ac:dyDescent="0.25">
      <c r="A1302">
        <v>648</v>
      </c>
      <c r="B1302">
        <v>422</v>
      </c>
      <c r="C1302" t="s">
        <v>2597</v>
      </c>
      <c r="D1302" t="s">
        <v>665</v>
      </c>
      <c r="E1302" t="s">
        <v>275</v>
      </c>
      <c r="F1302" t="s">
        <v>2598</v>
      </c>
      <c r="G1302" t="str">
        <f>"200802003747"</f>
        <v>200802003747</v>
      </c>
      <c r="H1302">
        <v>737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50</v>
      </c>
      <c r="O1302">
        <v>0</v>
      </c>
      <c r="P1302">
        <v>0</v>
      </c>
      <c r="Q1302">
        <v>30</v>
      </c>
      <c r="R1302">
        <v>0</v>
      </c>
      <c r="S1302">
        <v>0</v>
      </c>
      <c r="T1302">
        <v>0</v>
      </c>
      <c r="U1302">
        <v>0</v>
      </c>
      <c r="V1302">
        <v>79</v>
      </c>
      <c r="W1302">
        <v>553</v>
      </c>
      <c r="X1302">
        <v>0</v>
      </c>
      <c r="Z1302">
        <v>0</v>
      </c>
      <c r="AA1302">
        <v>0</v>
      </c>
      <c r="AB1302">
        <v>0</v>
      </c>
      <c r="AC1302">
        <v>0</v>
      </c>
      <c r="AD1302">
        <v>1370</v>
      </c>
    </row>
    <row r="1303" spans="1:30" x14ac:dyDescent="0.25">
      <c r="H1303" t="s">
        <v>2599</v>
      </c>
    </row>
    <row r="1304" spans="1:30" x14ac:dyDescent="0.25">
      <c r="A1304">
        <v>649</v>
      </c>
      <c r="B1304">
        <v>5680</v>
      </c>
      <c r="C1304" t="s">
        <v>2600</v>
      </c>
      <c r="D1304" t="s">
        <v>239</v>
      </c>
      <c r="E1304" t="s">
        <v>140</v>
      </c>
      <c r="F1304" t="s">
        <v>2601</v>
      </c>
      <c r="G1304" t="str">
        <f>"00215264"</f>
        <v>00215264</v>
      </c>
      <c r="H1304" t="s">
        <v>854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70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84</v>
      </c>
      <c r="W1304">
        <v>588</v>
      </c>
      <c r="X1304">
        <v>0</v>
      </c>
      <c r="Z1304">
        <v>0</v>
      </c>
      <c r="AA1304">
        <v>0</v>
      </c>
      <c r="AB1304">
        <v>0</v>
      </c>
      <c r="AC1304">
        <v>0</v>
      </c>
      <c r="AD1304" t="s">
        <v>2602</v>
      </c>
    </row>
    <row r="1305" spans="1:30" x14ac:dyDescent="0.25">
      <c r="H1305" t="s">
        <v>2603</v>
      </c>
    </row>
    <row r="1306" spans="1:30" x14ac:dyDescent="0.25">
      <c r="A1306">
        <v>650</v>
      </c>
      <c r="B1306">
        <v>6006</v>
      </c>
      <c r="C1306" t="s">
        <v>2604</v>
      </c>
      <c r="D1306" t="s">
        <v>330</v>
      </c>
      <c r="E1306" t="s">
        <v>162</v>
      </c>
      <c r="F1306" t="s">
        <v>2605</v>
      </c>
      <c r="G1306" t="str">
        <f>"201511029623"</f>
        <v>201511029623</v>
      </c>
      <c r="H1306">
        <v>781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84</v>
      </c>
      <c r="W1306">
        <v>588</v>
      </c>
      <c r="X1306">
        <v>0</v>
      </c>
      <c r="Z1306">
        <v>0</v>
      </c>
      <c r="AA1306">
        <v>0</v>
      </c>
      <c r="AB1306">
        <v>0</v>
      </c>
      <c r="AC1306">
        <v>0</v>
      </c>
      <c r="AD1306">
        <v>1369</v>
      </c>
    </row>
    <row r="1307" spans="1:30" x14ac:dyDescent="0.25">
      <c r="H1307" t="s">
        <v>2606</v>
      </c>
    </row>
    <row r="1308" spans="1:30" x14ac:dyDescent="0.25">
      <c r="A1308">
        <v>651</v>
      </c>
      <c r="B1308">
        <v>2023</v>
      </c>
      <c r="C1308" t="s">
        <v>2607</v>
      </c>
      <c r="D1308" t="s">
        <v>40</v>
      </c>
      <c r="E1308" t="s">
        <v>162</v>
      </c>
      <c r="F1308" t="s">
        <v>2608</v>
      </c>
      <c r="G1308" t="str">
        <f>"00195608"</f>
        <v>00195608</v>
      </c>
      <c r="H1308" t="s">
        <v>2609</v>
      </c>
      <c r="I1308">
        <v>0</v>
      </c>
      <c r="J1308">
        <v>0</v>
      </c>
      <c r="K1308">
        <v>0</v>
      </c>
      <c r="L1308">
        <v>200</v>
      </c>
      <c r="M1308">
        <v>0</v>
      </c>
      <c r="N1308">
        <v>30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45</v>
      </c>
      <c r="W1308">
        <v>315</v>
      </c>
      <c r="X1308">
        <v>0</v>
      </c>
      <c r="Z1308">
        <v>0</v>
      </c>
      <c r="AA1308">
        <v>0</v>
      </c>
      <c r="AB1308">
        <v>10</v>
      </c>
      <c r="AC1308">
        <v>170</v>
      </c>
      <c r="AD1308" t="s">
        <v>2610</v>
      </c>
    </row>
    <row r="1309" spans="1:30" x14ac:dyDescent="0.25">
      <c r="H1309" t="s">
        <v>2611</v>
      </c>
    </row>
    <row r="1310" spans="1:30" x14ac:dyDescent="0.25">
      <c r="A1310">
        <v>652</v>
      </c>
      <c r="B1310">
        <v>3551</v>
      </c>
      <c r="C1310" t="s">
        <v>2612</v>
      </c>
      <c r="D1310" t="s">
        <v>636</v>
      </c>
      <c r="E1310" t="s">
        <v>190</v>
      </c>
      <c r="F1310" t="s">
        <v>2613</v>
      </c>
      <c r="G1310" t="str">
        <f>"201411002886"</f>
        <v>201411002886</v>
      </c>
      <c r="H1310" t="s">
        <v>94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30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84</v>
      </c>
      <c r="W1310">
        <v>588</v>
      </c>
      <c r="X1310">
        <v>0</v>
      </c>
      <c r="Z1310">
        <v>0</v>
      </c>
      <c r="AA1310">
        <v>0</v>
      </c>
      <c r="AB1310">
        <v>0</v>
      </c>
      <c r="AC1310">
        <v>0</v>
      </c>
      <c r="AD1310" t="s">
        <v>2614</v>
      </c>
    </row>
    <row r="1311" spans="1:30" x14ac:dyDescent="0.25">
      <c r="H1311" t="s">
        <v>2615</v>
      </c>
    </row>
    <row r="1312" spans="1:30" x14ac:dyDescent="0.25">
      <c r="A1312">
        <v>653</v>
      </c>
      <c r="B1312">
        <v>5689</v>
      </c>
      <c r="C1312" t="s">
        <v>2616</v>
      </c>
      <c r="D1312" t="s">
        <v>46</v>
      </c>
      <c r="E1312" t="s">
        <v>47</v>
      </c>
      <c r="F1312" t="s">
        <v>2617</v>
      </c>
      <c r="G1312" t="str">
        <f>"00358431"</f>
        <v>00358431</v>
      </c>
      <c r="H1312" t="s">
        <v>2618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70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84</v>
      </c>
      <c r="W1312">
        <v>588</v>
      </c>
      <c r="X1312">
        <v>0</v>
      </c>
      <c r="Z1312">
        <v>0</v>
      </c>
      <c r="AA1312">
        <v>0</v>
      </c>
      <c r="AB1312">
        <v>0</v>
      </c>
      <c r="AC1312">
        <v>0</v>
      </c>
      <c r="AD1312" t="s">
        <v>2619</v>
      </c>
    </row>
    <row r="1313" spans="1:30" x14ac:dyDescent="0.25">
      <c r="H1313" t="s">
        <v>2620</v>
      </c>
    </row>
    <row r="1314" spans="1:30" x14ac:dyDescent="0.25">
      <c r="A1314">
        <v>654</v>
      </c>
      <c r="B1314">
        <v>5024</v>
      </c>
      <c r="C1314" t="s">
        <v>2621</v>
      </c>
      <c r="D1314" t="s">
        <v>526</v>
      </c>
      <c r="E1314" t="s">
        <v>290</v>
      </c>
      <c r="F1314" t="s">
        <v>2622</v>
      </c>
      <c r="G1314" t="str">
        <f>"201402010009"</f>
        <v>201402010009</v>
      </c>
      <c r="H1314" t="s">
        <v>1315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30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33</v>
      </c>
      <c r="W1314">
        <v>231</v>
      </c>
      <c r="X1314">
        <v>0</v>
      </c>
      <c r="Z1314">
        <v>0</v>
      </c>
      <c r="AA1314">
        <v>0</v>
      </c>
      <c r="AB1314">
        <v>24</v>
      </c>
      <c r="AC1314">
        <v>408</v>
      </c>
      <c r="AD1314" t="s">
        <v>2619</v>
      </c>
    </row>
    <row r="1315" spans="1:30" x14ac:dyDescent="0.25">
      <c r="H1315" t="s">
        <v>2623</v>
      </c>
    </row>
    <row r="1316" spans="1:30" x14ac:dyDescent="0.25">
      <c r="A1316">
        <v>655</v>
      </c>
      <c r="B1316">
        <v>2057</v>
      </c>
      <c r="C1316" t="s">
        <v>1777</v>
      </c>
      <c r="D1316" t="s">
        <v>869</v>
      </c>
      <c r="E1316" t="s">
        <v>39</v>
      </c>
      <c r="F1316" t="s">
        <v>2624</v>
      </c>
      <c r="G1316" t="str">
        <f>"201511014401"</f>
        <v>201511014401</v>
      </c>
      <c r="H1316" t="s">
        <v>110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25</v>
      </c>
      <c r="W1316">
        <v>175</v>
      </c>
      <c r="X1316">
        <v>0</v>
      </c>
      <c r="Z1316">
        <v>0</v>
      </c>
      <c r="AA1316">
        <v>0</v>
      </c>
      <c r="AB1316">
        <v>24</v>
      </c>
      <c r="AC1316">
        <v>408</v>
      </c>
      <c r="AD1316" t="s">
        <v>2625</v>
      </c>
    </row>
    <row r="1317" spans="1:30" x14ac:dyDescent="0.25">
      <c r="H1317" t="s">
        <v>2626</v>
      </c>
    </row>
    <row r="1318" spans="1:30" x14ac:dyDescent="0.25">
      <c r="A1318">
        <v>656</v>
      </c>
      <c r="B1318">
        <v>1014</v>
      </c>
      <c r="C1318" t="s">
        <v>2627</v>
      </c>
      <c r="D1318" t="s">
        <v>92</v>
      </c>
      <c r="E1318" t="s">
        <v>15</v>
      </c>
      <c r="F1318" t="s">
        <v>2628</v>
      </c>
      <c r="G1318" t="str">
        <f>"00192455"</f>
        <v>00192455</v>
      </c>
      <c r="H1318" t="s">
        <v>2629</v>
      </c>
      <c r="I1318">
        <v>0</v>
      </c>
      <c r="J1318">
        <v>0</v>
      </c>
      <c r="K1318">
        <v>0</v>
      </c>
      <c r="L1318">
        <v>200</v>
      </c>
      <c r="M1318">
        <v>0</v>
      </c>
      <c r="N1318">
        <v>30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13</v>
      </c>
      <c r="W1318">
        <v>91</v>
      </c>
      <c r="X1318">
        <v>0</v>
      </c>
      <c r="Z1318">
        <v>0</v>
      </c>
      <c r="AA1318">
        <v>0</v>
      </c>
      <c r="AB1318">
        <v>0</v>
      </c>
      <c r="AC1318">
        <v>0</v>
      </c>
      <c r="AD1318" t="s">
        <v>2630</v>
      </c>
    </row>
    <row r="1319" spans="1:30" x14ac:dyDescent="0.25">
      <c r="H1319" t="s">
        <v>2631</v>
      </c>
    </row>
    <row r="1320" spans="1:30" x14ac:dyDescent="0.25">
      <c r="A1320">
        <v>657</v>
      </c>
      <c r="B1320">
        <v>6277</v>
      </c>
      <c r="C1320" t="s">
        <v>2632</v>
      </c>
      <c r="D1320" t="s">
        <v>87</v>
      </c>
      <c r="E1320" t="s">
        <v>140</v>
      </c>
      <c r="F1320" t="s">
        <v>2633</v>
      </c>
      <c r="G1320" t="str">
        <f>"200807000907"</f>
        <v>200807000907</v>
      </c>
      <c r="H1320" t="s">
        <v>1235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30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76</v>
      </c>
      <c r="W1320">
        <v>532</v>
      </c>
      <c r="X1320">
        <v>0</v>
      </c>
      <c r="Z1320">
        <v>0</v>
      </c>
      <c r="AA1320">
        <v>0</v>
      </c>
      <c r="AB1320">
        <v>8</v>
      </c>
      <c r="AC1320">
        <v>136</v>
      </c>
      <c r="AD1320" t="s">
        <v>2634</v>
      </c>
    </row>
    <row r="1321" spans="1:30" x14ac:dyDescent="0.25">
      <c r="H1321" t="s">
        <v>2635</v>
      </c>
    </row>
    <row r="1322" spans="1:30" x14ac:dyDescent="0.25">
      <c r="A1322">
        <v>658</v>
      </c>
      <c r="B1322">
        <v>5835</v>
      </c>
      <c r="C1322" t="s">
        <v>2636</v>
      </c>
      <c r="D1322" t="s">
        <v>2637</v>
      </c>
      <c r="E1322" t="s">
        <v>47</v>
      </c>
      <c r="F1322" t="s">
        <v>2638</v>
      </c>
      <c r="G1322" t="str">
        <f>"00334462"</f>
        <v>00334462</v>
      </c>
      <c r="H1322" t="s">
        <v>241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50</v>
      </c>
      <c r="O1322">
        <v>0</v>
      </c>
      <c r="P1322">
        <v>30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81</v>
      </c>
      <c r="W1322">
        <v>567</v>
      </c>
      <c r="X1322">
        <v>0</v>
      </c>
      <c r="Z1322">
        <v>0</v>
      </c>
      <c r="AA1322">
        <v>0</v>
      </c>
      <c r="AB1322">
        <v>0</v>
      </c>
      <c r="AC1322">
        <v>0</v>
      </c>
      <c r="AD1322" t="s">
        <v>2639</v>
      </c>
    </row>
    <row r="1323" spans="1:30" x14ac:dyDescent="0.25">
      <c r="H1323" t="s">
        <v>559</v>
      </c>
    </row>
    <row r="1324" spans="1:30" x14ac:dyDescent="0.25">
      <c r="A1324">
        <v>659</v>
      </c>
      <c r="B1324">
        <v>2074</v>
      </c>
      <c r="C1324" t="s">
        <v>349</v>
      </c>
      <c r="D1324" t="s">
        <v>143</v>
      </c>
      <c r="E1324" t="s">
        <v>51</v>
      </c>
      <c r="F1324" t="s">
        <v>2640</v>
      </c>
      <c r="G1324" t="str">
        <f>"201411001638"</f>
        <v>201411001638</v>
      </c>
      <c r="H1324" t="s">
        <v>1091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70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84</v>
      </c>
      <c r="W1324">
        <v>588</v>
      </c>
      <c r="X1324">
        <v>6</v>
      </c>
      <c r="Y1324">
        <v>1251</v>
      </c>
      <c r="Z1324">
        <v>0</v>
      </c>
      <c r="AA1324">
        <v>0</v>
      </c>
      <c r="AB1324">
        <v>0</v>
      </c>
      <c r="AC1324">
        <v>0</v>
      </c>
      <c r="AD1324" t="s">
        <v>2639</v>
      </c>
    </row>
    <row r="1325" spans="1:30" x14ac:dyDescent="0.25">
      <c r="H1325">
        <v>1251</v>
      </c>
    </row>
    <row r="1326" spans="1:30" x14ac:dyDescent="0.25">
      <c r="A1326">
        <v>660</v>
      </c>
      <c r="B1326">
        <v>1910</v>
      </c>
      <c r="C1326" t="s">
        <v>2641</v>
      </c>
      <c r="D1326" t="s">
        <v>335</v>
      </c>
      <c r="E1326" t="s">
        <v>47</v>
      </c>
      <c r="F1326" t="s">
        <v>2642</v>
      </c>
      <c r="G1326" t="str">
        <f>"200901000597"</f>
        <v>200901000597</v>
      </c>
      <c r="H1326">
        <v>748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30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84</v>
      </c>
      <c r="W1326">
        <v>588</v>
      </c>
      <c r="X1326">
        <v>0</v>
      </c>
      <c r="Z1326">
        <v>0</v>
      </c>
      <c r="AA1326">
        <v>0</v>
      </c>
      <c r="AB1326">
        <v>0</v>
      </c>
      <c r="AC1326">
        <v>0</v>
      </c>
      <c r="AD1326">
        <v>1366</v>
      </c>
    </row>
    <row r="1327" spans="1:30" x14ac:dyDescent="0.25">
      <c r="H1327" t="s">
        <v>2643</v>
      </c>
    </row>
    <row r="1328" spans="1:30" x14ac:dyDescent="0.25">
      <c r="A1328">
        <v>661</v>
      </c>
      <c r="B1328">
        <v>1057</v>
      </c>
      <c r="C1328" t="s">
        <v>2644</v>
      </c>
      <c r="D1328" t="s">
        <v>636</v>
      </c>
      <c r="E1328" t="s">
        <v>183</v>
      </c>
      <c r="F1328" t="s">
        <v>2645</v>
      </c>
      <c r="G1328" t="str">
        <f>"00298473"</f>
        <v>00298473</v>
      </c>
      <c r="H1328">
        <v>748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30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84</v>
      </c>
      <c r="W1328">
        <v>588</v>
      </c>
      <c r="X1328">
        <v>0</v>
      </c>
      <c r="Z1328">
        <v>0</v>
      </c>
      <c r="AA1328">
        <v>0</v>
      </c>
      <c r="AB1328">
        <v>0</v>
      </c>
      <c r="AC1328">
        <v>0</v>
      </c>
      <c r="AD1328">
        <v>1366</v>
      </c>
    </row>
    <row r="1329" spans="1:30" x14ac:dyDescent="0.25">
      <c r="H1329" t="s">
        <v>2646</v>
      </c>
    </row>
    <row r="1330" spans="1:30" x14ac:dyDescent="0.25">
      <c r="A1330">
        <v>662</v>
      </c>
      <c r="B1330">
        <v>3343</v>
      </c>
      <c r="C1330" t="s">
        <v>2647</v>
      </c>
      <c r="D1330" t="s">
        <v>2648</v>
      </c>
      <c r="E1330" t="s">
        <v>107</v>
      </c>
      <c r="F1330" t="s">
        <v>2649</v>
      </c>
      <c r="G1330" t="str">
        <f>"00139909"</f>
        <v>00139909</v>
      </c>
      <c r="H1330">
        <v>748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30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84</v>
      </c>
      <c r="W1330">
        <v>588</v>
      </c>
      <c r="X1330">
        <v>0</v>
      </c>
      <c r="Z1330">
        <v>0</v>
      </c>
      <c r="AA1330">
        <v>0</v>
      </c>
      <c r="AB1330">
        <v>0</v>
      </c>
      <c r="AC1330">
        <v>0</v>
      </c>
      <c r="AD1330">
        <v>1366</v>
      </c>
    </row>
    <row r="1331" spans="1:30" x14ac:dyDescent="0.25">
      <c r="H1331" t="s">
        <v>864</v>
      </c>
    </row>
    <row r="1332" spans="1:30" x14ac:dyDescent="0.25">
      <c r="A1332">
        <v>663</v>
      </c>
      <c r="B1332">
        <v>2650</v>
      </c>
      <c r="C1332" t="s">
        <v>2650</v>
      </c>
      <c r="D1332" t="s">
        <v>51</v>
      </c>
      <c r="E1332" t="s">
        <v>1070</v>
      </c>
      <c r="F1332" t="s">
        <v>2651</v>
      </c>
      <c r="G1332" t="str">
        <f>"201405000493"</f>
        <v>201405000493</v>
      </c>
      <c r="H1332">
        <v>748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30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84</v>
      </c>
      <c r="W1332">
        <v>588</v>
      </c>
      <c r="X1332">
        <v>0</v>
      </c>
      <c r="Z1332">
        <v>1</v>
      </c>
      <c r="AA1332">
        <v>0</v>
      </c>
      <c r="AB1332">
        <v>0</v>
      </c>
      <c r="AC1332">
        <v>0</v>
      </c>
      <c r="AD1332">
        <v>1366</v>
      </c>
    </row>
    <row r="1333" spans="1:30" x14ac:dyDescent="0.25">
      <c r="H1333" t="s">
        <v>2652</v>
      </c>
    </row>
    <row r="1334" spans="1:30" x14ac:dyDescent="0.25">
      <c r="A1334">
        <v>664</v>
      </c>
      <c r="B1334">
        <v>6024</v>
      </c>
      <c r="C1334" t="s">
        <v>2101</v>
      </c>
      <c r="D1334" t="s">
        <v>534</v>
      </c>
      <c r="E1334" t="s">
        <v>2653</v>
      </c>
      <c r="F1334" t="s">
        <v>2654</v>
      </c>
      <c r="G1334" t="str">
        <f>"00370857"</f>
        <v>00370857</v>
      </c>
      <c r="H1334">
        <v>748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30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84</v>
      </c>
      <c r="W1334">
        <v>588</v>
      </c>
      <c r="X1334">
        <v>0</v>
      </c>
      <c r="Z1334">
        <v>0</v>
      </c>
      <c r="AA1334">
        <v>0</v>
      </c>
      <c r="AB1334">
        <v>0</v>
      </c>
      <c r="AC1334">
        <v>0</v>
      </c>
      <c r="AD1334">
        <v>1366</v>
      </c>
    </row>
    <row r="1335" spans="1:30" x14ac:dyDescent="0.25">
      <c r="H1335" t="s">
        <v>2655</v>
      </c>
    </row>
    <row r="1336" spans="1:30" x14ac:dyDescent="0.25">
      <c r="A1336">
        <v>665</v>
      </c>
      <c r="B1336">
        <v>2841</v>
      </c>
      <c r="C1336" t="s">
        <v>2656</v>
      </c>
      <c r="D1336" t="s">
        <v>2180</v>
      </c>
      <c r="E1336" t="s">
        <v>509</v>
      </c>
      <c r="F1336" t="s">
        <v>2657</v>
      </c>
      <c r="G1336" t="str">
        <f>"00347242"</f>
        <v>00347242</v>
      </c>
      <c r="H1336">
        <v>748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30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84</v>
      </c>
      <c r="W1336">
        <v>588</v>
      </c>
      <c r="X1336">
        <v>0</v>
      </c>
      <c r="Z1336">
        <v>0</v>
      </c>
      <c r="AA1336">
        <v>0</v>
      </c>
      <c r="AB1336">
        <v>0</v>
      </c>
      <c r="AC1336">
        <v>0</v>
      </c>
      <c r="AD1336">
        <v>1366</v>
      </c>
    </row>
    <row r="1337" spans="1:30" x14ac:dyDescent="0.25">
      <c r="H1337" t="s">
        <v>2658</v>
      </c>
    </row>
    <row r="1338" spans="1:30" x14ac:dyDescent="0.25">
      <c r="A1338">
        <v>666</v>
      </c>
      <c r="B1338">
        <v>5775</v>
      </c>
      <c r="C1338" t="s">
        <v>2659</v>
      </c>
      <c r="D1338" t="s">
        <v>330</v>
      </c>
      <c r="E1338" t="s">
        <v>39</v>
      </c>
      <c r="F1338" t="s">
        <v>2660</v>
      </c>
      <c r="G1338" t="str">
        <f>"201511034476"</f>
        <v>201511034476</v>
      </c>
      <c r="H1338" t="s">
        <v>2321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30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84</v>
      </c>
      <c r="W1338">
        <v>588</v>
      </c>
      <c r="X1338">
        <v>0</v>
      </c>
      <c r="Z1338">
        <v>2</v>
      </c>
      <c r="AA1338">
        <v>0</v>
      </c>
      <c r="AB1338">
        <v>0</v>
      </c>
      <c r="AC1338">
        <v>0</v>
      </c>
      <c r="AD1338" t="s">
        <v>2661</v>
      </c>
    </row>
    <row r="1339" spans="1:30" x14ac:dyDescent="0.25">
      <c r="H1339" t="s">
        <v>2662</v>
      </c>
    </row>
    <row r="1340" spans="1:30" x14ac:dyDescent="0.25">
      <c r="A1340">
        <v>667</v>
      </c>
      <c r="B1340">
        <v>5090</v>
      </c>
      <c r="C1340" t="s">
        <v>2663</v>
      </c>
      <c r="D1340" t="s">
        <v>114</v>
      </c>
      <c r="E1340" t="s">
        <v>115</v>
      </c>
      <c r="F1340" t="s">
        <v>2664</v>
      </c>
      <c r="G1340" t="str">
        <f>"201511037303"</f>
        <v>201511037303</v>
      </c>
      <c r="H1340" t="s">
        <v>826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84</v>
      </c>
      <c r="W1340">
        <v>588</v>
      </c>
      <c r="X1340">
        <v>0</v>
      </c>
      <c r="Z1340">
        <v>0</v>
      </c>
      <c r="AA1340">
        <v>0</v>
      </c>
      <c r="AB1340">
        <v>0</v>
      </c>
      <c r="AC1340">
        <v>0</v>
      </c>
      <c r="AD1340" t="s">
        <v>2665</v>
      </c>
    </row>
    <row r="1341" spans="1:30" x14ac:dyDescent="0.25">
      <c r="H1341" t="s">
        <v>2666</v>
      </c>
    </row>
    <row r="1342" spans="1:30" x14ac:dyDescent="0.25">
      <c r="A1342">
        <v>668</v>
      </c>
      <c r="B1342">
        <v>3456</v>
      </c>
      <c r="C1342" t="s">
        <v>2667</v>
      </c>
      <c r="D1342" t="s">
        <v>143</v>
      </c>
      <c r="E1342" t="s">
        <v>1391</v>
      </c>
      <c r="F1342" t="s">
        <v>2668</v>
      </c>
      <c r="G1342" t="str">
        <f>"00363501"</f>
        <v>00363501</v>
      </c>
      <c r="H1342">
        <v>726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50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84</v>
      </c>
      <c r="W1342">
        <v>588</v>
      </c>
      <c r="X1342">
        <v>0</v>
      </c>
      <c r="Z1342">
        <v>0</v>
      </c>
      <c r="AA1342">
        <v>0</v>
      </c>
      <c r="AB1342">
        <v>0</v>
      </c>
      <c r="AC1342">
        <v>0</v>
      </c>
      <c r="AD1342">
        <v>1364</v>
      </c>
    </row>
    <row r="1343" spans="1:30" x14ac:dyDescent="0.25">
      <c r="H1343" t="s">
        <v>2669</v>
      </c>
    </row>
    <row r="1344" spans="1:30" x14ac:dyDescent="0.25">
      <c r="A1344">
        <v>669</v>
      </c>
      <c r="B1344">
        <v>5414</v>
      </c>
      <c r="C1344" t="s">
        <v>2670</v>
      </c>
      <c r="D1344" t="s">
        <v>714</v>
      </c>
      <c r="E1344" t="s">
        <v>1039</v>
      </c>
      <c r="F1344" t="s">
        <v>2671</v>
      </c>
      <c r="G1344" t="str">
        <f>"201511031875"</f>
        <v>201511031875</v>
      </c>
      <c r="H1344">
        <v>726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79</v>
      </c>
      <c r="W1344">
        <v>553</v>
      </c>
      <c r="X1344">
        <v>0</v>
      </c>
      <c r="Z1344">
        <v>0</v>
      </c>
      <c r="AA1344">
        <v>0</v>
      </c>
      <c r="AB1344">
        <v>5</v>
      </c>
      <c r="AC1344">
        <v>85</v>
      </c>
      <c r="AD1344">
        <v>1364</v>
      </c>
    </row>
    <row r="1345" spans="1:30" x14ac:dyDescent="0.25">
      <c r="H1345" t="s">
        <v>2672</v>
      </c>
    </row>
    <row r="1346" spans="1:30" x14ac:dyDescent="0.25">
      <c r="A1346">
        <v>670</v>
      </c>
      <c r="B1346">
        <v>5927</v>
      </c>
      <c r="C1346" t="s">
        <v>2673</v>
      </c>
      <c r="D1346" t="s">
        <v>2674</v>
      </c>
      <c r="E1346" t="s">
        <v>39</v>
      </c>
      <c r="F1346" t="s">
        <v>2675</v>
      </c>
      <c r="G1346" t="str">
        <f>"00151798"</f>
        <v>00151798</v>
      </c>
      <c r="H1346">
        <v>715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30</v>
      </c>
      <c r="O1346">
        <v>0</v>
      </c>
      <c r="P1346">
        <v>30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84</v>
      </c>
      <c r="W1346">
        <v>588</v>
      </c>
      <c r="X1346">
        <v>0</v>
      </c>
      <c r="Z1346">
        <v>1</v>
      </c>
      <c r="AA1346">
        <v>0</v>
      </c>
      <c r="AB1346">
        <v>0</v>
      </c>
      <c r="AC1346">
        <v>0</v>
      </c>
      <c r="AD1346">
        <v>1363</v>
      </c>
    </row>
    <row r="1347" spans="1:30" x14ac:dyDescent="0.25">
      <c r="H1347" t="s">
        <v>2676</v>
      </c>
    </row>
    <row r="1348" spans="1:30" x14ac:dyDescent="0.25">
      <c r="A1348">
        <v>671</v>
      </c>
      <c r="B1348">
        <v>1758</v>
      </c>
      <c r="C1348" t="s">
        <v>106</v>
      </c>
      <c r="D1348" t="s">
        <v>2677</v>
      </c>
      <c r="E1348" t="s">
        <v>47</v>
      </c>
      <c r="F1348" t="s">
        <v>2678</v>
      </c>
      <c r="G1348" t="str">
        <f>"200807000225"</f>
        <v>200807000225</v>
      </c>
      <c r="H1348" t="s">
        <v>818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50</v>
      </c>
      <c r="O1348">
        <v>0</v>
      </c>
      <c r="P1348">
        <v>0</v>
      </c>
      <c r="Q1348">
        <v>70</v>
      </c>
      <c r="R1348">
        <v>0</v>
      </c>
      <c r="S1348">
        <v>0</v>
      </c>
      <c r="T1348">
        <v>0</v>
      </c>
      <c r="U1348">
        <v>0</v>
      </c>
      <c r="V1348">
        <v>68</v>
      </c>
      <c r="W1348">
        <v>476</v>
      </c>
      <c r="X1348">
        <v>0</v>
      </c>
      <c r="Z1348">
        <v>0</v>
      </c>
      <c r="AA1348">
        <v>0</v>
      </c>
      <c r="AB1348">
        <v>0</v>
      </c>
      <c r="AC1348">
        <v>0</v>
      </c>
      <c r="AD1348" t="s">
        <v>2679</v>
      </c>
    </row>
    <row r="1349" spans="1:30" x14ac:dyDescent="0.25">
      <c r="H1349" t="s">
        <v>2680</v>
      </c>
    </row>
    <row r="1350" spans="1:30" x14ac:dyDescent="0.25">
      <c r="A1350">
        <v>672</v>
      </c>
      <c r="B1350">
        <v>4095</v>
      </c>
      <c r="C1350" t="s">
        <v>1474</v>
      </c>
      <c r="D1350" t="s">
        <v>661</v>
      </c>
      <c r="E1350" t="s">
        <v>33</v>
      </c>
      <c r="F1350" t="s">
        <v>2681</v>
      </c>
      <c r="G1350" t="str">
        <f>"00141616"</f>
        <v>00141616</v>
      </c>
      <c r="H1350" t="s">
        <v>2682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30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84</v>
      </c>
      <c r="W1350">
        <v>588</v>
      </c>
      <c r="X1350">
        <v>0</v>
      </c>
      <c r="Z1350">
        <v>0</v>
      </c>
      <c r="AA1350">
        <v>0</v>
      </c>
      <c r="AB1350">
        <v>0</v>
      </c>
      <c r="AC1350">
        <v>0</v>
      </c>
      <c r="AD1350" t="s">
        <v>2683</v>
      </c>
    </row>
    <row r="1351" spans="1:30" x14ac:dyDescent="0.25">
      <c r="H1351" t="s">
        <v>2684</v>
      </c>
    </row>
    <row r="1352" spans="1:30" x14ac:dyDescent="0.25">
      <c r="A1352">
        <v>673</v>
      </c>
      <c r="B1352">
        <v>4567</v>
      </c>
      <c r="C1352" t="s">
        <v>657</v>
      </c>
      <c r="D1352" t="s">
        <v>2685</v>
      </c>
      <c r="E1352" t="s">
        <v>69</v>
      </c>
      <c r="F1352" t="s">
        <v>2686</v>
      </c>
      <c r="G1352" t="str">
        <f>"00360361"</f>
        <v>00360361</v>
      </c>
      <c r="H1352" t="s">
        <v>514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70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43</v>
      </c>
      <c r="W1352">
        <v>301</v>
      </c>
      <c r="X1352">
        <v>0</v>
      </c>
      <c r="Z1352">
        <v>0</v>
      </c>
      <c r="AA1352">
        <v>0</v>
      </c>
      <c r="AB1352">
        <v>14</v>
      </c>
      <c r="AC1352">
        <v>238</v>
      </c>
      <c r="AD1352" t="s">
        <v>2687</v>
      </c>
    </row>
    <row r="1353" spans="1:30" x14ac:dyDescent="0.25">
      <c r="H1353" t="s">
        <v>2688</v>
      </c>
    </row>
    <row r="1354" spans="1:30" x14ac:dyDescent="0.25">
      <c r="A1354">
        <v>674</v>
      </c>
      <c r="B1354">
        <v>4697</v>
      </c>
      <c r="C1354" t="s">
        <v>2689</v>
      </c>
      <c r="D1354" t="s">
        <v>134</v>
      </c>
      <c r="E1354" t="s">
        <v>183</v>
      </c>
      <c r="F1354" t="s">
        <v>2690</v>
      </c>
      <c r="G1354" t="str">
        <f>"00145754"</f>
        <v>00145754</v>
      </c>
      <c r="H1354" t="s">
        <v>352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84</v>
      </c>
      <c r="W1354">
        <v>588</v>
      </c>
      <c r="X1354">
        <v>0</v>
      </c>
      <c r="Z1354">
        <v>0</v>
      </c>
      <c r="AA1354">
        <v>0</v>
      </c>
      <c r="AB1354">
        <v>0</v>
      </c>
      <c r="AC1354">
        <v>0</v>
      </c>
      <c r="AD1354" t="s">
        <v>2691</v>
      </c>
    </row>
    <row r="1355" spans="1:30" x14ac:dyDescent="0.25">
      <c r="H1355">
        <v>1247</v>
      </c>
    </row>
    <row r="1356" spans="1:30" x14ac:dyDescent="0.25">
      <c r="A1356">
        <v>675</v>
      </c>
      <c r="B1356">
        <v>2240</v>
      </c>
      <c r="C1356" t="s">
        <v>2692</v>
      </c>
      <c r="D1356" t="s">
        <v>98</v>
      </c>
      <c r="E1356" t="s">
        <v>151</v>
      </c>
      <c r="F1356" t="s">
        <v>2693</v>
      </c>
      <c r="G1356" t="str">
        <f>"00288189"</f>
        <v>00288189</v>
      </c>
      <c r="H1356" t="s">
        <v>352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84</v>
      </c>
      <c r="W1356">
        <v>588</v>
      </c>
      <c r="X1356">
        <v>0</v>
      </c>
      <c r="Z1356">
        <v>2</v>
      </c>
      <c r="AA1356">
        <v>0</v>
      </c>
      <c r="AB1356">
        <v>0</v>
      </c>
      <c r="AC1356">
        <v>0</v>
      </c>
      <c r="AD1356" t="s">
        <v>2691</v>
      </c>
    </row>
    <row r="1357" spans="1:30" x14ac:dyDescent="0.25">
      <c r="H1357">
        <v>1247</v>
      </c>
    </row>
    <row r="1358" spans="1:30" x14ac:dyDescent="0.25">
      <c r="A1358">
        <v>676</v>
      </c>
      <c r="B1358">
        <v>1813</v>
      </c>
      <c r="C1358" t="s">
        <v>2694</v>
      </c>
      <c r="D1358" t="s">
        <v>75</v>
      </c>
      <c r="E1358" t="s">
        <v>1081</v>
      </c>
      <c r="F1358" t="s">
        <v>2695</v>
      </c>
      <c r="G1358" t="str">
        <f>"201604003138"</f>
        <v>201604003138</v>
      </c>
      <c r="H1358">
        <v>748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30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25</v>
      </c>
      <c r="W1358">
        <v>175</v>
      </c>
      <c r="X1358">
        <v>0</v>
      </c>
      <c r="Z1358">
        <v>0</v>
      </c>
      <c r="AA1358">
        <v>0</v>
      </c>
      <c r="AB1358">
        <v>24</v>
      </c>
      <c r="AC1358">
        <v>408</v>
      </c>
      <c r="AD1358">
        <v>1361</v>
      </c>
    </row>
    <row r="1359" spans="1:30" x14ac:dyDescent="0.25">
      <c r="H1359" t="s">
        <v>2696</v>
      </c>
    </row>
    <row r="1360" spans="1:30" x14ac:dyDescent="0.25">
      <c r="A1360">
        <v>677</v>
      </c>
      <c r="B1360">
        <v>5249</v>
      </c>
      <c r="C1360" t="s">
        <v>2697</v>
      </c>
      <c r="D1360" t="s">
        <v>166</v>
      </c>
      <c r="E1360" t="s">
        <v>685</v>
      </c>
      <c r="F1360" t="s">
        <v>2698</v>
      </c>
      <c r="G1360" t="str">
        <f>"00361703"</f>
        <v>00361703</v>
      </c>
      <c r="H1360" t="s">
        <v>110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24</v>
      </c>
      <c r="W1360">
        <v>168</v>
      </c>
      <c r="X1360">
        <v>0</v>
      </c>
      <c r="Z1360">
        <v>0</v>
      </c>
      <c r="AA1360">
        <v>0</v>
      </c>
      <c r="AB1360">
        <v>24</v>
      </c>
      <c r="AC1360">
        <v>408</v>
      </c>
      <c r="AD1360" t="s">
        <v>2699</v>
      </c>
    </row>
    <row r="1361" spans="1:30" x14ac:dyDescent="0.25">
      <c r="H1361">
        <v>1247</v>
      </c>
    </row>
    <row r="1362" spans="1:30" x14ac:dyDescent="0.25">
      <c r="A1362">
        <v>678</v>
      </c>
      <c r="B1362">
        <v>747</v>
      </c>
      <c r="C1362" t="s">
        <v>2700</v>
      </c>
      <c r="D1362" t="s">
        <v>2426</v>
      </c>
      <c r="E1362" t="s">
        <v>33</v>
      </c>
      <c r="F1362" t="s">
        <v>2701</v>
      </c>
      <c r="G1362" t="str">
        <f>"201511031849"</f>
        <v>201511031849</v>
      </c>
      <c r="H1362">
        <v>847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30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69</v>
      </c>
      <c r="W1362">
        <v>483</v>
      </c>
      <c r="X1362">
        <v>0</v>
      </c>
      <c r="Z1362">
        <v>0</v>
      </c>
      <c r="AA1362">
        <v>0</v>
      </c>
      <c r="AB1362">
        <v>0</v>
      </c>
      <c r="AC1362">
        <v>0</v>
      </c>
      <c r="AD1362">
        <v>1360</v>
      </c>
    </row>
    <row r="1363" spans="1:30" x14ac:dyDescent="0.25">
      <c r="H1363" t="s">
        <v>2702</v>
      </c>
    </row>
    <row r="1364" spans="1:30" x14ac:dyDescent="0.25">
      <c r="A1364">
        <v>679</v>
      </c>
      <c r="B1364">
        <v>4934</v>
      </c>
      <c r="C1364" t="s">
        <v>2703</v>
      </c>
      <c r="D1364" t="s">
        <v>140</v>
      </c>
      <c r="E1364" t="s">
        <v>468</v>
      </c>
      <c r="F1364" t="s">
        <v>2704</v>
      </c>
      <c r="G1364" t="str">
        <f>"00244708"</f>
        <v>00244708</v>
      </c>
      <c r="H1364" t="s">
        <v>2705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30</v>
      </c>
      <c r="O1364">
        <v>30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30</v>
      </c>
      <c r="W1364">
        <v>210</v>
      </c>
      <c r="X1364">
        <v>6</v>
      </c>
      <c r="Y1364">
        <v>1251</v>
      </c>
      <c r="Z1364">
        <v>0</v>
      </c>
      <c r="AA1364">
        <v>0</v>
      </c>
      <c r="AB1364">
        <v>24</v>
      </c>
      <c r="AC1364">
        <v>408</v>
      </c>
      <c r="AD1364" t="s">
        <v>2706</v>
      </c>
    </row>
    <row r="1365" spans="1:30" x14ac:dyDescent="0.25">
      <c r="H1365">
        <v>1251</v>
      </c>
    </row>
    <row r="1366" spans="1:30" x14ac:dyDescent="0.25">
      <c r="A1366">
        <v>680</v>
      </c>
      <c r="B1366">
        <v>3348</v>
      </c>
      <c r="C1366" t="s">
        <v>2707</v>
      </c>
      <c r="D1366" t="s">
        <v>2708</v>
      </c>
      <c r="E1366" t="s">
        <v>51</v>
      </c>
      <c r="F1366" t="s">
        <v>2709</v>
      </c>
      <c r="G1366" t="str">
        <f>"201405002226"</f>
        <v>201405002226</v>
      </c>
      <c r="H1366" t="s">
        <v>1930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70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84</v>
      </c>
      <c r="W1366">
        <v>588</v>
      </c>
      <c r="X1366">
        <v>6</v>
      </c>
      <c r="Y1366">
        <v>1251</v>
      </c>
      <c r="Z1366">
        <v>0</v>
      </c>
      <c r="AA1366">
        <v>0</v>
      </c>
      <c r="AB1366">
        <v>0</v>
      </c>
      <c r="AC1366">
        <v>0</v>
      </c>
      <c r="AD1366" t="s">
        <v>2710</v>
      </c>
    </row>
    <row r="1367" spans="1:30" x14ac:dyDescent="0.25">
      <c r="H1367" t="s">
        <v>2711</v>
      </c>
    </row>
    <row r="1368" spans="1:30" x14ac:dyDescent="0.25">
      <c r="A1368">
        <v>681</v>
      </c>
      <c r="B1368">
        <v>3348</v>
      </c>
      <c r="C1368" t="s">
        <v>2707</v>
      </c>
      <c r="D1368" t="s">
        <v>2708</v>
      </c>
      <c r="E1368" t="s">
        <v>51</v>
      </c>
      <c r="F1368" t="s">
        <v>2709</v>
      </c>
      <c r="G1368" t="str">
        <f>"201405002226"</f>
        <v>201405002226</v>
      </c>
      <c r="H1368" t="s">
        <v>1930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70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84</v>
      </c>
      <c r="W1368">
        <v>588</v>
      </c>
      <c r="X1368">
        <v>0</v>
      </c>
      <c r="Z1368">
        <v>0</v>
      </c>
      <c r="AA1368">
        <v>0</v>
      </c>
      <c r="AB1368">
        <v>0</v>
      </c>
      <c r="AC1368">
        <v>0</v>
      </c>
      <c r="AD1368" t="s">
        <v>2710</v>
      </c>
    </row>
    <row r="1369" spans="1:30" x14ac:dyDescent="0.25">
      <c r="H1369" t="s">
        <v>2711</v>
      </c>
    </row>
    <row r="1370" spans="1:30" x14ac:dyDescent="0.25">
      <c r="A1370">
        <v>682</v>
      </c>
      <c r="B1370">
        <v>5550</v>
      </c>
      <c r="C1370" t="s">
        <v>2712</v>
      </c>
      <c r="D1370" t="s">
        <v>2713</v>
      </c>
      <c r="E1370" t="s">
        <v>176</v>
      </c>
      <c r="F1370" t="s">
        <v>2714</v>
      </c>
      <c r="G1370" t="str">
        <f>"00361412"</f>
        <v>00361412</v>
      </c>
      <c r="H1370" t="s">
        <v>1825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30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84</v>
      </c>
      <c r="W1370">
        <v>588</v>
      </c>
      <c r="X1370">
        <v>0</v>
      </c>
      <c r="Z1370">
        <v>0</v>
      </c>
      <c r="AA1370">
        <v>0</v>
      </c>
      <c r="AB1370">
        <v>0</v>
      </c>
      <c r="AC1370">
        <v>0</v>
      </c>
      <c r="AD1370" t="s">
        <v>2715</v>
      </c>
    </row>
    <row r="1371" spans="1:30" x14ac:dyDescent="0.25">
      <c r="H1371" t="s">
        <v>2716</v>
      </c>
    </row>
    <row r="1372" spans="1:30" x14ac:dyDescent="0.25">
      <c r="A1372">
        <v>683</v>
      </c>
      <c r="B1372">
        <v>5206</v>
      </c>
      <c r="C1372" t="s">
        <v>2717</v>
      </c>
      <c r="D1372" t="s">
        <v>140</v>
      </c>
      <c r="E1372" t="s">
        <v>2718</v>
      </c>
      <c r="F1372" t="s">
        <v>2719</v>
      </c>
      <c r="G1372" t="str">
        <f>"00193142"</f>
        <v>00193142</v>
      </c>
      <c r="H1372">
        <v>770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84</v>
      </c>
      <c r="W1372">
        <v>588</v>
      </c>
      <c r="X1372">
        <v>0</v>
      </c>
      <c r="Z1372">
        <v>0</v>
      </c>
      <c r="AA1372">
        <v>0</v>
      </c>
      <c r="AB1372">
        <v>0</v>
      </c>
      <c r="AC1372">
        <v>0</v>
      </c>
      <c r="AD1372">
        <v>1358</v>
      </c>
    </row>
    <row r="1373" spans="1:30" x14ac:dyDescent="0.25">
      <c r="H1373" t="s">
        <v>2720</v>
      </c>
    </row>
    <row r="1374" spans="1:30" x14ac:dyDescent="0.25">
      <c r="A1374">
        <v>684</v>
      </c>
      <c r="B1374">
        <v>5874</v>
      </c>
      <c r="C1374" t="s">
        <v>2721</v>
      </c>
      <c r="D1374" t="s">
        <v>2722</v>
      </c>
      <c r="E1374" t="s">
        <v>107</v>
      </c>
      <c r="F1374" t="s">
        <v>2723</v>
      </c>
      <c r="G1374" t="str">
        <f>"00158685"</f>
        <v>00158685</v>
      </c>
      <c r="H1374">
        <v>770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84</v>
      </c>
      <c r="W1374">
        <v>588</v>
      </c>
      <c r="X1374">
        <v>0</v>
      </c>
      <c r="Z1374">
        <v>0</v>
      </c>
      <c r="AA1374">
        <v>0</v>
      </c>
      <c r="AB1374">
        <v>0</v>
      </c>
      <c r="AC1374">
        <v>0</v>
      </c>
      <c r="AD1374">
        <v>1358</v>
      </c>
    </row>
    <row r="1375" spans="1:30" x14ac:dyDescent="0.25">
      <c r="H1375" t="s">
        <v>2724</v>
      </c>
    </row>
    <row r="1376" spans="1:30" x14ac:dyDescent="0.25">
      <c r="A1376">
        <v>685</v>
      </c>
      <c r="B1376">
        <v>73</v>
      </c>
      <c r="C1376" t="s">
        <v>2725</v>
      </c>
      <c r="D1376" t="s">
        <v>616</v>
      </c>
      <c r="E1376" t="s">
        <v>162</v>
      </c>
      <c r="F1376" t="s">
        <v>2726</v>
      </c>
      <c r="G1376" t="str">
        <f>"200905000495"</f>
        <v>200905000495</v>
      </c>
      <c r="H1376">
        <v>770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84</v>
      </c>
      <c r="W1376">
        <v>588</v>
      </c>
      <c r="X1376">
        <v>0</v>
      </c>
      <c r="Z1376">
        <v>2</v>
      </c>
      <c r="AA1376">
        <v>0</v>
      </c>
      <c r="AB1376">
        <v>0</v>
      </c>
      <c r="AC1376">
        <v>0</v>
      </c>
      <c r="AD1376">
        <v>1358</v>
      </c>
    </row>
    <row r="1377" spans="1:30" x14ac:dyDescent="0.25">
      <c r="H1377" t="s">
        <v>2727</v>
      </c>
    </row>
    <row r="1378" spans="1:30" x14ac:dyDescent="0.25">
      <c r="A1378">
        <v>686</v>
      </c>
      <c r="B1378">
        <v>3919</v>
      </c>
      <c r="C1378" t="s">
        <v>2728</v>
      </c>
      <c r="D1378" t="s">
        <v>2729</v>
      </c>
      <c r="E1378" t="s">
        <v>40</v>
      </c>
      <c r="F1378" t="s">
        <v>2730</v>
      </c>
      <c r="G1378" t="str">
        <f>"00302815"</f>
        <v>00302815</v>
      </c>
      <c r="H1378">
        <v>770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84</v>
      </c>
      <c r="W1378">
        <v>588</v>
      </c>
      <c r="X1378">
        <v>0</v>
      </c>
      <c r="Z1378">
        <v>0</v>
      </c>
      <c r="AA1378">
        <v>0</v>
      </c>
      <c r="AB1378">
        <v>0</v>
      </c>
      <c r="AC1378">
        <v>0</v>
      </c>
      <c r="AD1378">
        <v>1358</v>
      </c>
    </row>
    <row r="1379" spans="1:30" x14ac:dyDescent="0.25">
      <c r="H1379" t="s">
        <v>2731</v>
      </c>
    </row>
    <row r="1380" spans="1:30" x14ac:dyDescent="0.25">
      <c r="A1380">
        <v>687</v>
      </c>
      <c r="B1380">
        <v>1463</v>
      </c>
      <c r="C1380" t="s">
        <v>1493</v>
      </c>
      <c r="D1380" t="s">
        <v>151</v>
      </c>
      <c r="E1380" t="s">
        <v>51</v>
      </c>
      <c r="F1380" t="s">
        <v>2732</v>
      </c>
      <c r="G1380" t="str">
        <f>"00265098"</f>
        <v>00265098</v>
      </c>
      <c r="H1380">
        <v>770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84</v>
      </c>
      <c r="W1380">
        <v>588</v>
      </c>
      <c r="X1380">
        <v>0</v>
      </c>
      <c r="Z1380">
        <v>0</v>
      </c>
      <c r="AA1380">
        <v>0</v>
      </c>
      <c r="AB1380">
        <v>0</v>
      </c>
      <c r="AC1380">
        <v>0</v>
      </c>
      <c r="AD1380">
        <v>1358</v>
      </c>
    </row>
    <row r="1381" spans="1:30" x14ac:dyDescent="0.25">
      <c r="H1381" t="s">
        <v>2733</v>
      </c>
    </row>
    <row r="1382" spans="1:30" x14ac:dyDescent="0.25">
      <c r="A1382">
        <v>688</v>
      </c>
      <c r="B1382">
        <v>6235</v>
      </c>
      <c r="C1382" t="s">
        <v>2734</v>
      </c>
      <c r="D1382" t="s">
        <v>694</v>
      </c>
      <c r="E1382" t="s">
        <v>47</v>
      </c>
      <c r="F1382" t="s">
        <v>2735</v>
      </c>
      <c r="G1382" t="str">
        <f>"201412002045"</f>
        <v>201412002045</v>
      </c>
      <c r="H1382">
        <v>770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84</v>
      </c>
      <c r="W1382">
        <v>588</v>
      </c>
      <c r="X1382">
        <v>0</v>
      </c>
      <c r="Z1382">
        <v>1</v>
      </c>
      <c r="AA1382">
        <v>0</v>
      </c>
      <c r="AB1382">
        <v>0</v>
      </c>
      <c r="AC1382">
        <v>0</v>
      </c>
      <c r="AD1382">
        <v>1358</v>
      </c>
    </row>
    <row r="1383" spans="1:30" x14ac:dyDescent="0.25">
      <c r="H1383" t="s">
        <v>2736</v>
      </c>
    </row>
    <row r="1384" spans="1:30" x14ac:dyDescent="0.25">
      <c r="A1384">
        <v>689</v>
      </c>
      <c r="B1384">
        <v>1608</v>
      </c>
      <c r="C1384" t="s">
        <v>2737</v>
      </c>
      <c r="D1384" t="s">
        <v>39</v>
      </c>
      <c r="E1384" t="s">
        <v>202</v>
      </c>
      <c r="F1384" t="s">
        <v>2738</v>
      </c>
      <c r="G1384" t="str">
        <f>"00255432"</f>
        <v>00255432</v>
      </c>
      <c r="H1384">
        <v>770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84</v>
      </c>
      <c r="W1384">
        <v>588</v>
      </c>
      <c r="X1384">
        <v>0</v>
      </c>
      <c r="Z1384">
        <v>2</v>
      </c>
      <c r="AA1384">
        <v>0</v>
      </c>
      <c r="AB1384">
        <v>0</v>
      </c>
      <c r="AC1384">
        <v>0</v>
      </c>
      <c r="AD1384">
        <v>1358</v>
      </c>
    </row>
    <row r="1385" spans="1:30" x14ac:dyDescent="0.25">
      <c r="H1385" t="s">
        <v>2739</v>
      </c>
    </row>
    <row r="1386" spans="1:30" x14ac:dyDescent="0.25">
      <c r="A1386">
        <v>690</v>
      </c>
      <c r="B1386">
        <v>2640</v>
      </c>
      <c r="C1386" t="s">
        <v>2740</v>
      </c>
      <c r="D1386" t="s">
        <v>509</v>
      </c>
      <c r="E1386" t="s">
        <v>1039</v>
      </c>
      <c r="F1386" t="s">
        <v>2741</v>
      </c>
      <c r="G1386" t="str">
        <f>"201511034053"</f>
        <v>201511034053</v>
      </c>
      <c r="H1386" t="s">
        <v>2742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30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84</v>
      </c>
      <c r="W1386">
        <v>588</v>
      </c>
      <c r="X1386">
        <v>0</v>
      </c>
      <c r="Z1386">
        <v>0</v>
      </c>
      <c r="AA1386">
        <v>0</v>
      </c>
      <c r="AB1386">
        <v>0</v>
      </c>
      <c r="AC1386">
        <v>0</v>
      </c>
      <c r="AD1386" t="s">
        <v>2743</v>
      </c>
    </row>
    <row r="1387" spans="1:30" x14ac:dyDescent="0.25">
      <c r="H1387" t="s">
        <v>2744</v>
      </c>
    </row>
    <row r="1388" spans="1:30" x14ac:dyDescent="0.25">
      <c r="A1388">
        <v>691</v>
      </c>
      <c r="B1388">
        <v>4819</v>
      </c>
      <c r="C1388" t="s">
        <v>1179</v>
      </c>
      <c r="D1388" t="s">
        <v>346</v>
      </c>
      <c r="E1388" t="s">
        <v>183</v>
      </c>
      <c r="F1388" t="s">
        <v>2745</v>
      </c>
      <c r="G1388" t="str">
        <f>"00261511"</f>
        <v>00261511</v>
      </c>
      <c r="H1388">
        <v>770</v>
      </c>
      <c r="I1388">
        <v>0</v>
      </c>
      <c r="J1388">
        <v>0</v>
      </c>
      <c r="K1388">
        <v>0</v>
      </c>
      <c r="L1388">
        <v>0</v>
      </c>
      <c r="M1388">
        <v>100</v>
      </c>
      <c r="N1388">
        <v>30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7</v>
      </c>
      <c r="W1388">
        <v>49</v>
      </c>
      <c r="X1388">
        <v>0</v>
      </c>
      <c r="Z1388">
        <v>1</v>
      </c>
      <c r="AA1388">
        <v>0</v>
      </c>
      <c r="AB1388">
        <v>24</v>
      </c>
      <c r="AC1388">
        <v>408</v>
      </c>
      <c r="AD1388">
        <v>1357</v>
      </c>
    </row>
    <row r="1389" spans="1:30" x14ac:dyDescent="0.25">
      <c r="H1389" t="s">
        <v>2746</v>
      </c>
    </row>
    <row r="1390" spans="1:30" x14ac:dyDescent="0.25">
      <c r="A1390">
        <v>692</v>
      </c>
      <c r="B1390">
        <v>4723</v>
      </c>
      <c r="C1390" t="s">
        <v>2747</v>
      </c>
      <c r="D1390" t="s">
        <v>47</v>
      </c>
      <c r="E1390" t="s">
        <v>974</v>
      </c>
      <c r="F1390" t="s">
        <v>2748</v>
      </c>
      <c r="G1390" t="str">
        <f>"00152868"</f>
        <v>00152868</v>
      </c>
      <c r="H1390" t="s">
        <v>1115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84</v>
      </c>
      <c r="W1390">
        <v>588</v>
      </c>
      <c r="X1390">
        <v>0</v>
      </c>
      <c r="Z1390">
        <v>0</v>
      </c>
      <c r="AA1390">
        <v>0</v>
      </c>
      <c r="AB1390">
        <v>0</v>
      </c>
      <c r="AC1390">
        <v>0</v>
      </c>
      <c r="AD1390" t="s">
        <v>2749</v>
      </c>
    </row>
    <row r="1391" spans="1:30" x14ac:dyDescent="0.25">
      <c r="H1391" t="s">
        <v>2750</v>
      </c>
    </row>
    <row r="1392" spans="1:30" x14ac:dyDescent="0.25">
      <c r="A1392">
        <v>693</v>
      </c>
      <c r="B1392">
        <v>1820</v>
      </c>
      <c r="C1392" t="s">
        <v>2751</v>
      </c>
      <c r="D1392" t="s">
        <v>39</v>
      </c>
      <c r="E1392" t="s">
        <v>974</v>
      </c>
      <c r="F1392" t="s">
        <v>2752</v>
      </c>
      <c r="G1392" t="str">
        <f>"200910000321"</f>
        <v>200910000321</v>
      </c>
      <c r="H1392" t="s">
        <v>357</v>
      </c>
      <c r="I1392">
        <v>0</v>
      </c>
      <c r="J1392">
        <v>0</v>
      </c>
      <c r="K1392">
        <v>0</v>
      </c>
      <c r="L1392">
        <v>200</v>
      </c>
      <c r="M1392">
        <v>0</v>
      </c>
      <c r="N1392">
        <v>70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32</v>
      </c>
      <c r="W1392">
        <v>224</v>
      </c>
      <c r="X1392">
        <v>0</v>
      </c>
      <c r="Z1392">
        <v>0</v>
      </c>
      <c r="AA1392">
        <v>0</v>
      </c>
      <c r="AB1392">
        <v>0</v>
      </c>
      <c r="AC1392">
        <v>0</v>
      </c>
      <c r="AD1392" t="s">
        <v>2753</v>
      </c>
    </row>
    <row r="1393" spans="1:30" x14ac:dyDescent="0.25">
      <c r="H1393" t="s">
        <v>2754</v>
      </c>
    </row>
    <row r="1394" spans="1:30" x14ac:dyDescent="0.25">
      <c r="A1394">
        <v>694</v>
      </c>
      <c r="B1394">
        <v>2535</v>
      </c>
      <c r="C1394" t="s">
        <v>2755</v>
      </c>
      <c r="D1394" t="s">
        <v>151</v>
      </c>
      <c r="E1394" t="s">
        <v>107</v>
      </c>
      <c r="F1394" t="s">
        <v>2756</v>
      </c>
      <c r="G1394" t="str">
        <f>"201406006556"</f>
        <v>201406006556</v>
      </c>
      <c r="H1394" t="s">
        <v>352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30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79</v>
      </c>
      <c r="W1394">
        <v>553</v>
      </c>
      <c r="X1394">
        <v>0</v>
      </c>
      <c r="Z1394">
        <v>0</v>
      </c>
      <c r="AA1394">
        <v>0</v>
      </c>
      <c r="AB1394">
        <v>0</v>
      </c>
      <c r="AC1394">
        <v>0</v>
      </c>
      <c r="AD1394" t="s">
        <v>2757</v>
      </c>
    </row>
    <row r="1395" spans="1:30" x14ac:dyDescent="0.25">
      <c r="H1395" t="s">
        <v>2758</v>
      </c>
    </row>
    <row r="1396" spans="1:30" x14ac:dyDescent="0.25">
      <c r="A1396">
        <v>695</v>
      </c>
      <c r="B1396">
        <v>6123</v>
      </c>
      <c r="C1396" t="s">
        <v>2759</v>
      </c>
      <c r="D1396" t="s">
        <v>2404</v>
      </c>
      <c r="E1396" t="s">
        <v>290</v>
      </c>
      <c r="F1396" t="s">
        <v>2760</v>
      </c>
      <c r="G1396" t="str">
        <f>"00369785"</f>
        <v>00369785</v>
      </c>
      <c r="H1396">
        <v>737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30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72</v>
      </c>
      <c r="W1396">
        <v>504</v>
      </c>
      <c r="X1396">
        <v>0</v>
      </c>
      <c r="Z1396">
        <v>0</v>
      </c>
      <c r="AA1396">
        <v>0</v>
      </c>
      <c r="AB1396">
        <v>5</v>
      </c>
      <c r="AC1396">
        <v>85</v>
      </c>
      <c r="AD1396">
        <v>1356</v>
      </c>
    </row>
    <row r="1397" spans="1:30" x14ac:dyDescent="0.25">
      <c r="H1397" t="s">
        <v>2761</v>
      </c>
    </row>
    <row r="1398" spans="1:30" x14ac:dyDescent="0.25">
      <c r="A1398">
        <v>696</v>
      </c>
      <c r="B1398">
        <v>5188</v>
      </c>
      <c r="C1398" t="s">
        <v>2762</v>
      </c>
      <c r="D1398" t="s">
        <v>224</v>
      </c>
      <c r="E1398" t="s">
        <v>162</v>
      </c>
      <c r="F1398" t="s">
        <v>2763</v>
      </c>
      <c r="G1398" t="str">
        <f>"00200649"</f>
        <v>00200649</v>
      </c>
      <c r="H1398" t="s">
        <v>1101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76</v>
      </c>
      <c r="W1398">
        <v>532</v>
      </c>
      <c r="X1398">
        <v>0</v>
      </c>
      <c r="Z1398">
        <v>0</v>
      </c>
      <c r="AA1398">
        <v>0</v>
      </c>
      <c r="AB1398">
        <v>8</v>
      </c>
      <c r="AC1398">
        <v>136</v>
      </c>
      <c r="AD1398" t="s">
        <v>2764</v>
      </c>
    </row>
    <row r="1399" spans="1:30" x14ac:dyDescent="0.25">
      <c r="H1399" t="s">
        <v>2765</v>
      </c>
    </row>
    <row r="1400" spans="1:30" x14ac:dyDescent="0.25">
      <c r="A1400">
        <v>697</v>
      </c>
      <c r="B1400">
        <v>5888</v>
      </c>
      <c r="C1400" t="s">
        <v>2766</v>
      </c>
      <c r="D1400" t="s">
        <v>75</v>
      </c>
      <c r="E1400" t="s">
        <v>47</v>
      </c>
      <c r="F1400" t="s">
        <v>2767</v>
      </c>
      <c r="G1400" t="str">
        <f>"00335135"</f>
        <v>00335135</v>
      </c>
      <c r="H1400" t="s">
        <v>2197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70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84</v>
      </c>
      <c r="W1400">
        <v>588</v>
      </c>
      <c r="X1400">
        <v>0</v>
      </c>
      <c r="Z1400">
        <v>0</v>
      </c>
      <c r="AA1400">
        <v>0</v>
      </c>
      <c r="AB1400">
        <v>0</v>
      </c>
      <c r="AC1400">
        <v>0</v>
      </c>
      <c r="AD1400" t="s">
        <v>2768</v>
      </c>
    </row>
    <row r="1401" spans="1:30" x14ac:dyDescent="0.25">
      <c r="H1401" t="s">
        <v>2769</v>
      </c>
    </row>
    <row r="1402" spans="1:30" x14ac:dyDescent="0.25">
      <c r="A1402">
        <v>698</v>
      </c>
      <c r="B1402">
        <v>3648</v>
      </c>
      <c r="C1402" t="s">
        <v>2770</v>
      </c>
      <c r="D1402" t="s">
        <v>2771</v>
      </c>
      <c r="E1402" t="s">
        <v>47</v>
      </c>
      <c r="F1402" t="s">
        <v>2772</v>
      </c>
      <c r="G1402" t="str">
        <f>"00369278"</f>
        <v>00369278</v>
      </c>
      <c r="H1402">
        <v>737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30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84</v>
      </c>
      <c r="W1402">
        <v>588</v>
      </c>
      <c r="X1402">
        <v>0</v>
      </c>
      <c r="Z1402">
        <v>0</v>
      </c>
      <c r="AA1402">
        <v>0</v>
      </c>
      <c r="AB1402">
        <v>0</v>
      </c>
      <c r="AC1402">
        <v>0</v>
      </c>
      <c r="AD1402">
        <v>1355</v>
      </c>
    </row>
    <row r="1403" spans="1:30" x14ac:dyDescent="0.25">
      <c r="H1403" t="s">
        <v>2773</v>
      </c>
    </row>
    <row r="1404" spans="1:30" x14ac:dyDescent="0.25">
      <c r="A1404">
        <v>699</v>
      </c>
      <c r="B1404">
        <v>4295</v>
      </c>
      <c r="C1404" t="s">
        <v>2774</v>
      </c>
      <c r="D1404" t="s">
        <v>335</v>
      </c>
      <c r="E1404" t="s">
        <v>39</v>
      </c>
      <c r="F1404" t="s">
        <v>2775</v>
      </c>
      <c r="G1404" t="str">
        <f>"201511005892"</f>
        <v>201511005892</v>
      </c>
      <c r="H1404">
        <v>737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30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84</v>
      </c>
      <c r="W1404">
        <v>588</v>
      </c>
      <c r="X1404">
        <v>0</v>
      </c>
      <c r="Z1404">
        <v>0</v>
      </c>
      <c r="AA1404">
        <v>0</v>
      </c>
      <c r="AB1404">
        <v>0</v>
      </c>
      <c r="AC1404">
        <v>0</v>
      </c>
      <c r="AD1404">
        <v>1355</v>
      </c>
    </row>
    <row r="1405" spans="1:30" x14ac:dyDescent="0.25">
      <c r="H1405" t="s">
        <v>2776</v>
      </c>
    </row>
    <row r="1406" spans="1:30" x14ac:dyDescent="0.25">
      <c r="A1406">
        <v>700</v>
      </c>
      <c r="B1406">
        <v>2763</v>
      </c>
      <c r="C1406" t="s">
        <v>2777</v>
      </c>
      <c r="D1406" t="s">
        <v>46</v>
      </c>
      <c r="E1406" t="s">
        <v>2778</v>
      </c>
      <c r="F1406" t="s">
        <v>2779</v>
      </c>
      <c r="G1406" t="str">
        <f>"200712005681"</f>
        <v>200712005681</v>
      </c>
      <c r="H1406">
        <v>737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30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84</v>
      </c>
      <c r="W1406">
        <v>588</v>
      </c>
      <c r="X1406">
        <v>0</v>
      </c>
      <c r="Z1406">
        <v>0</v>
      </c>
      <c r="AA1406">
        <v>0</v>
      </c>
      <c r="AB1406">
        <v>0</v>
      </c>
      <c r="AC1406">
        <v>0</v>
      </c>
      <c r="AD1406">
        <v>1355</v>
      </c>
    </row>
    <row r="1407" spans="1:30" x14ac:dyDescent="0.25">
      <c r="H1407" t="s">
        <v>2780</v>
      </c>
    </row>
    <row r="1408" spans="1:30" x14ac:dyDescent="0.25">
      <c r="A1408">
        <v>701</v>
      </c>
      <c r="B1408">
        <v>5402</v>
      </c>
      <c r="C1408" t="s">
        <v>2781</v>
      </c>
      <c r="D1408" t="s">
        <v>804</v>
      </c>
      <c r="E1408" t="s">
        <v>190</v>
      </c>
      <c r="F1408" t="s">
        <v>2782</v>
      </c>
      <c r="G1408" t="str">
        <f>"00169536"</f>
        <v>00169536</v>
      </c>
      <c r="H1408">
        <v>737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30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84</v>
      </c>
      <c r="W1408">
        <v>588</v>
      </c>
      <c r="X1408">
        <v>0</v>
      </c>
      <c r="Z1408">
        <v>0</v>
      </c>
      <c r="AA1408">
        <v>0</v>
      </c>
      <c r="AB1408">
        <v>0</v>
      </c>
      <c r="AC1408">
        <v>0</v>
      </c>
      <c r="AD1408">
        <v>1355</v>
      </c>
    </row>
    <row r="1409" spans="1:30" x14ac:dyDescent="0.25">
      <c r="H1409" t="s">
        <v>2783</v>
      </c>
    </row>
    <row r="1410" spans="1:30" x14ac:dyDescent="0.25">
      <c r="A1410">
        <v>702</v>
      </c>
      <c r="B1410">
        <v>2998</v>
      </c>
      <c r="C1410" t="s">
        <v>2784</v>
      </c>
      <c r="D1410" t="s">
        <v>182</v>
      </c>
      <c r="E1410" t="s">
        <v>190</v>
      </c>
      <c r="F1410" t="s">
        <v>2785</v>
      </c>
      <c r="G1410" t="str">
        <f>"201406010207"</f>
        <v>201406010207</v>
      </c>
      <c r="H1410">
        <v>737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30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84</v>
      </c>
      <c r="W1410">
        <v>588</v>
      </c>
      <c r="X1410">
        <v>0</v>
      </c>
      <c r="Z1410">
        <v>0</v>
      </c>
      <c r="AA1410">
        <v>0</v>
      </c>
      <c r="AB1410">
        <v>0</v>
      </c>
      <c r="AC1410">
        <v>0</v>
      </c>
      <c r="AD1410">
        <v>1355</v>
      </c>
    </row>
    <row r="1411" spans="1:30" x14ac:dyDescent="0.25">
      <c r="H1411" t="s">
        <v>2786</v>
      </c>
    </row>
    <row r="1412" spans="1:30" x14ac:dyDescent="0.25">
      <c r="A1412">
        <v>703</v>
      </c>
      <c r="B1412">
        <v>5534</v>
      </c>
      <c r="C1412" t="s">
        <v>2787</v>
      </c>
      <c r="D1412" t="s">
        <v>330</v>
      </c>
      <c r="E1412" t="s">
        <v>51</v>
      </c>
      <c r="F1412" t="s">
        <v>2788</v>
      </c>
      <c r="G1412" t="str">
        <f>"200712000930"</f>
        <v>200712000930</v>
      </c>
      <c r="H1412">
        <v>737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30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84</v>
      </c>
      <c r="W1412">
        <v>588</v>
      </c>
      <c r="X1412">
        <v>0</v>
      </c>
      <c r="Z1412">
        <v>0</v>
      </c>
      <c r="AA1412">
        <v>0</v>
      </c>
      <c r="AB1412">
        <v>0</v>
      </c>
      <c r="AC1412">
        <v>0</v>
      </c>
      <c r="AD1412">
        <v>1355</v>
      </c>
    </row>
    <row r="1413" spans="1:30" x14ac:dyDescent="0.25">
      <c r="H1413" t="s">
        <v>2789</v>
      </c>
    </row>
    <row r="1414" spans="1:30" x14ac:dyDescent="0.25">
      <c r="A1414">
        <v>704</v>
      </c>
      <c r="B1414">
        <v>2903</v>
      </c>
      <c r="C1414" t="s">
        <v>2790</v>
      </c>
      <c r="D1414" t="s">
        <v>162</v>
      </c>
      <c r="E1414" t="s">
        <v>47</v>
      </c>
      <c r="F1414" t="s">
        <v>2791</v>
      </c>
      <c r="G1414" t="str">
        <f>"201405000558"</f>
        <v>201405000558</v>
      </c>
      <c r="H1414">
        <v>737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30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84</v>
      </c>
      <c r="W1414">
        <v>588</v>
      </c>
      <c r="X1414">
        <v>0</v>
      </c>
      <c r="Z1414">
        <v>0</v>
      </c>
      <c r="AA1414">
        <v>0</v>
      </c>
      <c r="AB1414">
        <v>0</v>
      </c>
      <c r="AC1414">
        <v>0</v>
      </c>
      <c r="AD1414">
        <v>1355</v>
      </c>
    </row>
    <row r="1415" spans="1:30" x14ac:dyDescent="0.25">
      <c r="H1415" t="s">
        <v>2792</v>
      </c>
    </row>
    <row r="1416" spans="1:30" x14ac:dyDescent="0.25">
      <c r="A1416">
        <v>705</v>
      </c>
      <c r="B1416">
        <v>2345</v>
      </c>
      <c r="C1416" t="s">
        <v>2793</v>
      </c>
      <c r="D1416" t="s">
        <v>526</v>
      </c>
      <c r="E1416" t="s">
        <v>107</v>
      </c>
      <c r="F1416" t="s">
        <v>2794</v>
      </c>
      <c r="G1416" t="str">
        <f>"201406013156"</f>
        <v>201406013156</v>
      </c>
      <c r="H1416">
        <v>737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30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84</v>
      </c>
      <c r="W1416">
        <v>588</v>
      </c>
      <c r="X1416">
        <v>0</v>
      </c>
      <c r="Z1416">
        <v>0</v>
      </c>
      <c r="AA1416">
        <v>0</v>
      </c>
      <c r="AB1416">
        <v>0</v>
      </c>
      <c r="AC1416">
        <v>0</v>
      </c>
      <c r="AD1416">
        <v>1355</v>
      </c>
    </row>
    <row r="1417" spans="1:30" x14ac:dyDescent="0.25">
      <c r="H1417" t="s">
        <v>2795</v>
      </c>
    </row>
    <row r="1418" spans="1:30" x14ac:dyDescent="0.25">
      <c r="A1418">
        <v>706</v>
      </c>
      <c r="B1418">
        <v>1189</v>
      </c>
      <c r="C1418" t="s">
        <v>2796</v>
      </c>
      <c r="D1418" t="s">
        <v>39</v>
      </c>
      <c r="E1418" t="s">
        <v>2797</v>
      </c>
      <c r="F1418" t="s">
        <v>2798</v>
      </c>
      <c r="G1418" t="str">
        <f>"00149164"</f>
        <v>00149164</v>
      </c>
      <c r="H1418">
        <v>737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30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84</v>
      </c>
      <c r="W1418">
        <v>588</v>
      </c>
      <c r="X1418">
        <v>0</v>
      </c>
      <c r="Z1418">
        <v>0</v>
      </c>
      <c r="AA1418">
        <v>0</v>
      </c>
      <c r="AB1418">
        <v>0</v>
      </c>
      <c r="AC1418">
        <v>0</v>
      </c>
      <c r="AD1418">
        <v>1355</v>
      </c>
    </row>
    <row r="1419" spans="1:30" x14ac:dyDescent="0.25">
      <c r="H1419" t="s">
        <v>2799</v>
      </c>
    </row>
    <row r="1420" spans="1:30" x14ac:dyDescent="0.25">
      <c r="A1420">
        <v>707</v>
      </c>
      <c r="B1420">
        <v>3530</v>
      </c>
      <c r="C1420" t="s">
        <v>2800</v>
      </c>
      <c r="D1420" t="s">
        <v>239</v>
      </c>
      <c r="E1420" t="s">
        <v>107</v>
      </c>
      <c r="F1420" t="s">
        <v>2801</v>
      </c>
      <c r="G1420" t="str">
        <f>"201511025382"</f>
        <v>201511025382</v>
      </c>
      <c r="H1420">
        <v>737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30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84</v>
      </c>
      <c r="W1420">
        <v>588</v>
      </c>
      <c r="X1420">
        <v>0</v>
      </c>
      <c r="Z1420">
        <v>0</v>
      </c>
      <c r="AA1420">
        <v>0</v>
      </c>
      <c r="AB1420">
        <v>0</v>
      </c>
      <c r="AC1420">
        <v>0</v>
      </c>
      <c r="AD1420">
        <v>1355</v>
      </c>
    </row>
    <row r="1421" spans="1:30" x14ac:dyDescent="0.25">
      <c r="H1421" t="s">
        <v>2802</v>
      </c>
    </row>
    <row r="1422" spans="1:30" x14ac:dyDescent="0.25">
      <c r="A1422">
        <v>708</v>
      </c>
      <c r="B1422">
        <v>4899</v>
      </c>
      <c r="C1422" t="s">
        <v>1179</v>
      </c>
      <c r="D1422" t="s">
        <v>2803</v>
      </c>
      <c r="E1422" t="s">
        <v>183</v>
      </c>
      <c r="F1422" t="s">
        <v>2804</v>
      </c>
      <c r="G1422" t="str">
        <f>"00345953"</f>
        <v>00345953</v>
      </c>
      <c r="H1422">
        <v>737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30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84</v>
      </c>
      <c r="W1422">
        <v>588</v>
      </c>
      <c r="X1422">
        <v>0</v>
      </c>
      <c r="Z1422">
        <v>0</v>
      </c>
      <c r="AA1422">
        <v>0</v>
      </c>
      <c r="AB1422">
        <v>0</v>
      </c>
      <c r="AC1422">
        <v>0</v>
      </c>
      <c r="AD1422">
        <v>1355</v>
      </c>
    </row>
    <row r="1423" spans="1:30" x14ac:dyDescent="0.25">
      <c r="H1423" t="s">
        <v>2805</v>
      </c>
    </row>
    <row r="1424" spans="1:30" x14ac:dyDescent="0.25">
      <c r="A1424">
        <v>709</v>
      </c>
      <c r="B1424">
        <v>1893</v>
      </c>
      <c r="C1424" t="s">
        <v>2806</v>
      </c>
      <c r="D1424" t="s">
        <v>2299</v>
      </c>
      <c r="E1424" t="s">
        <v>224</v>
      </c>
      <c r="F1424" t="s">
        <v>2807</v>
      </c>
      <c r="G1424" t="str">
        <f>"200805000607"</f>
        <v>200805000607</v>
      </c>
      <c r="H1424" t="s">
        <v>388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30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31</v>
      </c>
      <c r="W1424">
        <v>217</v>
      </c>
      <c r="X1424">
        <v>0</v>
      </c>
      <c r="Z1424">
        <v>0</v>
      </c>
      <c r="AA1424">
        <v>0</v>
      </c>
      <c r="AB1424">
        <v>24</v>
      </c>
      <c r="AC1424">
        <v>408</v>
      </c>
      <c r="AD1424" t="s">
        <v>2808</v>
      </c>
    </row>
    <row r="1425" spans="1:30" x14ac:dyDescent="0.25">
      <c r="H1425" t="s">
        <v>2809</v>
      </c>
    </row>
    <row r="1426" spans="1:30" x14ac:dyDescent="0.25">
      <c r="A1426">
        <v>710</v>
      </c>
      <c r="B1426">
        <v>859</v>
      </c>
      <c r="C1426" t="s">
        <v>2810</v>
      </c>
      <c r="D1426" t="s">
        <v>677</v>
      </c>
      <c r="E1426" t="s">
        <v>183</v>
      </c>
      <c r="F1426" t="s">
        <v>2811</v>
      </c>
      <c r="G1426" t="str">
        <f>"200801006542"</f>
        <v>200801006542</v>
      </c>
      <c r="H1426" t="s">
        <v>1779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30</v>
      </c>
      <c r="O1426">
        <v>0</v>
      </c>
      <c r="P1426">
        <v>0</v>
      </c>
      <c r="Q1426">
        <v>30</v>
      </c>
      <c r="R1426">
        <v>0</v>
      </c>
      <c r="S1426">
        <v>0</v>
      </c>
      <c r="T1426">
        <v>0</v>
      </c>
      <c r="U1426">
        <v>0</v>
      </c>
      <c r="V1426">
        <v>71</v>
      </c>
      <c r="W1426">
        <v>497</v>
      </c>
      <c r="X1426">
        <v>0</v>
      </c>
      <c r="Z1426">
        <v>0</v>
      </c>
      <c r="AA1426">
        <v>0</v>
      </c>
      <c r="AB1426">
        <v>0</v>
      </c>
      <c r="AC1426">
        <v>0</v>
      </c>
      <c r="AD1426" t="s">
        <v>2812</v>
      </c>
    </row>
    <row r="1427" spans="1:30" x14ac:dyDescent="0.25">
      <c r="H1427" t="s">
        <v>2813</v>
      </c>
    </row>
    <row r="1428" spans="1:30" x14ac:dyDescent="0.25">
      <c r="A1428">
        <v>711</v>
      </c>
      <c r="B1428">
        <v>601</v>
      </c>
      <c r="C1428" t="s">
        <v>2692</v>
      </c>
      <c r="D1428" t="s">
        <v>2814</v>
      </c>
      <c r="E1428" t="s">
        <v>39</v>
      </c>
      <c r="F1428" t="s">
        <v>2815</v>
      </c>
      <c r="G1428" t="str">
        <f>"00006382"</f>
        <v>00006382</v>
      </c>
      <c r="H1428">
        <v>693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30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78</v>
      </c>
      <c r="W1428">
        <v>546</v>
      </c>
      <c r="X1428">
        <v>0</v>
      </c>
      <c r="Z1428">
        <v>0</v>
      </c>
      <c r="AA1428">
        <v>0</v>
      </c>
      <c r="AB1428">
        <v>5</v>
      </c>
      <c r="AC1428">
        <v>85</v>
      </c>
      <c r="AD1428">
        <v>1354</v>
      </c>
    </row>
    <row r="1429" spans="1:30" x14ac:dyDescent="0.25">
      <c r="H1429" t="s">
        <v>2816</v>
      </c>
    </row>
    <row r="1430" spans="1:30" x14ac:dyDescent="0.25">
      <c r="A1430">
        <v>712</v>
      </c>
      <c r="B1430">
        <v>4082</v>
      </c>
      <c r="C1430" t="s">
        <v>2817</v>
      </c>
      <c r="D1430" t="s">
        <v>33</v>
      </c>
      <c r="E1430" t="s">
        <v>40</v>
      </c>
      <c r="F1430" t="s">
        <v>2818</v>
      </c>
      <c r="G1430" t="str">
        <f>"201412002603"</f>
        <v>201412002603</v>
      </c>
      <c r="H1430">
        <v>715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50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84</v>
      </c>
      <c r="W1430">
        <v>588</v>
      </c>
      <c r="X1430">
        <v>0</v>
      </c>
      <c r="Z1430">
        <v>0</v>
      </c>
      <c r="AA1430">
        <v>0</v>
      </c>
      <c r="AB1430">
        <v>0</v>
      </c>
      <c r="AC1430">
        <v>0</v>
      </c>
      <c r="AD1430">
        <v>1353</v>
      </c>
    </row>
    <row r="1431" spans="1:30" x14ac:dyDescent="0.25">
      <c r="H1431" t="s">
        <v>2819</v>
      </c>
    </row>
    <row r="1432" spans="1:30" x14ac:dyDescent="0.25">
      <c r="A1432">
        <v>713</v>
      </c>
      <c r="B1432">
        <v>389</v>
      </c>
      <c r="C1432" t="s">
        <v>120</v>
      </c>
      <c r="D1432" t="s">
        <v>869</v>
      </c>
      <c r="E1432" t="s">
        <v>107</v>
      </c>
      <c r="F1432" t="s">
        <v>2820</v>
      </c>
      <c r="G1432" t="str">
        <f>"00201672"</f>
        <v>00201672</v>
      </c>
      <c r="H1432" t="s">
        <v>672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30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84</v>
      </c>
      <c r="W1432">
        <v>588</v>
      </c>
      <c r="X1432">
        <v>0</v>
      </c>
      <c r="Z1432">
        <v>0</v>
      </c>
      <c r="AA1432">
        <v>0</v>
      </c>
      <c r="AB1432">
        <v>0</v>
      </c>
      <c r="AC1432">
        <v>0</v>
      </c>
      <c r="AD1432" t="s">
        <v>2821</v>
      </c>
    </row>
    <row r="1433" spans="1:30" x14ac:dyDescent="0.25">
      <c r="H1433" t="s">
        <v>2822</v>
      </c>
    </row>
    <row r="1434" spans="1:30" x14ac:dyDescent="0.25">
      <c r="A1434">
        <v>714</v>
      </c>
      <c r="B1434">
        <v>1005</v>
      </c>
      <c r="C1434" t="s">
        <v>2823</v>
      </c>
      <c r="D1434" t="s">
        <v>86</v>
      </c>
      <c r="E1434" t="s">
        <v>162</v>
      </c>
      <c r="F1434" t="s">
        <v>2824</v>
      </c>
      <c r="G1434" t="str">
        <f>"00030164"</f>
        <v>00030164</v>
      </c>
      <c r="H1434" t="s">
        <v>672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30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84</v>
      </c>
      <c r="W1434">
        <v>588</v>
      </c>
      <c r="X1434">
        <v>0</v>
      </c>
      <c r="Z1434">
        <v>0</v>
      </c>
      <c r="AA1434">
        <v>0</v>
      </c>
      <c r="AB1434">
        <v>0</v>
      </c>
      <c r="AC1434">
        <v>0</v>
      </c>
      <c r="AD1434" t="s">
        <v>2821</v>
      </c>
    </row>
    <row r="1435" spans="1:30" x14ac:dyDescent="0.25">
      <c r="H1435" t="s">
        <v>2825</v>
      </c>
    </row>
    <row r="1436" spans="1:30" x14ac:dyDescent="0.25">
      <c r="A1436">
        <v>715</v>
      </c>
      <c r="B1436">
        <v>1005</v>
      </c>
      <c r="C1436" t="s">
        <v>2823</v>
      </c>
      <c r="D1436" t="s">
        <v>86</v>
      </c>
      <c r="E1436" t="s">
        <v>162</v>
      </c>
      <c r="F1436" t="s">
        <v>2824</v>
      </c>
      <c r="G1436" t="str">
        <f>"00030164"</f>
        <v>00030164</v>
      </c>
      <c r="H1436" t="s">
        <v>672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30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84</v>
      </c>
      <c r="W1436">
        <v>588</v>
      </c>
      <c r="X1436">
        <v>6</v>
      </c>
      <c r="Y1436">
        <v>1251</v>
      </c>
      <c r="Z1436">
        <v>0</v>
      </c>
      <c r="AA1436">
        <v>0</v>
      </c>
      <c r="AB1436">
        <v>0</v>
      </c>
      <c r="AC1436">
        <v>0</v>
      </c>
      <c r="AD1436" t="s">
        <v>2821</v>
      </c>
    </row>
    <row r="1437" spans="1:30" x14ac:dyDescent="0.25">
      <c r="H1437" t="s">
        <v>2825</v>
      </c>
    </row>
    <row r="1438" spans="1:30" x14ac:dyDescent="0.25">
      <c r="A1438">
        <v>716</v>
      </c>
      <c r="B1438">
        <v>4942</v>
      </c>
      <c r="C1438" t="s">
        <v>120</v>
      </c>
      <c r="D1438" t="s">
        <v>335</v>
      </c>
      <c r="E1438" t="s">
        <v>238</v>
      </c>
      <c r="F1438" t="s">
        <v>2826</v>
      </c>
      <c r="G1438" t="str">
        <f>"00155647"</f>
        <v>00155647</v>
      </c>
      <c r="H1438" t="s">
        <v>672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30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84</v>
      </c>
      <c r="W1438">
        <v>588</v>
      </c>
      <c r="X1438">
        <v>0</v>
      </c>
      <c r="Z1438">
        <v>0</v>
      </c>
      <c r="AA1438">
        <v>0</v>
      </c>
      <c r="AB1438">
        <v>0</v>
      </c>
      <c r="AC1438">
        <v>0</v>
      </c>
      <c r="AD1438" t="s">
        <v>2821</v>
      </c>
    </row>
    <row r="1439" spans="1:30" x14ac:dyDescent="0.25">
      <c r="H1439" t="s">
        <v>1852</v>
      </c>
    </row>
    <row r="1440" spans="1:30" x14ac:dyDescent="0.25">
      <c r="A1440">
        <v>717</v>
      </c>
      <c r="B1440">
        <v>884</v>
      </c>
      <c r="C1440" t="s">
        <v>2827</v>
      </c>
      <c r="D1440" t="s">
        <v>296</v>
      </c>
      <c r="E1440" t="s">
        <v>162</v>
      </c>
      <c r="F1440" t="s">
        <v>2828</v>
      </c>
      <c r="G1440" t="str">
        <f>"201511017408"</f>
        <v>201511017408</v>
      </c>
      <c r="H1440" t="s">
        <v>568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84</v>
      </c>
      <c r="W1440">
        <v>588</v>
      </c>
      <c r="X1440">
        <v>0</v>
      </c>
      <c r="Z1440">
        <v>0</v>
      </c>
      <c r="AA1440">
        <v>0</v>
      </c>
      <c r="AB1440">
        <v>0</v>
      </c>
      <c r="AC1440">
        <v>0</v>
      </c>
      <c r="AD1440" t="s">
        <v>2829</v>
      </c>
    </row>
    <row r="1441" spans="1:30" x14ac:dyDescent="0.25">
      <c r="H1441" t="s">
        <v>2830</v>
      </c>
    </row>
    <row r="1442" spans="1:30" x14ac:dyDescent="0.25">
      <c r="A1442">
        <v>718</v>
      </c>
      <c r="B1442">
        <v>2566</v>
      </c>
      <c r="C1442" t="s">
        <v>2831</v>
      </c>
      <c r="D1442" t="s">
        <v>86</v>
      </c>
      <c r="E1442" t="s">
        <v>151</v>
      </c>
      <c r="F1442" t="s">
        <v>2832</v>
      </c>
      <c r="G1442" t="str">
        <f>"00323872"</f>
        <v>00323872</v>
      </c>
      <c r="H1442" t="s">
        <v>568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84</v>
      </c>
      <c r="W1442">
        <v>588</v>
      </c>
      <c r="X1442">
        <v>0</v>
      </c>
      <c r="Z1442">
        <v>0</v>
      </c>
      <c r="AA1442">
        <v>0</v>
      </c>
      <c r="AB1442">
        <v>0</v>
      </c>
      <c r="AC1442">
        <v>0</v>
      </c>
      <c r="AD1442" t="s">
        <v>2829</v>
      </c>
    </row>
    <row r="1443" spans="1:30" x14ac:dyDescent="0.25">
      <c r="H1443" t="s">
        <v>2833</v>
      </c>
    </row>
    <row r="1444" spans="1:30" x14ac:dyDescent="0.25">
      <c r="A1444">
        <v>719</v>
      </c>
      <c r="B1444">
        <v>6199</v>
      </c>
      <c r="C1444" t="s">
        <v>2834</v>
      </c>
      <c r="D1444" t="s">
        <v>98</v>
      </c>
      <c r="E1444" t="s">
        <v>51</v>
      </c>
      <c r="F1444" t="s">
        <v>2835</v>
      </c>
      <c r="G1444" t="str">
        <f>"200806000999"</f>
        <v>200806000999</v>
      </c>
      <c r="H1444" t="s">
        <v>2836</v>
      </c>
      <c r="I1444">
        <v>150</v>
      </c>
      <c r="J1444">
        <v>0</v>
      </c>
      <c r="K1444">
        <v>0</v>
      </c>
      <c r="L1444">
        <v>0</v>
      </c>
      <c r="M1444">
        <v>0</v>
      </c>
      <c r="N1444">
        <v>30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53</v>
      </c>
      <c r="W1444">
        <v>371</v>
      </c>
      <c r="X1444">
        <v>0</v>
      </c>
      <c r="Z1444">
        <v>0</v>
      </c>
      <c r="AA1444">
        <v>0</v>
      </c>
      <c r="AB1444">
        <v>0</v>
      </c>
      <c r="AC1444">
        <v>0</v>
      </c>
      <c r="AD1444" t="s">
        <v>2837</v>
      </c>
    </row>
    <row r="1445" spans="1:30" x14ac:dyDescent="0.25">
      <c r="H1445" t="s">
        <v>2838</v>
      </c>
    </row>
    <row r="1446" spans="1:30" x14ac:dyDescent="0.25">
      <c r="A1446">
        <v>720</v>
      </c>
      <c r="B1446">
        <v>1881</v>
      </c>
      <c r="C1446" t="s">
        <v>2839</v>
      </c>
      <c r="D1446" t="s">
        <v>2840</v>
      </c>
      <c r="E1446" t="s">
        <v>595</v>
      </c>
      <c r="F1446" t="s">
        <v>2841</v>
      </c>
      <c r="G1446" t="str">
        <f>"201502002820"</f>
        <v>201502002820</v>
      </c>
      <c r="H1446" t="s">
        <v>293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30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84</v>
      </c>
      <c r="W1446">
        <v>588</v>
      </c>
      <c r="X1446">
        <v>0</v>
      </c>
      <c r="Z1446">
        <v>0</v>
      </c>
      <c r="AA1446">
        <v>0</v>
      </c>
      <c r="AB1446">
        <v>0</v>
      </c>
      <c r="AC1446">
        <v>0</v>
      </c>
      <c r="AD1446" t="s">
        <v>2842</v>
      </c>
    </row>
    <row r="1447" spans="1:30" x14ac:dyDescent="0.25">
      <c r="H1447" t="s">
        <v>2843</v>
      </c>
    </row>
    <row r="1448" spans="1:30" x14ac:dyDescent="0.25">
      <c r="A1448">
        <v>721</v>
      </c>
      <c r="B1448">
        <v>6151</v>
      </c>
      <c r="C1448" t="s">
        <v>2844</v>
      </c>
      <c r="D1448" t="s">
        <v>40</v>
      </c>
      <c r="E1448" t="s">
        <v>144</v>
      </c>
      <c r="F1448" t="s">
        <v>2845</v>
      </c>
      <c r="G1448" t="str">
        <f>"200802005130"</f>
        <v>200802005130</v>
      </c>
      <c r="H1448" t="s">
        <v>2846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30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67</v>
      </c>
      <c r="W1448">
        <v>469</v>
      </c>
      <c r="X1448">
        <v>0</v>
      </c>
      <c r="Z1448">
        <v>0</v>
      </c>
      <c r="AA1448">
        <v>0</v>
      </c>
      <c r="AB1448">
        <v>0</v>
      </c>
      <c r="AC1448">
        <v>0</v>
      </c>
      <c r="AD1448" t="s">
        <v>2847</v>
      </c>
    </row>
    <row r="1449" spans="1:30" x14ac:dyDescent="0.25">
      <c r="H1449" t="s">
        <v>2848</v>
      </c>
    </row>
    <row r="1450" spans="1:30" x14ac:dyDescent="0.25">
      <c r="A1450">
        <v>722</v>
      </c>
      <c r="B1450">
        <v>1941</v>
      </c>
      <c r="C1450" t="s">
        <v>2849</v>
      </c>
      <c r="D1450" t="s">
        <v>14</v>
      </c>
      <c r="E1450" t="s">
        <v>449</v>
      </c>
      <c r="F1450" t="s">
        <v>2850</v>
      </c>
      <c r="G1450" t="str">
        <f>"00255361"</f>
        <v>00255361</v>
      </c>
      <c r="H1450">
        <v>913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30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0</v>
      </c>
      <c r="W1450">
        <v>0</v>
      </c>
      <c r="X1450">
        <v>0</v>
      </c>
      <c r="Z1450">
        <v>0</v>
      </c>
      <c r="AA1450">
        <v>0</v>
      </c>
      <c r="AB1450">
        <v>24</v>
      </c>
      <c r="AC1450">
        <v>408</v>
      </c>
      <c r="AD1450">
        <v>1351</v>
      </c>
    </row>
    <row r="1451" spans="1:30" x14ac:dyDescent="0.25">
      <c r="H1451" t="s">
        <v>2851</v>
      </c>
    </row>
    <row r="1452" spans="1:30" x14ac:dyDescent="0.25">
      <c r="A1452">
        <v>723</v>
      </c>
      <c r="B1452">
        <v>2803</v>
      </c>
      <c r="C1452" t="s">
        <v>2852</v>
      </c>
      <c r="D1452" t="s">
        <v>1275</v>
      </c>
      <c r="E1452" t="s">
        <v>190</v>
      </c>
      <c r="F1452" t="s">
        <v>2853</v>
      </c>
      <c r="G1452" t="str">
        <f>"200712003088"</f>
        <v>200712003088</v>
      </c>
      <c r="H1452">
        <v>693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70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84</v>
      </c>
      <c r="W1452">
        <v>588</v>
      </c>
      <c r="X1452">
        <v>0</v>
      </c>
      <c r="Z1452">
        <v>0</v>
      </c>
      <c r="AA1452">
        <v>0</v>
      </c>
      <c r="AB1452">
        <v>0</v>
      </c>
      <c r="AC1452">
        <v>0</v>
      </c>
      <c r="AD1452">
        <v>1351</v>
      </c>
    </row>
    <row r="1453" spans="1:30" x14ac:dyDescent="0.25">
      <c r="H1453" t="s">
        <v>2854</v>
      </c>
    </row>
    <row r="1454" spans="1:30" x14ac:dyDescent="0.25">
      <c r="A1454">
        <v>724</v>
      </c>
      <c r="B1454">
        <v>3486</v>
      </c>
      <c r="C1454" t="s">
        <v>2855</v>
      </c>
      <c r="D1454" t="s">
        <v>166</v>
      </c>
      <c r="E1454" t="s">
        <v>47</v>
      </c>
      <c r="F1454" t="s">
        <v>2856</v>
      </c>
      <c r="G1454" t="str">
        <f>"201604001634"</f>
        <v>201604001634</v>
      </c>
      <c r="H1454">
        <v>693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70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84</v>
      </c>
      <c r="W1454">
        <v>588</v>
      </c>
      <c r="X1454">
        <v>0</v>
      </c>
      <c r="Z1454">
        <v>0</v>
      </c>
      <c r="AA1454">
        <v>0</v>
      </c>
      <c r="AB1454">
        <v>0</v>
      </c>
      <c r="AC1454">
        <v>0</v>
      </c>
      <c r="AD1454">
        <v>1351</v>
      </c>
    </row>
    <row r="1455" spans="1:30" x14ac:dyDescent="0.25">
      <c r="H1455" t="s">
        <v>2857</v>
      </c>
    </row>
    <row r="1456" spans="1:30" x14ac:dyDescent="0.25">
      <c r="A1456">
        <v>725</v>
      </c>
      <c r="B1456">
        <v>1762</v>
      </c>
      <c r="C1456" t="s">
        <v>2095</v>
      </c>
      <c r="D1456" t="s">
        <v>114</v>
      </c>
      <c r="E1456" t="s">
        <v>33</v>
      </c>
      <c r="F1456" t="s">
        <v>2858</v>
      </c>
      <c r="G1456" t="str">
        <f>"201511037671"</f>
        <v>201511037671</v>
      </c>
      <c r="H1456" t="s">
        <v>2242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79</v>
      </c>
      <c r="W1456">
        <v>553</v>
      </c>
      <c r="X1456">
        <v>0</v>
      </c>
      <c r="Z1456">
        <v>0</v>
      </c>
      <c r="AA1456">
        <v>0</v>
      </c>
      <c r="AB1456">
        <v>5</v>
      </c>
      <c r="AC1456">
        <v>85</v>
      </c>
      <c r="AD1456" t="s">
        <v>2859</v>
      </c>
    </row>
    <row r="1457" spans="1:30" x14ac:dyDescent="0.25">
      <c r="H1457">
        <v>1248</v>
      </c>
    </row>
    <row r="1458" spans="1:30" x14ac:dyDescent="0.25">
      <c r="A1458">
        <v>726</v>
      </c>
      <c r="B1458">
        <v>4986</v>
      </c>
      <c r="C1458" t="s">
        <v>2860</v>
      </c>
      <c r="D1458" t="s">
        <v>694</v>
      </c>
      <c r="E1458" t="s">
        <v>40</v>
      </c>
      <c r="F1458" t="s">
        <v>2861</v>
      </c>
      <c r="G1458" t="str">
        <f>"00158970"</f>
        <v>00158970</v>
      </c>
      <c r="H1458" t="s">
        <v>1371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84</v>
      </c>
      <c r="W1458">
        <v>588</v>
      </c>
      <c r="X1458">
        <v>0</v>
      </c>
      <c r="Z1458">
        <v>1</v>
      </c>
      <c r="AA1458">
        <v>0</v>
      </c>
      <c r="AB1458">
        <v>0</v>
      </c>
      <c r="AC1458">
        <v>0</v>
      </c>
      <c r="AD1458" t="s">
        <v>2862</v>
      </c>
    </row>
    <row r="1459" spans="1:30" x14ac:dyDescent="0.25">
      <c r="H1459" t="s">
        <v>2863</v>
      </c>
    </row>
    <row r="1460" spans="1:30" x14ac:dyDescent="0.25">
      <c r="A1460">
        <v>727</v>
      </c>
      <c r="B1460">
        <v>1679</v>
      </c>
      <c r="C1460" t="s">
        <v>2864</v>
      </c>
      <c r="D1460" t="s">
        <v>162</v>
      </c>
      <c r="E1460" t="s">
        <v>47</v>
      </c>
      <c r="F1460" t="s">
        <v>2865</v>
      </c>
      <c r="G1460" t="str">
        <f>"00110608"</f>
        <v>00110608</v>
      </c>
      <c r="H1460" t="s">
        <v>2866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30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76</v>
      </c>
      <c r="W1460">
        <v>532</v>
      </c>
      <c r="X1460">
        <v>0</v>
      </c>
      <c r="Z1460">
        <v>0</v>
      </c>
      <c r="AA1460">
        <v>0</v>
      </c>
      <c r="AB1460">
        <v>8</v>
      </c>
      <c r="AC1460">
        <v>136</v>
      </c>
      <c r="AD1460" t="s">
        <v>2862</v>
      </c>
    </row>
    <row r="1461" spans="1:30" x14ac:dyDescent="0.25">
      <c r="H1461" t="s">
        <v>2867</v>
      </c>
    </row>
    <row r="1462" spans="1:30" x14ac:dyDescent="0.25">
      <c r="A1462">
        <v>728</v>
      </c>
      <c r="B1462">
        <v>5730</v>
      </c>
      <c r="C1462" t="s">
        <v>2868</v>
      </c>
      <c r="D1462" t="s">
        <v>2869</v>
      </c>
      <c r="E1462" t="s">
        <v>107</v>
      </c>
      <c r="F1462" t="s">
        <v>2870</v>
      </c>
      <c r="G1462" t="str">
        <f>"200801011470"</f>
        <v>200801011470</v>
      </c>
      <c r="H1462" t="s">
        <v>117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30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84</v>
      </c>
      <c r="W1462">
        <v>588</v>
      </c>
      <c r="X1462">
        <v>0</v>
      </c>
      <c r="Z1462">
        <v>0</v>
      </c>
      <c r="AA1462">
        <v>0</v>
      </c>
      <c r="AB1462">
        <v>0</v>
      </c>
      <c r="AC1462">
        <v>0</v>
      </c>
      <c r="AD1462" t="s">
        <v>2871</v>
      </c>
    </row>
    <row r="1463" spans="1:30" x14ac:dyDescent="0.25">
      <c r="H1463">
        <v>1247</v>
      </c>
    </row>
    <row r="1464" spans="1:30" x14ac:dyDescent="0.25">
      <c r="A1464">
        <v>729</v>
      </c>
      <c r="B1464">
        <v>2441</v>
      </c>
      <c r="C1464" t="s">
        <v>2872</v>
      </c>
      <c r="D1464" t="s">
        <v>98</v>
      </c>
      <c r="E1464" t="s">
        <v>51</v>
      </c>
      <c r="F1464" t="s">
        <v>2873</v>
      </c>
      <c r="G1464" t="str">
        <f>"200901000679"</f>
        <v>200901000679</v>
      </c>
      <c r="H1464" t="s">
        <v>2742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50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80</v>
      </c>
      <c r="W1464">
        <v>560</v>
      </c>
      <c r="X1464">
        <v>0</v>
      </c>
      <c r="Z1464">
        <v>0</v>
      </c>
      <c r="AA1464">
        <v>0</v>
      </c>
      <c r="AB1464">
        <v>0</v>
      </c>
      <c r="AC1464">
        <v>0</v>
      </c>
      <c r="AD1464" t="s">
        <v>2874</v>
      </c>
    </row>
    <row r="1465" spans="1:30" x14ac:dyDescent="0.25">
      <c r="H1465" t="s">
        <v>2875</v>
      </c>
    </row>
    <row r="1466" spans="1:30" x14ac:dyDescent="0.25">
      <c r="A1466">
        <v>730</v>
      </c>
      <c r="B1466">
        <v>4438</v>
      </c>
      <c r="C1466" t="s">
        <v>2352</v>
      </c>
      <c r="D1466" t="s">
        <v>1039</v>
      </c>
      <c r="E1466" t="s">
        <v>107</v>
      </c>
      <c r="F1466" t="s">
        <v>2876</v>
      </c>
      <c r="G1466" t="str">
        <f>"201401001910"</f>
        <v>201401001910</v>
      </c>
      <c r="H1466" t="s">
        <v>1315</v>
      </c>
      <c r="I1466">
        <v>0</v>
      </c>
      <c r="J1466">
        <v>0</v>
      </c>
      <c r="K1466">
        <v>0</v>
      </c>
      <c r="L1466">
        <v>200</v>
      </c>
      <c r="M1466">
        <v>0</v>
      </c>
      <c r="N1466">
        <v>70</v>
      </c>
      <c r="O1466">
        <v>30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50</v>
      </c>
      <c r="W1466">
        <v>350</v>
      </c>
      <c r="X1466">
        <v>0</v>
      </c>
      <c r="Z1466">
        <v>0</v>
      </c>
      <c r="AA1466">
        <v>0</v>
      </c>
      <c r="AB1466">
        <v>0</v>
      </c>
      <c r="AC1466">
        <v>0</v>
      </c>
      <c r="AD1466" t="s">
        <v>2877</v>
      </c>
    </row>
    <row r="1467" spans="1:30" x14ac:dyDescent="0.25">
      <c r="H1467" t="s">
        <v>2878</v>
      </c>
    </row>
    <row r="1468" spans="1:30" x14ac:dyDescent="0.25">
      <c r="A1468">
        <v>731</v>
      </c>
      <c r="B1468">
        <v>6214</v>
      </c>
      <c r="C1468" t="s">
        <v>2879</v>
      </c>
      <c r="D1468" t="s">
        <v>335</v>
      </c>
      <c r="E1468" t="s">
        <v>40</v>
      </c>
      <c r="F1468" t="s">
        <v>2880</v>
      </c>
      <c r="G1468" t="str">
        <f>"00369323"</f>
        <v>00369323</v>
      </c>
      <c r="H1468" t="s">
        <v>258</v>
      </c>
      <c r="I1468">
        <v>0</v>
      </c>
      <c r="J1468">
        <v>0</v>
      </c>
      <c r="K1468">
        <v>0</v>
      </c>
      <c r="L1468">
        <v>0</v>
      </c>
      <c r="M1468">
        <v>100</v>
      </c>
      <c r="N1468">
        <v>30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2</v>
      </c>
      <c r="W1468">
        <v>14</v>
      </c>
      <c r="X1468">
        <v>0</v>
      </c>
      <c r="Z1468">
        <v>0</v>
      </c>
      <c r="AA1468">
        <v>0</v>
      </c>
      <c r="AB1468">
        <v>24</v>
      </c>
      <c r="AC1468">
        <v>408</v>
      </c>
      <c r="AD1468" t="s">
        <v>2881</v>
      </c>
    </row>
    <row r="1469" spans="1:30" x14ac:dyDescent="0.25">
      <c r="H1469" t="s">
        <v>579</v>
      </c>
    </row>
    <row r="1470" spans="1:30" x14ac:dyDescent="0.25">
      <c r="A1470">
        <v>732</v>
      </c>
      <c r="B1470">
        <v>3699</v>
      </c>
      <c r="C1470" t="s">
        <v>2882</v>
      </c>
      <c r="D1470" t="s">
        <v>75</v>
      </c>
      <c r="E1470" t="s">
        <v>162</v>
      </c>
      <c r="F1470" t="s">
        <v>2883</v>
      </c>
      <c r="G1470" t="str">
        <f>"00144856"</f>
        <v>00144856</v>
      </c>
      <c r="H1470" t="s">
        <v>204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30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84</v>
      </c>
      <c r="W1470">
        <v>588</v>
      </c>
      <c r="X1470">
        <v>0</v>
      </c>
      <c r="Z1470">
        <v>0</v>
      </c>
      <c r="AA1470">
        <v>0</v>
      </c>
      <c r="AB1470">
        <v>0</v>
      </c>
      <c r="AC1470">
        <v>0</v>
      </c>
      <c r="AD1470" t="s">
        <v>2881</v>
      </c>
    </row>
    <row r="1471" spans="1:30" x14ac:dyDescent="0.25">
      <c r="H1471" t="s">
        <v>2884</v>
      </c>
    </row>
    <row r="1472" spans="1:30" x14ac:dyDescent="0.25">
      <c r="A1472">
        <v>733</v>
      </c>
      <c r="B1472">
        <v>1402</v>
      </c>
      <c r="C1472" t="s">
        <v>2885</v>
      </c>
      <c r="D1472" t="s">
        <v>47</v>
      </c>
      <c r="E1472" t="s">
        <v>107</v>
      </c>
      <c r="F1472" t="s">
        <v>2886</v>
      </c>
      <c r="G1472" t="str">
        <f>"201001000442"</f>
        <v>201001000442</v>
      </c>
      <c r="H1472" t="s">
        <v>769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84</v>
      </c>
      <c r="W1472">
        <v>588</v>
      </c>
      <c r="X1472">
        <v>0</v>
      </c>
      <c r="Z1472">
        <v>0</v>
      </c>
      <c r="AA1472">
        <v>0</v>
      </c>
      <c r="AB1472">
        <v>0</v>
      </c>
      <c r="AC1472">
        <v>0</v>
      </c>
      <c r="AD1472" t="s">
        <v>2887</v>
      </c>
    </row>
    <row r="1473" spans="1:30" x14ac:dyDescent="0.25">
      <c r="H1473" t="s">
        <v>2888</v>
      </c>
    </row>
    <row r="1474" spans="1:30" x14ac:dyDescent="0.25">
      <c r="A1474">
        <v>734</v>
      </c>
      <c r="B1474">
        <v>6015</v>
      </c>
      <c r="C1474" t="s">
        <v>2889</v>
      </c>
      <c r="D1474" t="s">
        <v>2890</v>
      </c>
      <c r="E1474" t="s">
        <v>2891</v>
      </c>
      <c r="F1474" t="s">
        <v>2892</v>
      </c>
      <c r="G1474" t="str">
        <f>"201412004250"</f>
        <v>201412004250</v>
      </c>
      <c r="H1474">
        <v>891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30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61</v>
      </c>
      <c r="W1474">
        <v>427</v>
      </c>
      <c r="X1474">
        <v>0</v>
      </c>
      <c r="Z1474">
        <v>0</v>
      </c>
      <c r="AA1474">
        <v>0</v>
      </c>
      <c r="AB1474">
        <v>0</v>
      </c>
      <c r="AC1474">
        <v>0</v>
      </c>
      <c r="AD1474">
        <v>1348</v>
      </c>
    </row>
    <row r="1475" spans="1:30" x14ac:dyDescent="0.25">
      <c r="H1475">
        <v>1247</v>
      </c>
    </row>
    <row r="1476" spans="1:30" x14ac:dyDescent="0.25">
      <c r="A1476">
        <v>735</v>
      </c>
      <c r="B1476">
        <v>4061</v>
      </c>
      <c r="C1476" t="s">
        <v>2893</v>
      </c>
      <c r="D1476" t="s">
        <v>182</v>
      </c>
      <c r="E1476" t="s">
        <v>40</v>
      </c>
      <c r="F1476" t="s">
        <v>2894</v>
      </c>
      <c r="G1476" t="str">
        <f>"200805000833"</f>
        <v>200805000833</v>
      </c>
      <c r="H1476" t="s">
        <v>553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50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43</v>
      </c>
      <c r="W1476">
        <v>301</v>
      </c>
      <c r="X1476">
        <v>0</v>
      </c>
      <c r="Z1476">
        <v>0</v>
      </c>
      <c r="AA1476">
        <v>0</v>
      </c>
      <c r="AB1476">
        <v>11</v>
      </c>
      <c r="AC1476">
        <v>187</v>
      </c>
      <c r="AD1476" t="s">
        <v>2895</v>
      </c>
    </row>
    <row r="1477" spans="1:30" x14ac:dyDescent="0.25">
      <c r="H1477" t="s">
        <v>2896</v>
      </c>
    </row>
    <row r="1478" spans="1:30" x14ac:dyDescent="0.25">
      <c r="A1478">
        <v>736</v>
      </c>
      <c r="B1478">
        <v>3849</v>
      </c>
      <c r="C1478" t="s">
        <v>2897</v>
      </c>
      <c r="D1478" t="s">
        <v>190</v>
      </c>
      <c r="E1478" t="s">
        <v>39</v>
      </c>
      <c r="F1478" t="s">
        <v>2898</v>
      </c>
      <c r="G1478" t="str">
        <f>"201506003407"</f>
        <v>201506003407</v>
      </c>
      <c r="H1478" t="s">
        <v>388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30</v>
      </c>
      <c r="O1478">
        <v>30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84</v>
      </c>
      <c r="W1478">
        <v>588</v>
      </c>
      <c r="X1478">
        <v>0</v>
      </c>
      <c r="Z1478">
        <v>0</v>
      </c>
      <c r="AA1478">
        <v>0</v>
      </c>
      <c r="AB1478">
        <v>0</v>
      </c>
      <c r="AC1478">
        <v>0</v>
      </c>
      <c r="AD1478" t="s">
        <v>2895</v>
      </c>
    </row>
    <row r="1479" spans="1:30" x14ac:dyDescent="0.25">
      <c r="H1479" t="s">
        <v>2899</v>
      </c>
    </row>
    <row r="1480" spans="1:30" x14ac:dyDescent="0.25">
      <c r="A1480">
        <v>737</v>
      </c>
      <c r="B1480">
        <v>6208</v>
      </c>
      <c r="C1480" t="s">
        <v>2900</v>
      </c>
      <c r="D1480" t="s">
        <v>2901</v>
      </c>
      <c r="E1480" t="s">
        <v>40</v>
      </c>
      <c r="F1480" t="s">
        <v>2902</v>
      </c>
      <c r="G1480" t="str">
        <f>"00028958"</f>
        <v>00028958</v>
      </c>
      <c r="H1480" t="s">
        <v>311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30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84</v>
      </c>
      <c r="W1480">
        <v>588</v>
      </c>
      <c r="X1480">
        <v>0</v>
      </c>
      <c r="Z1480">
        <v>0</v>
      </c>
      <c r="AA1480">
        <v>0</v>
      </c>
      <c r="AB1480">
        <v>0</v>
      </c>
      <c r="AC1480">
        <v>0</v>
      </c>
      <c r="AD1480" t="s">
        <v>2903</v>
      </c>
    </row>
    <row r="1481" spans="1:30" x14ac:dyDescent="0.25">
      <c r="H1481" t="s">
        <v>2904</v>
      </c>
    </row>
    <row r="1482" spans="1:30" x14ac:dyDescent="0.25">
      <c r="A1482">
        <v>738</v>
      </c>
      <c r="B1482">
        <v>4858</v>
      </c>
      <c r="C1482" t="s">
        <v>2905</v>
      </c>
      <c r="D1482" t="s">
        <v>1145</v>
      </c>
      <c r="E1482" t="s">
        <v>47</v>
      </c>
      <c r="F1482" t="s">
        <v>2906</v>
      </c>
      <c r="G1482" t="str">
        <f>"00185275"</f>
        <v>00185275</v>
      </c>
      <c r="H1482" t="s">
        <v>311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30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84</v>
      </c>
      <c r="W1482">
        <v>588</v>
      </c>
      <c r="X1482">
        <v>0</v>
      </c>
      <c r="Z1482">
        <v>0</v>
      </c>
      <c r="AA1482">
        <v>0</v>
      </c>
      <c r="AB1482">
        <v>0</v>
      </c>
      <c r="AC1482">
        <v>0</v>
      </c>
      <c r="AD1482" t="s">
        <v>2903</v>
      </c>
    </row>
    <row r="1483" spans="1:30" x14ac:dyDescent="0.25">
      <c r="H1483" t="s">
        <v>2907</v>
      </c>
    </row>
    <row r="1484" spans="1:30" x14ac:dyDescent="0.25">
      <c r="A1484">
        <v>739</v>
      </c>
      <c r="B1484">
        <v>786</v>
      </c>
      <c r="C1484" t="s">
        <v>2908</v>
      </c>
      <c r="D1484" t="s">
        <v>91</v>
      </c>
      <c r="E1484" t="s">
        <v>40</v>
      </c>
      <c r="F1484" t="s">
        <v>2909</v>
      </c>
      <c r="G1484" t="str">
        <f>"00230263"</f>
        <v>00230263</v>
      </c>
      <c r="H1484">
        <v>759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84</v>
      </c>
      <c r="W1484">
        <v>588</v>
      </c>
      <c r="X1484">
        <v>0</v>
      </c>
      <c r="Z1484">
        <v>0</v>
      </c>
      <c r="AA1484">
        <v>0</v>
      </c>
      <c r="AB1484">
        <v>0</v>
      </c>
      <c r="AC1484">
        <v>0</v>
      </c>
      <c r="AD1484">
        <v>1347</v>
      </c>
    </row>
    <row r="1485" spans="1:30" x14ac:dyDescent="0.25">
      <c r="H1485" t="s">
        <v>2910</v>
      </c>
    </row>
    <row r="1486" spans="1:30" x14ac:dyDescent="0.25">
      <c r="A1486">
        <v>740</v>
      </c>
      <c r="B1486">
        <v>385</v>
      </c>
      <c r="C1486" t="s">
        <v>2911</v>
      </c>
      <c r="D1486" t="s">
        <v>162</v>
      </c>
      <c r="E1486" t="s">
        <v>468</v>
      </c>
      <c r="F1486" t="s">
        <v>2912</v>
      </c>
      <c r="G1486" t="str">
        <f>"00239047"</f>
        <v>00239047</v>
      </c>
      <c r="H1486">
        <v>759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84</v>
      </c>
      <c r="W1486">
        <v>588</v>
      </c>
      <c r="X1486">
        <v>0</v>
      </c>
      <c r="Z1486">
        <v>2</v>
      </c>
      <c r="AA1486">
        <v>0</v>
      </c>
      <c r="AB1486">
        <v>0</v>
      </c>
      <c r="AC1486">
        <v>0</v>
      </c>
      <c r="AD1486">
        <v>1347</v>
      </c>
    </row>
    <row r="1487" spans="1:30" x14ac:dyDescent="0.25">
      <c r="H1487" t="s">
        <v>2913</v>
      </c>
    </row>
    <row r="1488" spans="1:30" x14ac:dyDescent="0.25">
      <c r="A1488">
        <v>741</v>
      </c>
      <c r="B1488">
        <v>393</v>
      </c>
      <c r="C1488" t="s">
        <v>2914</v>
      </c>
      <c r="D1488" t="s">
        <v>335</v>
      </c>
      <c r="E1488" t="s">
        <v>47</v>
      </c>
      <c r="F1488" t="s">
        <v>2915</v>
      </c>
      <c r="G1488" t="str">
        <f>"201412005326"</f>
        <v>201412005326</v>
      </c>
      <c r="H1488" t="s">
        <v>1774</v>
      </c>
      <c r="I1488">
        <v>0</v>
      </c>
      <c r="J1488">
        <v>0</v>
      </c>
      <c r="K1488">
        <v>0</v>
      </c>
      <c r="L1488">
        <v>200</v>
      </c>
      <c r="M1488">
        <v>0</v>
      </c>
      <c r="N1488">
        <v>70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34</v>
      </c>
      <c r="W1488">
        <v>238</v>
      </c>
      <c r="X1488">
        <v>0</v>
      </c>
      <c r="Z1488">
        <v>0</v>
      </c>
      <c r="AA1488">
        <v>0</v>
      </c>
      <c r="AB1488">
        <v>0</v>
      </c>
      <c r="AC1488">
        <v>0</v>
      </c>
      <c r="AD1488" t="s">
        <v>2916</v>
      </c>
    </row>
    <row r="1489" spans="1:30" x14ac:dyDescent="0.25">
      <c r="H1489" t="s">
        <v>2917</v>
      </c>
    </row>
    <row r="1490" spans="1:30" x14ac:dyDescent="0.25">
      <c r="A1490">
        <v>742</v>
      </c>
      <c r="B1490">
        <v>3760</v>
      </c>
      <c r="C1490" t="s">
        <v>2918</v>
      </c>
      <c r="D1490" t="s">
        <v>636</v>
      </c>
      <c r="E1490" t="s">
        <v>51</v>
      </c>
      <c r="F1490" t="s">
        <v>2919</v>
      </c>
      <c r="G1490" t="str">
        <f>"200802007282"</f>
        <v>200802007282</v>
      </c>
      <c r="H1490" t="s">
        <v>574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30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84</v>
      </c>
      <c r="W1490">
        <v>588</v>
      </c>
      <c r="X1490">
        <v>0</v>
      </c>
      <c r="Z1490">
        <v>0</v>
      </c>
      <c r="AA1490">
        <v>0</v>
      </c>
      <c r="AB1490">
        <v>0</v>
      </c>
      <c r="AC1490">
        <v>0</v>
      </c>
      <c r="AD1490" t="s">
        <v>2916</v>
      </c>
    </row>
    <row r="1491" spans="1:30" x14ac:dyDescent="0.25">
      <c r="H1491" t="s">
        <v>2920</v>
      </c>
    </row>
    <row r="1492" spans="1:30" x14ac:dyDescent="0.25">
      <c r="A1492">
        <v>743</v>
      </c>
      <c r="B1492">
        <v>5144</v>
      </c>
      <c r="C1492" t="s">
        <v>2921</v>
      </c>
      <c r="D1492" t="s">
        <v>2922</v>
      </c>
      <c r="E1492" t="s">
        <v>2426</v>
      </c>
      <c r="F1492" t="s">
        <v>2923</v>
      </c>
      <c r="G1492" t="str">
        <f>"00225552"</f>
        <v>00225552</v>
      </c>
      <c r="H1492" t="s">
        <v>2545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84</v>
      </c>
      <c r="W1492">
        <v>588</v>
      </c>
      <c r="X1492">
        <v>0</v>
      </c>
      <c r="Z1492">
        <v>0</v>
      </c>
      <c r="AA1492">
        <v>0</v>
      </c>
      <c r="AB1492">
        <v>0</v>
      </c>
      <c r="AC1492">
        <v>0</v>
      </c>
      <c r="AD1492" t="s">
        <v>2924</v>
      </c>
    </row>
    <row r="1493" spans="1:30" x14ac:dyDescent="0.25">
      <c r="H1493" t="s">
        <v>2925</v>
      </c>
    </row>
    <row r="1494" spans="1:30" x14ac:dyDescent="0.25">
      <c r="A1494">
        <v>744</v>
      </c>
      <c r="B1494">
        <v>4555</v>
      </c>
      <c r="C1494" t="s">
        <v>2926</v>
      </c>
      <c r="D1494" t="s">
        <v>32</v>
      </c>
      <c r="E1494" t="s">
        <v>40</v>
      </c>
      <c r="F1494" t="s">
        <v>2927</v>
      </c>
      <c r="G1494" t="str">
        <f>"00369673"</f>
        <v>00369673</v>
      </c>
      <c r="H1494" t="s">
        <v>2928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30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84</v>
      </c>
      <c r="W1494">
        <v>588</v>
      </c>
      <c r="X1494">
        <v>0</v>
      </c>
      <c r="Z1494">
        <v>0</v>
      </c>
      <c r="AA1494">
        <v>0</v>
      </c>
      <c r="AB1494">
        <v>0</v>
      </c>
      <c r="AC1494">
        <v>0</v>
      </c>
      <c r="AD1494" t="s">
        <v>2929</v>
      </c>
    </row>
    <row r="1495" spans="1:30" x14ac:dyDescent="0.25">
      <c r="H1495" t="s">
        <v>2303</v>
      </c>
    </row>
    <row r="1496" spans="1:30" x14ac:dyDescent="0.25">
      <c r="A1496">
        <v>745</v>
      </c>
      <c r="B1496">
        <v>3418</v>
      </c>
      <c r="C1496" t="s">
        <v>986</v>
      </c>
      <c r="D1496" t="s">
        <v>223</v>
      </c>
      <c r="E1496" t="s">
        <v>183</v>
      </c>
      <c r="F1496" t="s">
        <v>2930</v>
      </c>
      <c r="G1496" t="str">
        <f>"00334771"</f>
        <v>00334771</v>
      </c>
      <c r="H1496" t="s">
        <v>2928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30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84</v>
      </c>
      <c r="W1496">
        <v>588</v>
      </c>
      <c r="X1496">
        <v>0</v>
      </c>
      <c r="Z1496">
        <v>0</v>
      </c>
      <c r="AA1496">
        <v>0</v>
      </c>
      <c r="AB1496">
        <v>0</v>
      </c>
      <c r="AC1496">
        <v>0</v>
      </c>
      <c r="AD1496" t="s">
        <v>2929</v>
      </c>
    </row>
    <row r="1497" spans="1:30" x14ac:dyDescent="0.25">
      <c r="H1497">
        <v>1249</v>
      </c>
    </row>
    <row r="1498" spans="1:30" x14ac:dyDescent="0.25">
      <c r="A1498">
        <v>746</v>
      </c>
      <c r="B1498">
        <v>2705</v>
      </c>
      <c r="C1498" t="s">
        <v>2931</v>
      </c>
      <c r="D1498" t="s">
        <v>75</v>
      </c>
      <c r="E1498" t="s">
        <v>2932</v>
      </c>
      <c r="F1498" t="s">
        <v>2933</v>
      </c>
      <c r="G1498" t="str">
        <f>"00201055"</f>
        <v>00201055</v>
      </c>
      <c r="H1498">
        <v>781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30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18</v>
      </c>
      <c r="W1498">
        <v>126</v>
      </c>
      <c r="X1498">
        <v>0</v>
      </c>
      <c r="Z1498">
        <v>0</v>
      </c>
      <c r="AA1498">
        <v>0</v>
      </c>
      <c r="AB1498">
        <v>24</v>
      </c>
      <c r="AC1498">
        <v>408</v>
      </c>
      <c r="AD1498">
        <v>1345</v>
      </c>
    </row>
    <row r="1499" spans="1:30" x14ac:dyDescent="0.25">
      <c r="H1499" t="s">
        <v>2934</v>
      </c>
    </row>
    <row r="1500" spans="1:30" x14ac:dyDescent="0.25">
      <c r="A1500">
        <v>747</v>
      </c>
      <c r="B1500">
        <v>3588</v>
      </c>
      <c r="C1500" t="s">
        <v>2935</v>
      </c>
      <c r="D1500" t="s">
        <v>40</v>
      </c>
      <c r="E1500" t="s">
        <v>39</v>
      </c>
      <c r="F1500" t="s">
        <v>2936</v>
      </c>
      <c r="G1500" t="str">
        <f>"00369658"</f>
        <v>00369658</v>
      </c>
      <c r="H1500" t="s">
        <v>2937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70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64</v>
      </c>
      <c r="W1500">
        <v>448</v>
      </c>
      <c r="X1500">
        <v>0</v>
      </c>
      <c r="Z1500">
        <v>0</v>
      </c>
      <c r="AA1500">
        <v>0</v>
      </c>
      <c r="AB1500">
        <v>12</v>
      </c>
      <c r="AC1500">
        <v>204</v>
      </c>
      <c r="AD1500" t="s">
        <v>2938</v>
      </c>
    </row>
    <row r="1501" spans="1:30" x14ac:dyDescent="0.25">
      <c r="H1501">
        <v>1247</v>
      </c>
    </row>
    <row r="1502" spans="1:30" x14ac:dyDescent="0.25">
      <c r="A1502">
        <v>748</v>
      </c>
      <c r="B1502">
        <v>4121</v>
      </c>
      <c r="C1502" t="s">
        <v>2939</v>
      </c>
      <c r="D1502" t="s">
        <v>1555</v>
      </c>
      <c r="E1502" t="s">
        <v>162</v>
      </c>
      <c r="F1502" t="s">
        <v>2940</v>
      </c>
      <c r="G1502" t="str">
        <f>"00358174"</f>
        <v>00358174</v>
      </c>
      <c r="H1502" t="s">
        <v>2941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30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36</v>
      </c>
      <c r="W1502">
        <v>252</v>
      </c>
      <c r="X1502">
        <v>0</v>
      </c>
      <c r="Z1502">
        <v>0</v>
      </c>
      <c r="AA1502">
        <v>0</v>
      </c>
      <c r="AB1502">
        <v>24</v>
      </c>
      <c r="AC1502">
        <v>408</v>
      </c>
      <c r="AD1502" t="s">
        <v>2942</v>
      </c>
    </row>
    <row r="1503" spans="1:30" x14ac:dyDescent="0.25">
      <c r="H1503" t="s">
        <v>2943</v>
      </c>
    </row>
    <row r="1504" spans="1:30" x14ac:dyDescent="0.25">
      <c r="A1504">
        <v>749</v>
      </c>
      <c r="B1504">
        <v>2836</v>
      </c>
      <c r="C1504" t="s">
        <v>2944</v>
      </c>
      <c r="D1504" t="s">
        <v>2713</v>
      </c>
      <c r="E1504" t="s">
        <v>238</v>
      </c>
      <c r="F1504" t="s">
        <v>2945</v>
      </c>
      <c r="G1504" t="str">
        <f>"00118057"</f>
        <v>00118057</v>
      </c>
      <c r="H1504">
        <v>726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30</v>
      </c>
      <c r="O1504">
        <v>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84</v>
      </c>
      <c r="W1504">
        <v>588</v>
      </c>
      <c r="X1504">
        <v>0</v>
      </c>
      <c r="Z1504">
        <v>0</v>
      </c>
      <c r="AA1504">
        <v>0</v>
      </c>
      <c r="AB1504">
        <v>0</v>
      </c>
      <c r="AC1504">
        <v>0</v>
      </c>
      <c r="AD1504">
        <v>1344</v>
      </c>
    </row>
    <row r="1505" spans="1:30" x14ac:dyDescent="0.25">
      <c r="H1505" t="s">
        <v>2946</v>
      </c>
    </row>
    <row r="1506" spans="1:30" x14ac:dyDescent="0.25">
      <c r="A1506">
        <v>750</v>
      </c>
      <c r="B1506">
        <v>6081</v>
      </c>
      <c r="C1506" t="s">
        <v>2947</v>
      </c>
      <c r="D1506" t="s">
        <v>176</v>
      </c>
      <c r="E1506" t="s">
        <v>47</v>
      </c>
      <c r="F1506" t="s">
        <v>2948</v>
      </c>
      <c r="G1506" t="str">
        <f>"00194807"</f>
        <v>00194807</v>
      </c>
      <c r="H1506">
        <v>726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30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84</v>
      </c>
      <c r="W1506">
        <v>588</v>
      </c>
      <c r="X1506">
        <v>0</v>
      </c>
      <c r="Z1506">
        <v>2</v>
      </c>
      <c r="AA1506">
        <v>0</v>
      </c>
      <c r="AB1506">
        <v>0</v>
      </c>
      <c r="AC1506">
        <v>0</v>
      </c>
      <c r="AD1506">
        <v>1344</v>
      </c>
    </row>
    <row r="1507" spans="1:30" x14ac:dyDescent="0.25">
      <c r="H1507" t="s">
        <v>2949</v>
      </c>
    </row>
    <row r="1508" spans="1:30" x14ac:dyDescent="0.25">
      <c r="A1508">
        <v>751</v>
      </c>
      <c r="B1508">
        <v>3552</v>
      </c>
      <c r="C1508" t="s">
        <v>2950</v>
      </c>
      <c r="D1508" t="s">
        <v>39</v>
      </c>
      <c r="E1508" t="s">
        <v>108</v>
      </c>
      <c r="F1508" t="s">
        <v>2951</v>
      </c>
      <c r="G1508" t="str">
        <f>"200801010760"</f>
        <v>200801010760</v>
      </c>
      <c r="H1508">
        <v>726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30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84</v>
      </c>
      <c r="W1508">
        <v>588</v>
      </c>
      <c r="X1508">
        <v>0</v>
      </c>
      <c r="Z1508">
        <v>0</v>
      </c>
      <c r="AA1508">
        <v>0</v>
      </c>
      <c r="AB1508">
        <v>0</v>
      </c>
      <c r="AC1508">
        <v>0</v>
      </c>
      <c r="AD1508">
        <v>1344</v>
      </c>
    </row>
    <row r="1509" spans="1:30" x14ac:dyDescent="0.25">
      <c r="H1509" t="s">
        <v>2952</v>
      </c>
    </row>
    <row r="1510" spans="1:30" x14ac:dyDescent="0.25">
      <c r="A1510">
        <v>752</v>
      </c>
      <c r="B1510">
        <v>3086</v>
      </c>
      <c r="C1510" t="s">
        <v>2953</v>
      </c>
      <c r="D1510" t="s">
        <v>75</v>
      </c>
      <c r="E1510" t="s">
        <v>40</v>
      </c>
      <c r="F1510" t="s">
        <v>2954</v>
      </c>
      <c r="G1510" t="str">
        <f>"00287619"</f>
        <v>00287619</v>
      </c>
      <c r="H1510">
        <v>726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30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84</v>
      </c>
      <c r="W1510">
        <v>588</v>
      </c>
      <c r="X1510">
        <v>0</v>
      </c>
      <c r="Z1510">
        <v>0</v>
      </c>
      <c r="AA1510">
        <v>0</v>
      </c>
      <c r="AB1510">
        <v>0</v>
      </c>
      <c r="AC1510">
        <v>0</v>
      </c>
      <c r="AD1510">
        <v>1344</v>
      </c>
    </row>
    <row r="1511" spans="1:30" x14ac:dyDescent="0.25">
      <c r="H1511" t="s">
        <v>2270</v>
      </c>
    </row>
    <row r="1512" spans="1:30" x14ac:dyDescent="0.25">
      <c r="A1512">
        <v>753</v>
      </c>
      <c r="B1512">
        <v>3432</v>
      </c>
      <c r="C1512" t="s">
        <v>2955</v>
      </c>
      <c r="D1512" t="s">
        <v>420</v>
      </c>
      <c r="E1512" t="s">
        <v>162</v>
      </c>
      <c r="F1512" t="s">
        <v>2956</v>
      </c>
      <c r="G1512" t="str">
        <f>"00361791"</f>
        <v>00361791</v>
      </c>
      <c r="H1512">
        <v>726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30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84</v>
      </c>
      <c r="W1512">
        <v>588</v>
      </c>
      <c r="X1512">
        <v>0</v>
      </c>
      <c r="Z1512">
        <v>0</v>
      </c>
      <c r="AA1512">
        <v>0</v>
      </c>
      <c r="AB1512">
        <v>0</v>
      </c>
      <c r="AC1512">
        <v>0</v>
      </c>
      <c r="AD1512">
        <v>1344</v>
      </c>
    </row>
    <row r="1513" spans="1:30" x14ac:dyDescent="0.25">
      <c r="H1513" t="s">
        <v>2957</v>
      </c>
    </row>
    <row r="1514" spans="1:30" x14ac:dyDescent="0.25">
      <c r="A1514">
        <v>754</v>
      </c>
      <c r="B1514">
        <v>5566</v>
      </c>
      <c r="C1514" t="s">
        <v>2958</v>
      </c>
      <c r="D1514" t="s">
        <v>1113</v>
      </c>
      <c r="E1514" t="s">
        <v>176</v>
      </c>
      <c r="F1514" t="s">
        <v>2959</v>
      </c>
      <c r="G1514" t="str">
        <f>"201511020740"</f>
        <v>201511020740</v>
      </c>
      <c r="H1514">
        <v>726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30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84</v>
      </c>
      <c r="W1514">
        <v>588</v>
      </c>
      <c r="X1514">
        <v>0</v>
      </c>
      <c r="Z1514">
        <v>0</v>
      </c>
      <c r="AA1514">
        <v>0</v>
      </c>
      <c r="AB1514">
        <v>0</v>
      </c>
      <c r="AC1514">
        <v>0</v>
      </c>
      <c r="AD1514">
        <v>1344</v>
      </c>
    </row>
    <row r="1515" spans="1:30" x14ac:dyDescent="0.25">
      <c r="H1515" t="s">
        <v>2960</v>
      </c>
    </row>
    <row r="1516" spans="1:30" x14ac:dyDescent="0.25">
      <c r="A1516">
        <v>755</v>
      </c>
      <c r="B1516">
        <v>5434</v>
      </c>
      <c r="C1516" t="s">
        <v>2961</v>
      </c>
      <c r="D1516" t="s">
        <v>509</v>
      </c>
      <c r="E1516" t="s">
        <v>140</v>
      </c>
      <c r="F1516" t="s">
        <v>2962</v>
      </c>
      <c r="G1516" t="str">
        <f>"00291397"</f>
        <v>00291397</v>
      </c>
      <c r="H1516">
        <v>726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30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84</v>
      </c>
      <c r="W1516">
        <v>588</v>
      </c>
      <c r="X1516">
        <v>0</v>
      </c>
      <c r="Z1516">
        <v>0</v>
      </c>
      <c r="AA1516">
        <v>0</v>
      </c>
      <c r="AB1516">
        <v>0</v>
      </c>
      <c r="AC1516">
        <v>0</v>
      </c>
      <c r="AD1516">
        <v>1344</v>
      </c>
    </row>
    <row r="1517" spans="1:30" x14ac:dyDescent="0.25">
      <c r="H1517" t="s">
        <v>2963</v>
      </c>
    </row>
    <row r="1518" spans="1:30" x14ac:dyDescent="0.25">
      <c r="A1518">
        <v>756</v>
      </c>
      <c r="B1518">
        <v>5829</v>
      </c>
      <c r="C1518" t="s">
        <v>2964</v>
      </c>
      <c r="D1518" t="s">
        <v>107</v>
      </c>
      <c r="E1518" t="s">
        <v>40</v>
      </c>
      <c r="F1518" t="s">
        <v>2965</v>
      </c>
      <c r="G1518" t="str">
        <f>"00359840"</f>
        <v>00359840</v>
      </c>
      <c r="H1518">
        <v>726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30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84</v>
      </c>
      <c r="W1518">
        <v>588</v>
      </c>
      <c r="X1518">
        <v>0</v>
      </c>
      <c r="Z1518">
        <v>0</v>
      </c>
      <c r="AA1518">
        <v>0</v>
      </c>
      <c r="AB1518">
        <v>0</v>
      </c>
      <c r="AC1518">
        <v>0</v>
      </c>
      <c r="AD1518">
        <v>1344</v>
      </c>
    </row>
    <row r="1519" spans="1:30" x14ac:dyDescent="0.25">
      <c r="H1519" t="s">
        <v>2966</v>
      </c>
    </row>
    <row r="1520" spans="1:30" x14ac:dyDescent="0.25">
      <c r="A1520">
        <v>757</v>
      </c>
      <c r="B1520">
        <v>5820</v>
      </c>
      <c r="C1520" t="s">
        <v>2967</v>
      </c>
      <c r="D1520" t="s">
        <v>75</v>
      </c>
      <c r="E1520" t="s">
        <v>47</v>
      </c>
      <c r="F1520" t="s">
        <v>2968</v>
      </c>
      <c r="G1520" t="str">
        <f>"201406006352"</f>
        <v>201406006352</v>
      </c>
      <c r="H1520">
        <v>726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30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84</v>
      </c>
      <c r="W1520">
        <v>588</v>
      </c>
      <c r="X1520">
        <v>0</v>
      </c>
      <c r="Z1520">
        <v>0</v>
      </c>
      <c r="AA1520">
        <v>0</v>
      </c>
      <c r="AB1520">
        <v>0</v>
      </c>
      <c r="AC1520">
        <v>0</v>
      </c>
      <c r="AD1520">
        <v>1344</v>
      </c>
    </row>
    <row r="1521" spans="1:30" x14ac:dyDescent="0.25">
      <c r="H1521">
        <v>1250</v>
      </c>
    </row>
    <row r="1522" spans="1:30" x14ac:dyDescent="0.25">
      <c r="A1522">
        <v>758</v>
      </c>
      <c r="B1522">
        <v>905</v>
      </c>
      <c r="C1522" t="s">
        <v>2969</v>
      </c>
      <c r="D1522" t="s">
        <v>830</v>
      </c>
      <c r="E1522" t="s">
        <v>1081</v>
      </c>
      <c r="F1522" t="s">
        <v>2970</v>
      </c>
      <c r="G1522" t="str">
        <f>"200808000099"</f>
        <v>200808000099</v>
      </c>
      <c r="H1522">
        <v>726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30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84</v>
      </c>
      <c r="W1522">
        <v>588</v>
      </c>
      <c r="X1522">
        <v>0</v>
      </c>
      <c r="Z1522">
        <v>0</v>
      </c>
      <c r="AA1522">
        <v>0</v>
      </c>
      <c r="AB1522">
        <v>0</v>
      </c>
      <c r="AC1522">
        <v>0</v>
      </c>
      <c r="AD1522">
        <v>1344</v>
      </c>
    </row>
    <row r="1523" spans="1:30" x14ac:dyDescent="0.25">
      <c r="H1523" t="s">
        <v>2971</v>
      </c>
    </row>
    <row r="1524" spans="1:30" x14ac:dyDescent="0.25">
      <c r="A1524">
        <v>759</v>
      </c>
      <c r="B1524">
        <v>1707</v>
      </c>
      <c r="C1524" t="s">
        <v>2972</v>
      </c>
      <c r="D1524" t="s">
        <v>420</v>
      </c>
      <c r="E1524" t="s">
        <v>47</v>
      </c>
      <c r="F1524" t="s">
        <v>2973</v>
      </c>
      <c r="G1524" t="str">
        <f>"201406015095"</f>
        <v>201406015095</v>
      </c>
      <c r="H1524" t="s">
        <v>2974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30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64</v>
      </c>
      <c r="W1524">
        <v>448</v>
      </c>
      <c r="X1524">
        <v>0</v>
      </c>
      <c r="Z1524">
        <v>2</v>
      </c>
      <c r="AA1524">
        <v>0</v>
      </c>
      <c r="AB1524">
        <v>0</v>
      </c>
      <c r="AC1524">
        <v>0</v>
      </c>
      <c r="AD1524" t="s">
        <v>2975</v>
      </c>
    </row>
    <row r="1525" spans="1:30" x14ac:dyDescent="0.25">
      <c r="H1525" t="s">
        <v>2976</v>
      </c>
    </row>
    <row r="1526" spans="1:30" x14ac:dyDescent="0.25">
      <c r="A1526">
        <v>760</v>
      </c>
      <c r="B1526">
        <v>3288</v>
      </c>
      <c r="C1526" t="s">
        <v>2977</v>
      </c>
      <c r="D1526" t="s">
        <v>143</v>
      </c>
      <c r="E1526" t="s">
        <v>40</v>
      </c>
      <c r="F1526" t="s">
        <v>2978</v>
      </c>
      <c r="G1526" t="str">
        <f>"00195592"</f>
        <v>00195592</v>
      </c>
      <c r="H1526" t="s">
        <v>519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70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74</v>
      </c>
      <c r="W1526">
        <v>518</v>
      </c>
      <c r="X1526">
        <v>0</v>
      </c>
      <c r="Z1526">
        <v>1</v>
      </c>
      <c r="AA1526">
        <v>0</v>
      </c>
      <c r="AB1526">
        <v>0</v>
      </c>
      <c r="AC1526">
        <v>0</v>
      </c>
      <c r="AD1526" t="s">
        <v>2975</v>
      </c>
    </row>
    <row r="1527" spans="1:30" x14ac:dyDescent="0.25">
      <c r="H1527" t="s">
        <v>2979</v>
      </c>
    </row>
    <row r="1528" spans="1:30" x14ac:dyDescent="0.25">
      <c r="A1528">
        <v>761</v>
      </c>
      <c r="B1528">
        <v>1633</v>
      </c>
      <c r="C1528" t="s">
        <v>2980</v>
      </c>
      <c r="D1528" t="s">
        <v>830</v>
      </c>
      <c r="E1528" t="s">
        <v>400</v>
      </c>
      <c r="F1528" t="s">
        <v>2981</v>
      </c>
      <c r="G1528" t="str">
        <f>"201406013120"</f>
        <v>201406013120</v>
      </c>
      <c r="H1528" t="s">
        <v>735</v>
      </c>
      <c r="I1528">
        <v>0</v>
      </c>
      <c r="J1528">
        <v>0</v>
      </c>
      <c r="K1528">
        <v>0</v>
      </c>
      <c r="L1528">
        <v>200</v>
      </c>
      <c r="M1528">
        <v>0</v>
      </c>
      <c r="N1528">
        <v>30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30</v>
      </c>
      <c r="W1528">
        <v>210</v>
      </c>
      <c r="X1528">
        <v>0</v>
      </c>
      <c r="Z1528">
        <v>0</v>
      </c>
      <c r="AA1528">
        <v>0</v>
      </c>
      <c r="AB1528">
        <v>5</v>
      </c>
      <c r="AC1528">
        <v>85</v>
      </c>
      <c r="AD1528" t="s">
        <v>2982</v>
      </c>
    </row>
    <row r="1529" spans="1:30" x14ac:dyDescent="0.25">
      <c r="H1529" t="s">
        <v>2983</v>
      </c>
    </row>
    <row r="1530" spans="1:30" x14ac:dyDescent="0.25">
      <c r="A1530">
        <v>762</v>
      </c>
      <c r="B1530">
        <v>931</v>
      </c>
      <c r="C1530" t="s">
        <v>2984</v>
      </c>
      <c r="D1530" t="s">
        <v>51</v>
      </c>
      <c r="E1530" t="s">
        <v>39</v>
      </c>
      <c r="F1530" t="s">
        <v>2985</v>
      </c>
      <c r="G1530" t="str">
        <f>"00297490"</f>
        <v>00297490</v>
      </c>
      <c r="H1530" t="s">
        <v>1949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30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84</v>
      </c>
      <c r="W1530">
        <v>588</v>
      </c>
      <c r="X1530">
        <v>0</v>
      </c>
      <c r="Z1530">
        <v>2</v>
      </c>
      <c r="AA1530">
        <v>0</v>
      </c>
      <c r="AB1530">
        <v>0</v>
      </c>
      <c r="AC1530">
        <v>0</v>
      </c>
      <c r="AD1530" t="s">
        <v>2986</v>
      </c>
    </row>
    <row r="1531" spans="1:30" x14ac:dyDescent="0.25">
      <c r="H1531">
        <v>1247</v>
      </c>
    </row>
    <row r="1532" spans="1:30" x14ac:dyDescent="0.25">
      <c r="A1532">
        <v>763</v>
      </c>
      <c r="B1532">
        <v>4444</v>
      </c>
      <c r="C1532" t="s">
        <v>2987</v>
      </c>
      <c r="D1532" t="s">
        <v>2988</v>
      </c>
      <c r="E1532" t="s">
        <v>151</v>
      </c>
      <c r="F1532" t="s">
        <v>2989</v>
      </c>
      <c r="G1532" t="str">
        <f>"00361075"</f>
        <v>00361075</v>
      </c>
      <c r="H1532" t="s">
        <v>332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50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80</v>
      </c>
      <c r="W1532">
        <v>560</v>
      </c>
      <c r="X1532">
        <v>0</v>
      </c>
      <c r="Z1532">
        <v>0</v>
      </c>
      <c r="AA1532">
        <v>0</v>
      </c>
      <c r="AB1532">
        <v>0</v>
      </c>
      <c r="AC1532">
        <v>0</v>
      </c>
      <c r="AD1532" t="s">
        <v>2990</v>
      </c>
    </row>
    <row r="1533" spans="1:30" x14ac:dyDescent="0.25">
      <c r="H1533" t="s">
        <v>2991</v>
      </c>
    </row>
    <row r="1534" spans="1:30" x14ac:dyDescent="0.25">
      <c r="A1534">
        <v>764</v>
      </c>
      <c r="B1534">
        <v>4465</v>
      </c>
      <c r="C1534" t="s">
        <v>2992</v>
      </c>
      <c r="D1534" t="s">
        <v>335</v>
      </c>
      <c r="E1534" t="s">
        <v>595</v>
      </c>
      <c r="F1534" t="s">
        <v>2993</v>
      </c>
      <c r="G1534" t="str">
        <f>"00146882"</f>
        <v>00146882</v>
      </c>
      <c r="H1534" t="s">
        <v>754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30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84</v>
      </c>
      <c r="W1534">
        <v>588</v>
      </c>
      <c r="X1534">
        <v>0</v>
      </c>
      <c r="Z1534">
        <v>0</v>
      </c>
      <c r="AA1534">
        <v>0</v>
      </c>
      <c r="AB1534">
        <v>0</v>
      </c>
      <c r="AC1534">
        <v>0</v>
      </c>
      <c r="AD1534" t="s">
        <v>2994</v>
      </c>
    </row>
    <row r="1535" spans="1:30" x14ac:dyDescent="0.25">
      <c r="H1535" t="s">
        <v>2995</v>
      </c>
    </row>
    <row r="1536" spans="1:30" x14ac:dyDescent="0.25">
      <c r="A1536">
        <v>765</v>
      </c>
      <c r="B1536">
        <v>548</v>
      </c>
      <c r="C1536" t="s">
        <v>2996</v>
      </c>
      <c r="D1536" t="s">
        <v>98</v>
      </c>
      <c r="E1536" t="s">
        <v>482</v>
      </c>
      <c r="F1536" t="s">
        <v>2997</v>
      </c>
      <c r="G1536" t="str">
        <f>"00222320"</f>
        <v>00222320</v>
      </c>
      <c r="H1536" t="s">
        <v>754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30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84</v>
      </c>
      <c r="W1536">
        <v>588</v>
      </c>
      <c r="X1536">
        <v>0</v>
      </c>
      <c r="Z1536">
        <v>1</v>
      </c>
      <c r="AA1536">
        <v>0</v>
      </c>
      <c r="AB1536">
        <v>0</v>
      </c>
      <c r="AC1536">
        <v>0</v>
      </c>
      <c r="AD1536" t="s">
        <v>2994</v>
      </c>
    </row>
    <row r="1537" spans="1:30" x14ac:dyDescent="0.25">
      <c r="H1537" t="s">
        <v>2998</v>
      </c>
    </row>
    <row r="1538" spans="1:30" x14ac:dyDescent="0.25">
      <c r="A1538">
        <v>766</v>
      </c>
      <c r="B1538">
        <v>265</v>
      </c>
      <c r="C1538" t="s">
        <v>2999</v>
      </c>
      <c r="D1538" t="s">
        <v>166</v>
      </c>
      <c r="E1538" t="s">
        <v>47</v>
      </c>
      <c r="F1538" t="s">
        <v>3000</v>
      </c>
      <c r="G1538" t="str">
        <f>"200802011871"</f>
        <v>200802011871</v>
      </c>
      <c r="H1538" t="s">
        <v>1339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30</v>
      </c>
      <c r="O1538">
        <v>50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84</v>
      </c>
      <c r="W1538">
        <v>588</v>
      </c>
      <c r="X1538">
        <v>0</v>
      </c>
      <c r="Z1538">
        <v>0</v>
      </c>
      <c r="AA1538">
        <v>0</v>
      </c>
      <c r="AB1538">
        <v>0</v>
      </c>
      <c r="AC1538">
        <v>0</v>
      </c>
      <c r="AD1538" t="s">
        <v>3001</v>
      </c>
    </row>
    <row r="1539" spans="1:30" x14ac:dyDescent="0.25">
      <c r="H1539" t="s">
        <v>3002</v>
      </c>
    </row>
    <row r="1540" spans="1:30" x14ac:dyDescent="0.25">
      <c r="A1540">
        <v>767</v>
      </c>
      <c r="B1540">
        <v>2601</v>
      </c>
      <c r="C1540" t="s">
        <v>3003</v>
      </c>
      <c r="D1540" t="s">
        <v>40</v>
      </c>
      <c r="E1540" t="s">
        <v>47</v>
      </c>
      <c r="F1540" t="s">
        <v>3004</v>
      </c>
      <c r="G1540" t="str">
        <f>"00305294"</f>
        <v>00305294</v>
      </c>
      <c r="H1540" t="s">
        <v>562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70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84</v>
      </c>
      <c r="W1540">
        <v>588</v>
      </c>
      <c r="X1540">
        <v>0</v>
      </c>
      <c r="Z1540">
        <v>0</v>
      </c>
      <c r="AA1540">
        <v>0</v>
      </c>
      <c r="AB1540">
        <v>0</v>
      </c>
      <c r="AC1540">
        <v>0</v>
      </c>
      <c r="AD1540" t="s">
        <v>3005</v>
      </c>
    </row>
    <row r="1541" spans="1:30" x14ac:dyDescent="0.25">
      <c r="H1541" t="s">
        <v>1652</v>
      </c>
    </row>
    <row r="1542" spans="1:30" x14ac:dyDescent="0.25">
      <c r="A1542">
        <v>768</v>
      </c>
      <c r="B1542">
        <v>446</v>
      </c>
      <c r="C1542" t="s">
        <v>3006</v>
      </c>
      <c r="D1542" t="s">
        <v>32</v>
      </c>
      <c r="E1542" t="s">
        <v>47</v>
      </c>
      <c r="F1542" t="s">
        <v>3007</v>
      </c>
      <c r="G1542" t="str">
        <f>"201511027362"</f>
        <v>201511027362</v>
      </c>
      <c r="H1542">
        <v>825</v>
      </c>
      <c r="I1542">
        <v>150</v>
      </c>
      <c r="J1542">
        <v>0</v>
      </c>
      <c r="K1542">
        <v>0</v>
      </c>
      <c r="L1542">
        <v>0</v>
      </c>
      <c r="M1542">
        <v>0</v>
      </c>
      <c r="N1542">
        <v>30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48</v>
      </c>
      <c r="W1542">
        <v>336</v>
      </c>
      <c r="X1542">
        <v>0</v>
      </c>
      <c r="Z1542">
        <v>0</v>
      </c>
      <c r="AA1542">
        <v>0</v>
      </c>
      <c r="AB1542">
        <v>0</v>
      </c>
      <c r="AC1542">
        <v>0</v>
      </c>
      <c r="AD1542">
        <v>1341</v>
      </c>
    </row>
    <row r="1543" spans="1:30" x14ac:dyDescent="0.25">
      <c r="H1543" t="s">
        <v>3008</v>
      </c>
    </row>
    <row r="1544" spans="1:30" x14ac:dyDescent="0.25">
      <c r="A1544">
        <v>769</v>
      </c>
      <c r="B1544">
        <v>921</v>
      </c>
      <c r="C1544" t="s">
        <v>3009</v>
      </c>
      <c r="D1544" t="s">
        <v>1186</v>
      </c>
      <c r="E1544" t="s">
        <v>39</v>
      </c>
      <c r="F1544" t="s">
        <v>3010</v>
      </c>
      <c r="G1544" t="str">
        <f>"00161417"</f>
        <v>00161417</v>
      </c>
      <c r="H1544">
        <v>693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30</v>
      </c>
      <c r="O1544">
        <v>30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84</v>
      </c>
      <c r="W1544">
        <v>588</v>
      </c>
      <c r="X1544">
        <v>0</v>
      </c>
      <c r="Z1544">
        <v>0</v>
      </c>
      <c r="AA1544">
        <v>0</v>
      </c>
      <c r="AB1544">
        <v>0</v>
      </c>
      <c r="AC1544">
        <v>0</v>
      </c>
      <c r="AD1544">
        <v>1341</v>
      </c>
    </row>
    <row r="1545" spans="1:30" x14ac:dyDescent="0.25">
      <c r="H1545" t="s">
        <v>3011</v>
      </c>
    </row>
    <row r="1546" spans="1:30" x14ac:dyDescent="0.25">
      <c r="A1546">
        <v>770</v>
      </c>
      <c r="B1546">
        <v>3400</v>
      </c>
      <c r="C1546" t="s">
        <v>3012</v>
      </c>
      <c r="D1546" t="s">
        <v>86</v>
      </c>
      <c r="E1546" t="s">
        <v>183</v>
      </c>
      <c r="F1546" t="s">
        <v>3013</v>
      </c>
      <c r="G1546" t="str">
        <f>"00203156"</f>
        <v>00203156</v>
      </c>
      <c r="H1546">
        <v>693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30</v>
      </c>
      <c r="O1546">
        <v>0</v>
      </c>
      <c r="P1546">
        <v>0</v>
      </c>
      <c r="Q1546">
        <v>30</v>
      </c>
      <c r="R1546">
        <v>0</v>
      </c>
      <c r="S1546">
        <v>0</v>
      </c>
      <c r="T1546">
        <v>0</v>
      </c>
      <c r="U1546">
        <v>0</v>
      </c>
      <c r="V1546">
        <v>84</v>
      </c>
      <c r="W1546">
        <v>588</v>
      </c>
      <c r="X1546">
        <v>0</v>
      </c>
      <c r="Z1546">
        <v>0</v>
      </c>
      <c r="AA1546">
        <v>0</v>
      </c>
      <c r="AB1546">
        <v>0</v>
      </c>
      <c r="AC1546">
        <v>0</v>
      </c>
      <c r="AD1546">
        <v>1341</v>
      </c>
    </row>
    <row r="1547" spans="1:30" x14ac:dyDescent="0.25">
      <c r="H1547" t="s">
        <v>3014</v>
      </c>
    </row>
    <row r="1548" spans="1:30" x14ac:dyDescent="0.25">
      <c r="A1548">
        <v>771</v>
      </c>
      <c r="B1548">
        <v>4127</v>
      </c>
      <c r="C1548" t="s">
        <v>3015</v>
      </c>
      <c r="D1548" t="s">
        <v>144</v>
      </c>
      <c r="E1548" t="s">
        <v>3016</v>
      </c>
      <c r="F1548" t="s">
        <v>3017</v>
      </c>
      <c r="G1548" t="str">
        <f>"00089475"</f>
        <v>00089475</v>
      </c>
      <c r="H1548" t="s">
        <v>2434</v>
      </c>
      <c r="I1548">
        <v>0</v>
      </c>
      <c r="J1548">
        <v>0</v>
      </c>
      <c r="K1548">
        <v>0</v>
      </c>
      <c r="L1548">
        <v>200</v>
      </c>
      <c r="M1548">
        <v>0</v>
      </c>
      <c r="N1548">
        <v>70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51</v>
      </c>
      <c r="W1548">
        <v>357</v>
      </c>
      <c r="X1548">
        <v>0</v>
      </c>
      <c r="Z1548">
        <v>0</v>
      </c>
      <c r="AA1548">
        <v>0</v>
      </c>
      <c r="AB1548">
        <v>0</v>
      </c>
      <c r="AC1548">
        <v>0</v>
      </c>
      <c r="AD1548" t="s">
        <v>3018</v>
      </c>
    </row>
    <row r="1549" spans="1:30" x14ac:dyDescent="0.25">
      <c r="H1549" t="s">
        <v>3019</v>
      </c>
    </row>
    <row r="1550" spans="1:30" x14ac:dyDescent="0.25">
      <c r="A1550">
        <v>772</v>
      </c>
      <c r="B1550">
        <v>2275</v>
      </c>
      <c r="C1550" t="s">
        <v>3020</v>
      </c>
      <c r="D1550" t="s">
        <v>143</v>
      </c>
      <c r="E1550" t="s">
        <v>40</v>
      </c>
      <c r="F1550" t="s">
        <v>3021</v>
      </c>
      <c r="G1550" t="str">
        <f>"201406003727"</f>
        <v>201406003727</v>
      </c>
      <c r="H1550" t="s">
        <v>760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30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84</v>
      </c>
      <c r="W1550">
        <v>588</v>
      </c>
      <c r="X1550">
        <v>0</v>
      </c>
      <c r="Z1550">
        <v>0</v>
      </c>
      <c r="AA1550">
        <v>0</v>
      </c>
      <c r="AB1550">
        <v>0</v>
      </c>
      <c r="AC1550">
        <v>0</v>
      </c>
      <c r="AD1550" t="s">
        <v>3022</v>
      </c>
    </row>
    <row r="1551" spans="1:30" x14ac:dyDescent="0.25">
      <c r="H1551" t="s">
        <v>3023</v>
      </c>
    </row>
    <row r="1552" spans="1:30" x14ac:dyDescent="0.25">
      <c r="A1552">
        <v>773</v>
      </c>
      <c r="B1552">
        <v>4662</v>
      </c>
      <c r="C1552" t="s">
        <v>3024</v>
      </c>
      <c r="D1552" t="s">
        <v>1828</v>
      </c>
      <c r="E1552" t="s">
        <v>40</v>
      </c>
      <c r="F1552" t="s">
        <v>3025</v>
      </c>
      <c r="G1552" t="str">
        <f>"201406010821"</f>
        <v>201406010821</v>
      </c>
      <c r="H1552" t="s">
        <v>2056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30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84</v>
      </c>
      <c r="W1552">
        <v>588</v>
      </c>
      <c r="X1552">
        <v>0</v>
      </c>
      <c r="Z1552">
        <v>0</v>
      </c>
      <c r="AA1552">
        <v>0</v>
      </c>
      <c r="AB1552">
        <v>0</v>
      </c>
      <c r="AC1552">
        <v>0</v>
      </c>
      <c r="AD1552" t="s">
        <v>3026</v>
      </c>
    </row>
    <row r="1553" spans="1:30" x14ac:dyDescent="0.25">
      <c r="H1553" t="s">
        <v>3027</v>
      </c>
    </row>
    <row r="1554" spans="1:30" x14ac:dyDescent="0.25">
      <c r="A1554">
        <v>774</v>
      </c>
      <c r="B1554">
        <v>1685</v>
      </c>
      <c r="C1554" t="s">
        <v>1268</v>
      </c>
      <c r="D1554" t="s">
        <v>526</v>
      </c>
      <c r="E1554" t="s">
        <v>282</v>
      </c>
      <c r="F1554" t="s">
        <v>3028</v>
      </c>
      <c r="G1554" t="str">
        <f>"00206130"</f>
        <v>00206130</v>
      </c>
      <c r="H1554" t="s">
        <v>2056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30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84</v>
      </c>
      <c r="W1554">
        <v>588</v>
      </c>
      <c r="X1554">
        <v>0</v>
      </c>
      <c r="Z1554">
        <v>0</v>
      </c>
      <c r="AA1554">
        <v>0</v>
      </c>
      <c r="AB1554">
        <v>0</v>
      </c>
      <c r="AC1554">
        <v>0</v>
      </c>
      <c r="AD1554" t="s">
        <v>3026</v>
      </c>
    </row>
    <row r="1555" spans="1:30" x14ac:dyDescent="0.25">
      <c r="H1555" t="s">
        <v>521</v>
      </c>
    </row>
    <row r="1556" spans="1:30" x14ac:dyDescent="0.25">
      <c r="A1556">
        <v>775</v>
      </c>
      <c r="B1556">
        <v>4249</v>
      </c>
      <c r="C1556" t="s">
        <v>3029</v>
      </c>
      <c r="D1556" t="s">
        <v>14</v>
      </c>
      <c r="E1556" t="s">
        <v>39</v>
      </c>
      <c r="F1556" t="s">
        <v>3030</v>
      </c>
      <c r="G1556" t="str">
        <f>"201406015428"</f>
        <v>201406015428</v>
      </c>
      <c r="H1556" t="s">
        <v>2056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30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84</v>
      </c>
      <c r="W1556">
        <v>588</v>
      </c>
      <c r="X1556">
        <v>0</v>
      </c>
      <c r="Z1556">
        <v>0</v>
      </c>
      <c r="AA1556">
        <v>0</v>
      </c>
      <c r="AB1556">
        <v>0</v>
      </c>
      <c r="AC1556">
        <v>0</v>
      </c>
      <c r="AD1556" t="s">
        <v>3026</v>
      </c>
    </row>
    <row r="1557" spans="1:30" x14ac:dyDescent="0.25">
      <c r="H1557">
        <v>1250</v>
      </c>
    </row>
    <row r="1558" spans="1:30" x14ac:dyDescent="0.25">
      <c r="A1558">
        <v>776</v>
      </c>
      <c r="B1558">
        <v>3854</v>
      </c>
      <c r="C1558" t="s">
        <v>3031</v>
      </c>
      <c r="D1558" t="s">
        <v>3032</v>
      </c>
      <c r="E1558" t="s">
        <v>1081</v>
      </c>
      <c r="F1558" t="s">
        <v>3033</v>
      </c>
      <c r="G1558" t="str">
        <f>"200801005782"</f>
        <v>200801005782</v>
      </c>
      <c r="H1558">
        <v>671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50</v>
      </c>
      <c r="O1558">
        <v>0</v>
      </c>
      <c r="P1558">
        <v>0</v>
      </c>
      <c r="Q1558">
        <v>30</v>
      </c>
      <c r="R1558">
        <v>0</v>
      </c>
      <c r="S1558">
        <v>0</v>
      </c>
      <c r="T1558">
        <v>0</v>
      </c>
      <c r="U1558">
        <v>0</v>
      </c>
      <c r="V1558">
        <v>84</v>
      </c>
      <c r="W1558">
        <v>588</v>
      </c>
      <c r="X1558">
        <v>0</v>
      </c>
      <c r="Z1558">
        <v>0</v>
      </c>
      <c r="AA1558">
        <v>0</v>
      </c>
      <c r="AB1558">
        <v>0</v>
      </c>
      <c r="AC1558">
        <v>0</v>
      </c>
      <c r="AD1558">
        <v>1339</v>
      </c>
    </row>
    <row r="1559" spans="1:30" x14ac:dyDescent="0.25">
      <c r="H1559" t="s">
        <v>3034</v>
      </c>
    </row>
    <row r="1560" spans="1:30" x14ac:dyDescent="0.25">
      <c r="A1560">
        <v>777</v>
      </c>
      <c r="B1560">
        <v>3995</v>
      </c>
      <c r="C1560" t="s">
        <v>3035</v>
      </c>
      <c r="D1560" t="s">
        <v>1801</v>
      </c>
      <c r="E1560" t="s">
        <v>162</v>
      </c>
      <c r="F1560" t="s">
        <v>3036</v>
      </c>
      <c r="G1560" t="str">
        <f>"00327608"</f>
        <v>00327608</v>
      </c>
      <c r="H1560" t="s">
        <v>231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30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84</v>
      </c>
      <c r="W1560">
        <v>588</v>
      </c>
      <c r="X1560">
        <v>0</v>
      </c>
      <c r="Z1560">
        <v>0</v>
      </c>
      <c r="AA1560">
        <v>0</v>
      </c>
      <c r="AB1560">
        <v>0</v>
      </c>
      <c r="AC1560">
        <v>0</v>
      </c>
      <c r="AD1560" t="s">
        <v>3037</v>
      </c>
    </row>
    <row r="1561" spans="1:30" x14ac:dyDescent="0.25">
      <c r="H1561" t="s">
        <v>3038</v>
      </c>
    </row>
    <row r="1562" spans="1:30" x14ac:dyDescent="0.25">
      <c r="A1562">
        <v>778</v>
      </c>
      <c r="B1562">
        <v>3846</v>
      </c>
      <c r="C1562" t="s">
        <v>3039</v>
      </c>
      <c r="D1562" t="s">
        <v>40</v>
      </c>
      <c r="E1562" t="s">
        <v>1081</v>
      </c>
      <c r="F1562" t="s">
        <v>3040</v>
      </c>
      <c r="G1562" t="str">
        <f>"00149005"</f>
        <v>00149005</v>
      </c>
      <c r="H1562" t="s">
        <v>231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30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84</v>
      </c>
      <c r="W1562">
        <v>588</v>
      </c>
      <c r="X1562">
        <v>0</v>
      </c>
      <c r="Z1562">
        <v>0</v>
      </c>
      <c r="AA1562">
        <v>0</v>
      </c>
      <c r="AB1562">
        <v>0</v>
      </c>
      <c r="AC1562">
        <v>0</v>
      </c>
      <c r="AD1562" t="s">
        <v>3037</v>
      </c>
    </row>
    <row r="1563" spans="1:30" x14ac:dyDescent="0.25">
      <c r="H1563" t="s">
        <v>3041</v>
      </c>
    </row>
    <row r="1564" spans="1:30" x14ac:dyDescent="0.25">
      <c r="A1564">
        <v>779</v>
      </c>
      <c r="B1564">
        <v>3302</v>
      </c>
      <c r="C1564" t="s">
        <v>3042</v>
      </c>
      <c r="D1564" t="s">
        <v>804</v>
      </c>
      <c r="E1564" t="s">
        <v>468</v>
      </c>
      <c r="F1564" t="s">
        <v>3043</v>
      </c>
      <c r="G1564" t="str">
        <f>"00070642"</f>
        <v>00070642</v>
      </c>
      <c r="H1564" t="s">
        <v>3044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70</v>
      </c>
      <c r="W1564">
        <v>490</v>
      </c>
      <c r="X1564">
        <v>0</v>
      </c>
      <c r="Z1564">
        <v>1</v>
      </c>
      <c r="AA1564">
        <v>0</v>
      </c>
      <c r="AB1564">
        <v>0</v>
      </c>
      <c r="AC1564">
        <v>0</v>
      </c>
      <c r="AD1564" t="s">
        <v>3045</v>
      </c>
    </row>
    <row r="1565" spans="1:30" x14ac:dyDescent="0.25">
      <c r="H1565" t="s">
        <v>3046</v>
      </c>
    </row>
    <row r="1566" spans="1:30" x14ac:dyDescent="0.25">
      <c r="A1566">
        <v>780</v>
      </c>
      <c r="B1566">
        <v>5538</v>
      </c>
      <c r="C1566" t="s">
        <v>3047</v>
      </c>
      <c r="D1566" t="s">
        <v>616</v>
      </c>
      <c r="E1566" t="s">
        <v>39</v>
      </c>
      <c r="F1566" t="s">
        <v>3048</v>
      </c>
      <c r="G1566" t="str">
        <f>"00171664"</f>
        <v>00171664</v>
      </c>
      <c r="H1566">
        <v>682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30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70</v>
      </c>
      <c r="W1566">
        <v>490</v>
      </c>
      <c r="X1566">
        <v>0</v>
      </c>
      <c r="Z1566">
        <v>0</v>
      </c>
      <c r="AA1566">
        <v>0</v>
      </c>
      <c r="AB1566">
        <v>8</v>
      </c>
      <c r="AC1566">
        <v>136</v>
      </c>
      <c r="AD1566">
        <v>1338</v>
      </c>
    </row>
    <row r="1567" spans="1:30" x14ac:dyDescent="0.25">
      <c r="H1567" t="s">
        <v>3049</v>
      </c>
    </row>
    <row r="1568" spans="1:30" x14ac:dyDescent="0.25">
      <c r="A1568">
        <v>781</v>
      </c>
      <c r="B1568">
        <v>2823</v>
      </c>
      <c r="C1568" t="s">
        <v>3050</v>
      </c>
      <c r="D1568" t="s">
        <v>47</v>
      </c>
      <c r="E1568" t="s">
        <v>3051</v>
      </c>
      <c r="F1568" t="s">
        <v>3052</v>
      </c>
      <c r="G1568" t="str">
        <f>"00173523"</f>
        <v>00173523</v>
      </c>
      <c r="H1568" t="s">
        <v>375</v>
      </c>
      <c r="I1568">
        <v>0</v>
      </c>
      <c r="J1568">
        <v>0</v>
      </c>
      <c r="K1568">
        <v>0</v>
      </c>
      <c r="L1568">
        <v>200</v>
      </c>
      <c r="M1568">
        <v>0</v>
      </c>
      <c r="N1568">
        <v>70</v>
      </c>
      <c r="O1568">
        <v>30</v>
      </c>
      <c r="P1568">
        <v>0</v>
      </c>
      <c r="Q1568">
        <v>30</v>
      </c>
      <c r="R1568">
        <v>0</v>
      </c>
      <c r="S1568">
        <v>0</v>
      </c>
      <c r="T1568">
        <v>0</v>
      </c>
      <c r="U1568">
        <v>0</v>
      </c>
      <c r="V1568">
        <v>19</v>
      </c>
      <c r="W1568">
        <v>133</v>
      </c>
      <c r="X1568">
        <v>0</v>
      </c>
      <c r="Z1568">
        <v>0</v>
      </c>
      <c r="AA1568">
        <v>0</v>
      </c>
      <c r="AB1568">
        <v>0</v>
      </c>
      <c r="AC1568">
        <v>0</v>
      </c>
      <c r="AD1568" t="s">
        <v>3053</v>
      </c>
    </row>
    <row r="1569" spans="1:30" x14ac:dyDescent="0.25">
      <c r="H1569" t="s">
        <v>3054</v>
      </c>
    </row>
    <row r="1570" spans="1:30" x14ac:dyDescent="0.25">
      <c r="A1570">
        <v>782</v>
      </c>
      <c r="B1570">
        <v>4005</v>
      </c>
      <c r="C1570" t="s">
        <v>774</v>
      </c>
      <c r="D1570" t="s">
        <v>1276</v>
      </c>
      <c r="E1570" t="s">
        <v>99</v>
      </c>
      <c r="F1570" t="s">
        <v>3055</v>
      </c>
      <c r="G1570" t="str">
        <f>"00364127"</f>
        <v>00364127</v>
      </c>
      <c r="H1570" t="s">
        <v>1572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30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84</v>
      </c>
      <c r="W1570">
        <v>588</v>
      </c>
      <c r="X1570">
        <v>0</v>
      </c>
      <c r="Z1570">
        <v>0</v>
      </c>
      <c r="AA1570">
        <v>0</v>
      </c>
      <c r="AB1570">
        <v>0</v>
      </c>
      <c r="AC1570">
        <v>0</v>
      </c>
      <c r="AD1570" t="s">
        <v>3056</v>
      </c>
    </row>
    <row r="1571" spans="1:30" x14ac:dyDescent="0.25">
      <c r="H1571" t="s">
        <v>3057</v>
      </c>
    </row>
    <row r="1572" spans="1:30" x14ac:dyDescent="0.25">
      <c r="A1572">
        <v>783</v>
      </c>
      <c r="B1572">
        <v>5135</v>
      </c>
      <c r="C1572" t="s">
        <v>3058</v>
      </c>
      <c r="D1572" t="s">
        <v>107</v>
      </c>
      <c r="E1572" t="s">
        <v>482</v>
      </c>
      <c r="F1572" t="s">
        <v>3059</v>
      </c>
      <c r="G1572" t="str">
        <f>"00015993"</f>
        <v>00015993</v>
      </c>
      <c r="H1572" t="s">
        <v>1572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30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84</v>
      </c>
      <c r="W1572">
        <v>588</v>
      </c>
      <c r="X1572">
        <v>0</v>
      </c>
      <c r="Z1572">
        <v>0</v>
      </c>
      <c r="AA1572">
        <v>0</v>
      </c>
      <c r="AB1572">
        <v>0</v>
      </c>
      <c r="AC1572">
        <v>0</v>
      </c>
      <c r="AD1572" t="s">
        <v>3056</v>
      </c>
    </row>
    <row r="1573" spans="1:30" x14ac:dyDescent="0.25">
      <c r="H1573" t="s">
        <v>3060</v>
      </c>
    </row>
    <row r="1574" spans="1:30" x14ac:dyDescent="0.25">
      <c r="A1574">
        <v>784</v>
      </c>
      <c r="B1574">
        <v>2866</v>
      </c>
      <c r="C1574" t="s">
        <v>3061</v>
      </c>
      <c r="D1574" t="s">
        <v>47</v>
      </c>
      <c r="E1574" t="s">
        <v>91</v>
      </c>
      <c r="F1574" t="s">
        <v>3062</v>
      </c>
      <c r="G1574" t="str">
        <f>"00312139"</f>
        <v>00312139</v>
      </c>
      <c r="H1574" t="s">
        <v>1572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30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84</v>
      </c>
      <c r="W1574">
        <v>588</v>
      </c>
      <c r="X1574">
        <v>0</v>
      </c>
      <c r="Z1574">
        <v>0</v>
      </c>
      <c r="AA1574">
        <v>0</v>
      </c>
      <c r="AB1574">
        <v>0</v>
      </c>
      <c r="AC1574">
        <v>0</v>
      </c>
      <c r="AD1574" t="s">
        <v>3056</v>
      </c>
    </row>
    <row r="1575" spans="1:30" x14ac:dyDescent="0.25">
      <c r="H1575" t="s">
        <v>3063</v>
      </c>
    </row>
    <row r="1576" spans="1:30" x14ac:dyDescent="0.25">
      <c r="A1576">
        <v>785</v>
      </c>
      <c r="B1576">
        <v>13</v>
      </c>
      <c r="C1576" t="s">
        <v>3064</v>
      </c>
      <c r="D1576" t="s">
        <v>3065</v>
      </c>
      <c r="E1576" t="s">
        <v>162</v>
      </c>
      <c r="F1576" t="s">
        <v>3066</v>
      </c>
      <c r="G1576" t="str">
        <f>"00250302"</f>
        <v>00250302</v>
      </c>
      <c r="H1576">
        <v>770</v>
      </c>
      <c r="I1576">
        <v>0</v>
      </c>
      <c r="J1576">
        <v>0</v>
      </c>
      <c r="K1576">
        <v>0</v>
      </c>
      <c r="L1576">
        <v>0</v>
      </c>
      <c r="M1576">
        <v>100</v>
      </c>
      <c r="N1576">
        <v>30</v>
      </c>
      <c r="O1576">
        <v>0</v>
      </c>
      <c r="P1576">
        <v>0</v>
      </c>
      <c r="Q1576">
        <v>0</v>
      </c>
      <c r="R1576">
        <v>30</v>
      </c>
      <c r="S1576">
        <v>0</v>
      </c>
      <c r="T1576">
        <v>0</v>
      </c>
      <c r="U1576">
        <v>0</v>
      </c>
      <c r="V1576">
        <v>58</v>
      </c>
      <c r="W1576">
        <v>406</v>
      </c>
      <c r="X1576">
        <v>0</v>
      </c>
      <c r="Z1576">
        <v>0</v>
      </c>
      <c r="AA1576">
        <v>0</v>
      </c>
      <c r="AB1576">
        <v>0</v>
      </c>
      <c r="AC1576">
        <v>0</v>
      </c>
      <c r="AD1576">
        <v>1336</v>
      </c>
    </row>
    <row r="1577" spans="1:30" x14ac:dyDescent="0.25">
      <c r="H1577" t="s">
        <v>3067</v>
      </c>
    </row>
    <row r="1578" spans="1:30" x14ac:dyDescent="0.25">
      <c r="A1578">
        <v>786</v>
      </c>
      <c r="B1578">
        <v>4173</v>
      </c>
      <c r="C1578" t="s">
        <v>3068</v>
      </c>
      <c r="D1578" t="s">
        <v>1593</v>
      </c>
      <c r="E1578" t="s">
        <v>162</v>
      </c>
      <c r="F1578" t="s">
        <v>3069</v>
      </c>
      <c r="G1578" t="str">
        <f>"00311362"</f>
        <v>00311362</v>
      </c>
      <c r="H1578">
        <v>748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84</v>
      </c>
      <c r="W1578">
        <v>588</v>
      </c>
      <c r="X1578">
        <v>0</v>
      </c>
      <c r="Z1578">
        <v>0</v>
      </c>
      <c r="AA1578">
        <v>0</v>
      </c>
      <c r="AB1578">
        <v>0</v>
      </c>
      <c r="AC1578">
        <v>0</v>
      </c>
      <c r="AD1578">
        <v>1336</v>
      </c>
    </row>
    <row r="1579" spans="1:30" x14ac:dyDescent="0.25">
      <c r="H1579" t="s">
        <v>3070</v>
      </c>
    </row>
    <row r="1580" spans="1:30" x14ac:dyDescent="0.25">
      <c r="A1580">
        <v>787</v>
      </c>
      <c r="B1580">
        <v>5041</v>
      </c>
      <c r="C1580" t="s">
        <v>3071</v>
      </c>
      <c r="D1580" t="s">
        <v>1570</v>
      </c>
      <c r="E1580" t="s">
        <v>3072</v>
      </c>
      <c r="F1580" t="s">
        <v>3073</v>
      </c>
      <c r="G1580" t="str">
        <f>"00363296"</f>
        <v>00363296</v>
      </c>
      <c r="H1580">
        <v>748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84</v>
      </c>
      <c r="W1580">
        <v>588</v>
      </c>
      <c r="X1580">
        <v>0</v>
      </c>
      <c r="Z1580">
        <v>0</v>
      </c>
      <c r="AA1580">
        <v>0</v>
      </c>
      <c r="AB1580">
        <v>0</v>
      </c>
      <c r="AC1580">
        <v>0</v>
      </c>
      <c r="AD1580">
        <v>1336</v>
      </c>
    </row>
    <row r="1581" spans="1:30" x14ac:dyDescent="0.25">
      <c r="H1581" t="s">
        <v>3074</v>
      </c>
    </row>
    <row r="1582" spans="1:30" x14ac:dyDescent="0.25">
      <c r="A1582">
        <v>788</v>
      </c>
      <c r="B1582">
        <v>5811</v>
      </c>
      <c r="C1582" t="s">
        <v>3075</v>
      </c>
      <c r="D1582" t="s">
        <v>335</v>
      </c>
      <c r="E1582" t="s">
        <v>176</v>
      </c>
      <c r="F1582" t="s">
        <v>3076</v>
      </c>
      <c r="G1582" t="str">
        <f>"200805000584"</f>
        <v>200805000584</v>
      </c>
      <c r="H1582" t="s">
        <v>1345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30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80</v>
      </c>
      <c r="W1582">
        <v>560</v>
      </c>
      <c r="X1582">
        <v>0</v>
      </c>
      <c r="Z1582">
        <v>0</v>
      </c>
      <c r="AA1582">
        <v>0</v>
      </c>
      <c r="AB1582">
        <v>0</v>
      </c>
      <c r="AC1582">
        <v>0</v>
      </c>
      <c r="AD1582" t="s">
        <v>3077</v>
      </c>
    </row>
    <row r="1583" spans="1:30" x14ac:dyDescent="0.25">
      <c r="H1583" t="s">
        <v>3078</v>
      </c>
    </row>
    <row r="1584" spans="1:30" x14ac:dyDescent="0.25">
      <c r="A1584">
        <v>789</v>
      </c>
      <c r="B1584">
        <v>1458</v>
      </c>
      <c r="C1584" t="s">
        <v>2216</v>
      </c>
      <c r="D1584" t="s">
        <v>420</v>
      </c>
      <c r="E1584" t="s">
        <v>595</v>
      </c>
      <c r="F1584" t="s">
        <v>3079</v>
      </c>
      <c r="G1584" t="str">
        <f>"201411001185"</f>
        <v>201411001185</v>
      </c>
      <c r="H1584" t="s">
        <v>383</v>
      </c>
      <c r="I1584">
        <v>150</v>
      </c>
      <c r="J1584">
        <v>0</v>
      </c>
      <c r="K1584">
        <v>0</v>
      </c>
      <c r="L1584">
        <v>200</v>
      </c>
      <c r="M1584">
        <v>0</v>
      </c>
      <c r="N1584">
        <v>30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15</v>
      </c>
      <c r="W1584">
        <v>105</v>
      </c>
      <c r="X1584">
        <v>0</v>
      </c>
      <c r="Z1584">
        <v>0</v>
      </c>
      <c r="AA1584">
        <v>0</v>
      </c>
      <c r="AB1584">
        <v>0</v>
      </c>
      <c r="AC1584">
        <v>0</v>
      </c>
      <c r="AD1584" t="s">
        <v>3080</v>
      </c>
    </row>
    <row r="1585" spans="1:30" x14ac:dyDescent="0.25">
      <c r="H1585" t="s">
        <v>3081</v>
      </c>
    </row>
    <row r="1586" spans="1:30" x14ac:dyDescent="0.25">
      <c r="A1586">
        <v>790</v>
      </c>
      <c r="B1586">
        <v>2895</v>
      </c>
      <c r="C1586" t="s">
        <v>1474</v>
      </c>
      <c r="D1586" t="s">
        <v>2713</v>
      </c>
      <c r="E1586" t="s">
        <v>1215</v>
      </c>
      <c r="F1586" t="s">
        <v>3082</v>
      </c>
      <c r="G1586" t="str">
        <f>"201410001746"</f>
        <v>201410001746</v>
      </c>
      <c r="H1586" t="s">
        <v>1261</v>
      </c>
      <c r="I1586">
        <v>0</v>
      </c>
      <c r="J1586">
        <v>0</v>
      </c>
      <c r="K1586">
        <v>0</v>
      </c>
      <c r="L1586">
        <v>0</v>
      </c>
      <c r="M1586">
        <v>100</v>
      </c>
      <c r="N1586">
        <v>50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43</v>
      </c>
      <c r="W1586">
        <v>301</v>
      </c>
      <c r="X1586">
        <v>0</v>
      </c>
      <c r="Z1586">
        <v>0</v>
      </c>
      <c r="AA1586">
        <v>0</v>
      </c>
      <c r="AB1586">
        <v>13</v>
      </c>
      <c r="AC1586">
        <v>221</v>
      </c>
      <c r="AD1586" t="s">
        <v>3080</v>
      </c>
    </row>
    <row r="1587" spans="1:30" x14ac:dyDescent="0.25">
      <c r="H1587" t="s">
        <v>3083</v>
      </c>
    </row>
    <row r="1588" spans="1:30" x14ac:dyDescent="0.25">
      <c r="A1588">
        <v>791</v>
      </c>
      <c r="B1588">
        <v>1972</v>
      </c>
      <c r="C1588" t="s">
        <v>3084</v>
      </c>
      <c r="D1588" t="s">
        <v>3085</v>
      </c>
      <c r="E1588" t="s">
        <v>1620</v>
      </c>
      <c r="F1588" t="s">
        <v>3086</v>
      </c>
      <c r="G1588" t="str">
        <f>"00101660"</f>
        <v>00101660</v>
      </c>
      <c r="H1588" t="s">
        <v>264</v>
      </c>
      <c r="I1588">
        <v>0</v>
      </c>
      <c r="J1588">
        <v>0</v>
      </c>
      <c r="K1588">
        <v>0</v>
      </c>
      <c r="L1588">
        <v>200</v>
      </c>
      <c r="M1588">
        <v>0</v>
      </c>
      <c r="N1588">
        <v>30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45</v>
      </c>
      <c r="W1588">
        <v>315</v>
      </c>
      <c r="X1588">
        <v>0</v>
      </c>
      <c r="Z1588">
        <v>0</v>
      </c>
      <c r="AA1588">
        <v>0</v>
      </c>
      <c r="AB1588">
        <v>0</v>
      </c>
      <c r="AC1588">
        <v>0</v>
      </c>
      <c r="AD1588" t="s">
        <v>3087</v>
      </c>
    </row>
    <row r="1589" spans="1:30" x14ac:dyDescent="0.25">
      <c r="H1589" t="s">
        <v>3088</v>
      </c>
    </row>
    <row r="1590" spans="1:30" x14ac:dyDescent="0.25">
      <c r="A1590">
        <v>792</v>
      </c>
      <c r="B1590">
        <v>6019</v>
      </c>
      <c r="C1590" t="s">
        <v>1615</v>
      </c>
      <c r="D1590" t="s">
        <v>3089</v>
      </c>
      <c r="E1590" t="s">
        <v>3090</v>
      </c>
      <c r="F1590" t="s">
        <v>3091</v>
      </c>
      <c r="G1590" t="str">
        <f>"201412003058"</f>
        <v>201412003058</v>
      </c>
      <c r="H1590" t="s">
        <v>2126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70</v>
      </c>
      <c r="U1590">
        <v>0</v>
      </c>
      <c r="V1590">
        <v>84</v>
      </c>
      <c r="W1590">
        <v>588</v>
      </c>
      <c r="X1590">
        <v>0</v>
      </c>
      <c r="Z1590">
        <v>2</v>
      </c>
      <c r="AA1590">
        <v>0</v>
      </c>
      <c r="AB1590">
        <v>0</v>
      </c>
      <c r="AC1590">
        <v>0</v>
      </c>
      <c r="AD1590" t="s">
        <v>3092</v>
      </c>
    </row>
    <row r="1591" spans="1:30" x14ac:dyDescent="0.25">
      <c r="H1591" t="s">
        <v>3093</v>
      </c>
    </row>
    <row r="1592" spans="1:30" x14ac:dyDescent="0.25">
      <c r="A1592">
        <v>793</v>
      </c>
      <c r="B1592">
        <v>5448</v>
      </c>
      <c r="C1592" t="s">
        <v>3094</v>
      </c>
      <c r="D1592" t="s">
        <v>1186</v>
      </c>
      <c r="E1592" t="s">
        <v>39</v>
      </c>
      <c r="F1592" t="s">
        <v>3095</v>
      </c>
      <c r="G1592" t="str">
        <f>"00361247"</f>
        <v>00361247</v>
      </c>
      <c r="H1592" t="s">
        <v>933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30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84</v>
      </c>
      <c r="W1592">
        <v>588</v>
      </c>
      <c r="X1592">
        <v>0</v>
      </c>
      <c r="Z1592">
        <v>1</v>
      </c>
      <c r="AA1592">
        <v>0</v>
      </c>
      <c r="AB1592">
        <v>0</v>
      </c>
      <c r="AC1592">
        <v>0</v>
      </c>
      <c r="AD1592" t="s">
        <v>3096</v>
      </c>
    </row>
    <row r="1593" spans="1:30" x14ac:dyDescent="0.25">
      <c r="H1593" t="s">
        <v>3097</v>
      </c>
    </row>
    <row r="1594" spans="1:30" x14ac:dyDescent="0.25">
      <c r="A1594">
        <v>794</v>
      </c>
      <c r="B1594">
        <v>5713</v>
      </c>
      <c r="C1594" t="s">
        <v>3098</v>
      </c>
      <c r="D1594" t="s">
        <v>1576</v>
      </c>
      <c r="E1594" t="s">
        <v>162</v>
      </c>
      <c r="F1594" t="s">
        <v>3099</v>
      </c>
      <c r="G1594" t="str">
        <f>"200802010470"</f>
        <v>200802010470</v>
      </c>
      <c r="H1594">
        <v>770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30</v>
      </c>
      <c r="O1594">
        <v>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18</v>
      </c>
      <c r="W1594">
        <v>126</v>
      </c>
      <c r="X1594">
        <v>0</v>
      </c>
      <c r="Z1594">
        <v>0</v>
      </c>
      <c r="AA1594">
        <v>0</v>
      </c>
      <c r="AB1594">
        <v>24</v>
      </c>
      <c r="AC1594">
        <v>408</v>
      </c>
      <c r="AD1594">
        <v>1334</v>
      </c>
    </row>
    <row r="1595" spans="1:30" x14ac:dyDescent="0.25">
      <c r="H1595" t="s">
        <v>3100</v>
      </c>
    </row>
    <row r="1596" spans="1:30" x14ac:dyDescent="0.25">
      <c r="A1596">
        <v>795</v>
      </c>
      <c r="B1596">
        <v>4705</v>
      </c>
      <c r="C1596" t="s">
        <v>3101</v>
      </c>
      <c r="D1596" t="s">
        <v>1465</v>
      </c>
      <c r="E1596" t="s">
        <v>151</v>
      </c>
      <c r="F1596" t="s">
        <v>3102</v>
      </c>
      <c r="G1596" t="str">
        <f>"201406001792"</f>
        <v>201406001792</v>
      </c>
      <c r="H1596">
        <v>737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30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81</v>
      </c>
      <c r="W1596">
        <v>567</v>
      </c>
      <c r="X1596">
        <v>0</v>
      </c>
      <c r="Z1596">
        <v>1</v>
      </c>
      <c r="AA1596">
        <v>0</v>
      </c>
      <c r="AB1596">
        <v>0</v>
      </c>
      <c r="AC1596">
        <v>0</v>
      </c>
      <c r="AD1596">
        <v>1334</v>
      </c>
    </row>
    <row r="1597" spans="1:30" x14ac:dyDescent="0.25">
      <c r="H1597">
        <v>1249</v>
      </c>
    </row>
    <row r="1598" spans="1:30" x14ac:dyDescent="0.25">
      <c r="A1598">
        <v>796</v>
      </c>
      <c r="B1598">
        <v>5348</v>
      </c>
      <c r="C1598" t="s">
        <v>3103</v>
      </c>
      <c r="D1598" t="s">
        <v>59</v>
      </c>
      <c r="E1598" t="s">
        <v>40</v>
      </c>
      <c r="F1598" t="s">
        <v>3104</v>
      </c>
      <c r="G1598" t="str">
        <f>"201410002065"</f>
        <v>201410002065</v>
      </c>
      <c r="H1598" t="s">
        <v>168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30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15</v>
      </c>
      <c r="W1598">
        <v>105</v>
      </c>
      <c r="X1598">
        <v>0</v>
      </c>
      <c r="Z1598">
        <v>0</v>
      </c>
      <c r="AA1598">
        <v>0</v>
      </c>
      <c r="AB1598">
        <v>24</v>
      </c>
      <c r="AC1598">
        <v>408</v>
      </c>
      <c r="AD1598" t="s">
        <v>3105</v>
      </c>
    </row>
    <row r="1599" spans="1:30" x14ac:dyDescent="0.25">
      <c r="H1599" t="s">
        <v>3106</v>
      </c>
    </row>
    <row r="1600" spans="1:30" x14ac:dyDescent="0.25">
      <c r="A1600">
        <v>797</v>
      </c>
      <c r="B1600">
        <v>5952</v>
      </c>
      <c r="C1600" t="s">
        <v>3107</v>
      </c>
      <c r="D1600" t="s">
        <v>39</v>
      </c>
      <c r="E1600" t="s">
        <v>162</v>
      </c>
      <c r="F1600" t="s">
        <v>3108</v>
      </c>
      <c r="G1600" t="str">
        <f>"201504000662"</f>
        <v>201504000662</v>
      </c>
      <c r="H1600" t="s">
        <v>1345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84</v>
      </c>
      <c r="W1600">
        <v>588</v>
      </c>
      <c r="X1600">
        <v>0</v>
      </c>
      <c r="Z1600">
        <v>0</v>
      </c>
      <c r="AA1600">
        <v>0</v>
      </c>
      <c r="AB1600">
        <v>0</v>
      </c>
      <c r="AC1600">
        <v>0</v>
      </c>
      <c r="AD1600" t="s">
        <v>3109</v>
      </c>
    </row>
    <row r="1601" spans="1:30" x14ac:dyDescent="0.25">
      <c r="H1601">
        <v>1247</v>
      </c>
    </row>
    <row r="1602" spans="1:30" x14ac:dyDescent="0.25">
      <c r="A1602">
        <v>798</v>
      </c>
      <c r="B1602">
        <v>2374</v>
      </c>
      <c r="C1602" t="s">
        <v>3110</v>
      </c>
      <c r="D1602" t="s">
        <v>3111</v>
      </c>
      <c r="E1602" t="s">
        <v>224</v>
      </c>
      <c r="F1602" t="s">
        <v>3112</v>
      </c>
      <c r="G1602" t="str">
        <f>"201511035531"</f>
        <v>201511035531</v>
      </c>
      <c r="H1602" t="s">
        <v>3113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30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69</v>
      </c>
      <c r="W1602">
        <v>483</v>
      </c>
      <c r="X1602">
        <v>0</v>
      </c>
      <c r="Z1602">
        <v>0</v>
      </c>
      <c r="AA1602">
        <v>0</v>
      </c>
      <c r="AB1602">
        <v>0</v>
      </c>
      <c r="AC1602">
        <v>0</v>
      </c>
      <c r="AD1602" t="s">
        <v>3114</v>
      </c>
    </row>
    <row r="1603" spans="1:30" x14ac:dyDescent="0.25">
      <c r="H1603" t="s">
        <v>3115</v>
      </c>
    </row>
    <row r="1604" spans="1:30" x14ac:dyDescent="0.25">
      <c r="A1604">
        <v>799</v>
      </c>
      <c r="B1604">
        <v>2975</v>
      </c>
      <c r="C1604" t="s">
        <v>3116</v>
      </c>
      <c r="D1604" t="s">
        <v>2713</v>
      </c>
      <c r="E1604" t="s">
        <v>535</v>
      </c>
      <c r="F1604" t="s">
        <v>3117</v>
      </c>
      <c r="G1604" t="str">
        <f>"00366951"</f>
        <v>00366951</v>
      </c>
      <c r="H1604">
        <v>715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30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84</v>
      </c>
      <c r="W1604">
        <v>588</v>
      </c>
      <c r="X1604">
        <v>0</v>
      </c>
      <c r="Z1604">
        <v>1</v>
      </c>
      <c r="AA1604">
        <v>0</v>
      </c>
      <c r="AB1604">
        <v>0</v>
      </c>
      <c r="AC1604">
        <v>0</v>
      </c>
      <c r="AD1604">
        <v>1333</v>
      </c>
    </row>
    <row r="1605" spans="1:30" x14ac:dyDescent="0.25">
      <c r="H1605" t="s">
        <v>2899</v>
      </c>
    </row>
    <row r="1606" spans="1:30" x14ac:dyDescent="0.25">
      <c r="A1606">
        <v>800</v>
      </c>
      <c r="B1606">
        <v>4617</v>
      </c>
      <c r="C1606" t="s">
        <v>3118</v>
      </c>
      <c r="D1606" t="s">
        <v>1570</v>
      </c>
      <c r="E1606" t="s">
        <v>468</v>
      </c>
      <c r="F1606" t="s">
        <v>3119</v>
      </c>
      <c r="G1606" t="str">
        <f>"00318682"</f>
        <v>00318682</v>
      </c>
      <c r="H1606">
        <v>715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30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84</v>
      </c>
      <c r="W1606">
        <v>588</v>
      </c>
      <c r="X1606">
        <v>0</v>
      </c>
      <c r="Z1606">
        <v>0</v>
      </c>
      <c r="AA1606">
        <v>0</v>
      </c>
      <c r="AB1606">
        <v>0</v>
      </c>
      <c r="AC1606">
        <v>0</v>
      </c>
      <c r="AD1606">
        <v>1333</v>
      </c>
    </row>
    <row r="1607" spans="1:30" x14ac:dyDescent="0.25">
      <c r="H1607" t="s">
        <v>3120</v>
      </c>
    </row>
    <row r="1608" spans="1:30" x14ac:dyDescent="0.25">
      <c r="A1608">
        <v>801</v>
      </c>
      <c r="B1608">
        <v>6050</v>
      </c>
      <c r="C1608" t="s">
        <v>3121</v>
      </c>
      <c r="D1608" t="s">
        <v>290</v>
      </c>
      <c r="E1608" t="s">
        <v>51</v>
      </c>
      <c r="F1608" t="s">
        <v>3122</v>
      </c>
      <c r="G1608" t="str">
        <f>"00293376"</f>
        <v>00293376</v>
      </c>
      <c r="H1608">
        <v>715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30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84</v>
      </c>
      <c r="W1608">
        <v>588</v>
      </c>
      <c r="X1608">
        <v>0</v>
      </c>
      <c r="Z1608">
        <v>0</v>
      </c>
      <c r="AA1608">
        <v>0</v>
      </c>
      <c r="AB1608">
        <v>0</v>
      </c>
      <c r="AC1608">
        <v>0</v>
      </c>
      <c r="AD1608">
        <v>1333</v>
      </c>
    </row>
    <row r="1609" spans="1:30" x14ac:dyDescent="0.25">
      <c r="H1609">
        <v>1250</v>
      </c>
    </row>
    <row r="1610" spans="1:30" x14ac:dyDescent="0.25">
      <c r="A1610">
        <v>802</v>
      </c>
      <c r="B1610">
        <v>5141</v>
      </c>
      <c r="C1610" t="s">
        <v>3123</v>
      </c>
      <c r="D1610" t="s">
        <v>3124</v>
      </c>
      <c r="E1610" t="s">
        <v>183</v>
      </c>
      <c r="F1610" t="s">
        <v>3125</v>
      </c>
      <c r="G1610" t="str">
        <f>"00186318"</f>
        <v>00186318</v>
      </c>
      <c r="H1610">
        <v>715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30</v>
      </c>
      <c r="O1610">
        <v>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84</v>
      </c>
      <c r="W1610">
        <v>588</v>
      </c>
      <c r="X1610">
        <v>0</v>
      </c>
      <c r="Z1610">
        <v>0</v>
      </c>
      <c r="AA1610">
        <v>0</v>
      </c>
      <c r="AB1610">
        <v>0</v>
      </c>
      <c r="AC1610">
        <v>0</v>
      </c>
      <c r="AD1610">
        <v>1333</v>
      </c>
    </row>
    <row r="1611" spans="1:30" x14ac:dyDescent="0.25">
      <c r="H1611" t="s">
        <v>3126</v>
      </c>
    </row>
    <row r="1612" spans="1:30" x14ac:dyDescent="0.25">
      <c r="A1612">
        <v>803</v>
      </c>
      <c r="B1612">
        <v>293</v>
      </c>
      <c r="C1612" t="s">
        <v>3127</v>
      </c>
      <c r="D1612" t="s">
        <v>103</v>
      </c>
      <c r="E1612" t="s">
        <v>39</v>
      </c>
      <c r="F1612" t="s">
        <v>3128</v>
      </c>
      <c r="G1612" t="str">
        <f>"201212000023"</f>
        <v>201212000023</v>
      </c>
      <c r="H1612">
        <v>715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30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84</v>
      </c>
      <c r="W1612">
        <v>588</v>
      </c>
      <c r="X1612">
        <v>0</v>
      </c>
      <c r="Z1612">
        <v>0</v>
      </c>
      <c r="AA1612">
        <v>0</v>
      </c>
      <c r="AB1612">
        <v>0</v>
      </c>
      <c r="AC1612">
        <v>0</v>
      </c>
      <c r="AD1612">
        <v>1333</v>
      </c>
    </row>
    <row r="1613" spans="1:30" x14ac:dyDescent="0.25">
      <c r="H1613" t="s">
        <v>3129</v>
      </c>
    </row>
    <row r="1614" spans="1:30" x14ac:dyDescent="0.25">
      <c r="A1614">
        <v>804</v>
      </c>
      <c r="B1614">
        <v>893</v>
      </c>
      <c r="C1614" t="s">
        <v>3130</v>
      </c>
      <c r="D1614" t="s">
        <v>1145</v>
      </c>
      <c r="E1614" t="s">
        <v>91</v>
      </c>
      <c r="F1614" t="s">
        <v>3131</v>
      </c>
      <c r="G1614" t="str">
        <f>"201406010374"</f>
        <v>201406010374</v>
      </c>
      <c r="H1614" t="s">
        <v>3132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30</v>
      </c>
      <c r="O1614">
        <v>30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84</v>
      </c>
      <c r="W1614">
        <v>588</v>
      </c>
      <c r="X1614">
        <v>0</v>
      </c>
      <c r="Z1614">
        <v>1</v>
      </c>
      <c r="AA1614">
        <v>0</v>
      </c>
      <c r="AB1614">
        <v>0</v>
      </c>
      <c r="AC1614">
        <v>0</v>
      </c>
      <c r="AD1614" t="s">
        <v>3133</v>
      </c>
    </row>
    <row r="1615" spans="1:30" x14ac:dyDescent="0.25">
      <c r="H1615" t="s">
        <v>3134</v>
      </c>
    </row>
    <row r="1616" spans="1:30" x14ac:dyDescent="0.25">
      <c r="A1616">
        <v>805</v>
      </c>
      <c r="B1616">
        <v>5507</v>
      </c>
      <c r="C1616" t="s">
        <v>3135</v>
      </c>
      <c r="D1616" t="s">
        <v>3136</v>
      </c>
      <c r="E1616" t="s">
        <v>40</v>
      </c>
      <c r="F1616" t="s">
        <v>3137</v>
      </c>
      <c r="G1616" t="str">
        <f>"201505000496"</f>
        <v>201505000496</v>
      </c>
      <c r="H1616" t="s">
        <v>2434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30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84</v>
      </c>
      <c r="W1616">
        <v>588</v>
      </c>
      <c r="X1616">
        <v>0</v>
      </c>
      <c r="Z1616">
        <v>0</v>
      </c>
      <c r="AA1616">
        <v>0</v>
      </c>
      <c r="AB1616">
        <v>0</v>
      </c>
      <c r="AC1616">
        <v>0</v>
      </c>
      <c r="AD1616" t="s">
        <v>3138</v>
      </c>
    </row>
    <row r="1617" spans="1:30" x14ac:dyDescent="0.25">
      <c r="H1617" t="s">
        <v>864</v>
      </c>
    </row>
    <row r="1618" spans="1:30" x14ac:dyDescent="0.25">
      <c r="A1618">
        <v>806</v>
      </c>
      <c r="B1618">
        <v>2494</v>
      </c>
      <c r="C1618" t="s">
        <v>3139</v>
      </c>
      <c r="D1618" t="s">
        <v>420</v>
      </c>
      <c r="E1618" t="s">
        <v>1292</v>
      </c>
      <c r="F1618" t="s">
        <v>3140</v>
      </c>
      <c r="G1618" t="str">
        <f>"201406001742"</f>
        <v>201406001742</v>
      </c>
      <c r="H1618" t="s">
        <v>3141</v>
      </c>
      <c r="I1618">
        <v>0</v>
      </c>
      <c r="J1618">
        <v>0</v>
      </c>
      <c r="K1618">
        <v>0</v>
      </c>
      <c r="L1618">
        <v>200</v>
      </c>
      <c r="M1618">
        <v>0</v>
      </c>
      <c r="N1618">
        <v>70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30</v>
      </c>
      <c r="W1618">
        <v>210</v>
      </c>
      <c r="X1618">
        <v>0</v>
      </c>
      <c r="Z1618">
        <v>0</v>
      </c>
      <c r="AA1618">
        <v>0</v>
      </c>
      <c r="AB1618">
        <v>0</v>
      </c>
      <c r="AC1618">
        <v>0</v>
      </c>
      <c r="AD1618" t="s">
        <v>3142</v>
      </c>
    </row>
    <row r="1619" spans="1:30" x14ac:dyDescent="0.25">
      <c r="H1619" t="s">
        <v>3143</v>
      </c>
    </row>
    <row r="1620" spans="1:30" x14ac:dyDescent="0.25">
      <c r="A1620">
        <v>807</v>
      </c>
      <c r="B1620">
        <v>4758</v>
      </c>
      <c r="C1620" t="s">
        <v>3144</v>
      </c>
      <c r="D1620" t="s">
        <v>3145</v>
      </c>
      <c r="E1620" t="s">
        <v>2149</v>
      </c>
      <c r="F1620" t="s">
        <v>3146</v>
      </c>
      <c r="G1620" t="str">
        <f>"00254676"</f>
        <v>00254676</v>
      </c>
      <c r="H1620" t="s">
        <v>1261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76</v>
      </c>
      <c r="W1620">
        <v>532</v>
      </c>
      <c r="X1620">
        <v>0</v>
      </c>
      <c r="Z1620">
        <v>0</v>
      </c>
      <c r="AA1620">
        <v>0</v>
      </c>
      <c r="AB1620">
        <v>8</v>
      </c>
      <c r="AC1620">
        <v>136</v>
      </c>
      <c r="AD1620" t="s">
        <v>3147</v>
      </c>
    </row>
    <row r="1621" spans="1:30" x14ac:dyDescent="0.25">
      <c r="H1621" t="s">
        <v>3148</v>
      </c>
    </row>
    <row r="1622" spans="1:30" x14ac:dyDescent="0.25">
      <c r="A1622">
        <v>808</v>
      </c>
      <c r="B1622">
        <v>1369</v>
      </c>
      <c r="C1622" t="s">
        <v>3149</v>
      </c>
      <c r="D1622" t="s">
        <v>140</v>
      </c>
      <c r="E1622" t="s">
        <v>39</v>
      </c>
      <c r="F1622" t="s">
        <v>3150</v>
      </c>
      <c r="G1622" t="str">
        <f>"00306457"</f>
        <v>00306457</v>
      </c>
      <c r="H1622" t="s">
        <v>2928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70</v>
      </c>
      <c r="O1622">
        <v>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18</v>
      </c>
      <c r="W1622">
        <v>126</v>
      </c>
      <c r="X1622">
        <v>0</v>
      </c>
      <c r="Z1622">
        <v>0</v>
      </c>
      <c r="AA1622">
        <v>0</v>
      </c>
      <c r="AB1622">
        <v>24</v>
      </c>
      <c r="AC1622">
        <v>408</v>
      </c>
      <c r="AD1622" t="s">
        <v>3151</v>
      </c>
    </row>
    <row r="1623" spans="1:30" x14ac:dyDescent="0.25">
      <c r="H1623" t="s">
        <v>3152</v>
      </c>
    </row>
    <row r="1624" spans="1:30" x14ac:dyDescent="0.25">
      <c r="A1624">
        <v>809</v>
      </c>
      <c r="B1624">
        <v>4064</v>
      </c>
      <c r="C1624" t="s">
        <v>3153</v>
      </c>
      <c r="D1624" t="s">
        <v>2329</v>
      </c>
      <c r="E1624" t="s">
        <v>51</v>
      </c>
      <c r="F1624" t="s">
        <v>3154</v>
      </c>
      <c r="G1624" t="str">
        <f>"201411002378"</f>
        <v>201411002378</v>
      </c>
      <c r="H1624">
        <v>781</v>
      </c>
      <c r="I1624">
        <v>0</v>
      </c>
      <c r="J1624">
        <v>0</v>
      </c>
      <c r="K1624">
        <v>0</v>
      </c>
      <c r="L1624">
        <v>0</v>
      </c>
      <c r="M1624">
        <v>100</v>
      </c>
      <c r="N1624">
        <v>30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60</v>
      </c>
      <c r="W1624">
        <v>420</v>
      </c>
      <c r="X1624">
        <v>0</v>
      </c>
      <c r="Z1624">
        <v>0</v>
      </c>
      <c r="AA1624">
        <v>0</v>
      </c>
      <c r="AB1624">
        <v>0</v>
      </c>
      <c r="AC1624">
        <v>0</v>
      </c>
      <c r="AD1624">
        <v>1331</v>
      </c>
    </row>
    <row r="1625" spans="1:30" x14ac:dyDescent="0.25">
      <c r="H1625" t="s">
        <v>3155</v>
      </c>
    </row>
    <row r="1626" spans="1:30" x14ac:dyDescent="0.25">
      <c r="A1626">
        <v>810</v>
      </c>
      <c r="B1626">
        <v>1465</v>
      </c>
      <c r="C1626" t="s">
        <v>3156</v>
      </c>
      <c r="D1626" t="s">
        <v>830</v>
      </c>
      <c r="E1626" t="s">
        <v>40</v>
      </c>
      <c r="F1626" t="s">
        <v>3157</v>
      </c>
      <c r="G1626" t="str">
        <f>"201511032900"</f>
        <v>201511032900</v>
      </c>
      <c r="H1626">
        <v>693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50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84</v>
      </c>
      <c r="W1626">
        <v>588</v>
      </c>
      <c r="X1626">
        <v>0</v>
      </c>
      <c r="Z1626">
        <v>0</v>
      </c>
      <c r="AA1626">
        <v>0</v>
      </c>
      <c r="AB1626">
        <v>0</v>
      </c>
      <c r="AC1626">
        <v>0</v>
      </c>
      <c r="AD1626">
        <v>1331</v>
      </c>
    </row>
    <row r="1627" spans="1:30" x14ac:dyDescent="0.25">
      <c r="H1627" t="s">
        <v>3158</v>
      </c>
    </row>
    <row r="1628" spans="1:30" x14ac:dyDescent="0.25">
      <c r="A1628">
        <v>811</v>
      </c>
      <c r="B1628">
        <v>1947</v>
      </c>
      <c r="C1628" t="s">
        <v>3159</v>
      </c>
      <c r="D1628" t="s">
        <v>75</v>
      </c>
      <c r="E1628" t="s">
        <v>151</v>
      </c>
      <c r="F1628" t="s">
        <v>3160</v>
      </c>
      <c r="G1628" t="str">
        <f>"00321378"</f>
        <v>00321378</v>
      </c>
      <c r="H1628">
        <v>693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50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84</v>
      </c>
      <c r="W1628">
        <v>588</v>
      </c>
      <c r="X1628">
        <v>0</v>
      </c>
      <c r="Z1628">
        <v>0</v>
      </c>
      <c r="AA1628">
        <v>0</v>
      </c>
      <c r="AB1628">
        <v>0</v>
      </c>
      <c r="AC1628">
        <v>0</v>
      </c>
      <c r="AD1628">
        <v>1331</v>
      </c>
    </row>
    <row r="1629" spans="1:30" x14ac:dyDescent="0.25">
      <c r="H1629" t="s">
        <v>521</v>
      </c>
    </row>
    <row r="1630" spans="1:30" x14ac:dyDescent="0.25">
      <c r="A1630">
        <v>812</v>
      </c>
      <c r="B1630">
        <v>5482</v>
      </c>
      <c r="C1630" t="s">
        <v>3161</v>
      </c>
      <c r="D1630" t="s">
        <v>3162</v>
      </c>
      <c r="E1630" t="s">
        <v>1620</v>
      </c>
      <c r="F1630" t="s">
        <v>3163</v>
      </c>
      <c r="G1630" t="str">
        <f>"00349812"</f>
        <v>00349812</v>
      </c>
      <c r="H1630" t="s">
        <v>2242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30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84</v>
      </c>
      <c r="W1630">
        <v>588</v>
      </c>
      <c r="X1630">
        <v>0</v>
      </c>
      <c r="Z1630">
        <v>0</v>
      </c>
      <c r="AA1630">
        <v>0</v>
      </c>
      <c r="AB1630">
        <v>0</v>
      </c>
      <c r="AC1630">
        <v>0</v>
      </c>
      <c r="AD1630" t="s">
        <v>3164</v>
      </c>
    </row>
    <row r="1631" spans="1:30" x14ac:dyDescent="0.25">
      <c r="H1631">
        <v>1247</v>
      </c>
    </row>
    <row r="1632" spans="1:30" x14ac:dyDescent="0.25">
      <c r="A1632">
        <v>813</v>
      </c>
      <c r="B1632">
        <v>4807</v>
      </c>
      <c r="C1632" t="s">
        <v>3161</v>
      </c>
      <c r="D1632" t="s">
        <v>869</v>
      </c>
      <c r="E1632" t="s">
        <v>39</v>
      </c>
      <c r="F1632" t="s">
        <v>3165</v>
      </c>
      <c r="G1632" t="str">
        <f>"201406010956"</f>
        <v>201406010956</v>
      </c>
      <c r="H1632" t="s">
        <v>813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70</v>
      </c>
      <c r="O1632">
        <v>0</v>
      </c>
      <c r="P1632">
        <v>0</v>
      </c>
      <c r="Q1632">
        <v>0</v>
      </c>
      <c r="R1632">
        <v>30</v>
      </c>
      <c r="S1632">
        <v>0</v>
      </c>
      <c r="T1632">
        <v>0</v>
      </c>
      <c r="U1632">
        <v>0</v>
      </c>
      <c r="V1632">
        <v>12</v>
      </c>
      <c r="W1632">
        <v>84</v>
      </c>
      <c r="X1632">
        <v>0</v>
      </c>
      <c r="Z1632">
        <v>2</v>
      </c>
      <c r="AA1632">
        <v>0</v>
      </c>
      <c r="AB1632">
        <v>24</v>
      </c>
      <c r="AC1632">
        <v>408</v>
      </c>
      <c r="AD1632" t="s">
        <v>3166</v>
      </c>
    </row>
    <row r="1633" spans="1:30" x14ac:dyDescent="0.25">
      <c r="H1633" t="s">
        <v>3167</v>
      </c>
    </row>
    <row r="1634" spans="1:30" x14ac:dyDescent="0.25">
      <c r="A1634">
        <v>814</v>
      </c>
      <c r="B1634">
        <v>1197</v>
      </c>
      <c r="C1634" t="s">
        <v>3168</v>
      </c>
      <c r="D1634" t="s">
        <v>103</v>
      </c>
      <c r="E1634" t="s">
        <v>239</v>
      </c>
      <c r="F1634" t="s">
        <v>3169</v>
      </c>
      <c r="G1634" t="str">
        <f>"201510001003"</f>
        <v>201510001003</v>
      </c>
      <c r="H1634">
        <v>770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80</v>
      </c>
      <c r="W1634">
        <v>560</v>
      </c>
      <c r="X1634">
        <v>0</v>
      </c>
      <c r="Z1634">
        <v>0</v>
      </c>
      <c r="AA1634">
        <v>0</v>
      </c>
      <c r="AB1634">
        <v>0</v>
      </c>
      <c r="AC1634">
        <v>0</v>
      </c>
      <c r="AD1634">
        <v>1330</v>
      </c>
    </row>
    <row r="1635" spans="1:30" x14ac:dyDescent="0.25">
      <c r="H1635" t="s">
        <v>3170</v>
      </c>
    </row>
    <row r="1636" spans="1:30" x14ac:dyDescent="0.25">
      <c r="A1636">
        <v>815</v>
      </c>
      <c r="B1636">
        <v>2268</v>
      </c>
      <c r="C1636" t="s">
        <v>3171</v>
      </c>
      <c r="D1636" t="s">
        <v>526</v>
      </c>
      <c r="E1636" t="s">
        <v>1603</v>
      </c>
      <c r="F1636" t="s">
        <v>3172</v>
      </c>
      <c r="G1636" t="str">
        <f>"00323969"</f>
        <v>00323969</v>
      </c>
      <c r="H1636">
        <v>682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30</v>
      </c>
      <c r="O1636">
        <v>0</v>
      </c>
      <c r="P1636">
        <v>30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84</v>
      </c>
      <c r="W1636">
        <v>588</v>
      </c>
      <c r="X1636">
        <v>0</v>
      </c>
      <c r="Z1636">
        <v>0</v>
      </c>
      <c r="AA1636">
        <v>0</v>
      </c>
      <c r="AB1636">
        <v>0</v>
      </c>
      <c r="AC1636">
        <v>0</v>
      </c>
      <c r="AD1636">
        <v>1330</v>
      </c>
    </row>
    <row r="1637" spans="1:30" x14ac:dyDescent="0.25">
      <c r="H1637" t="s">
        <v>3173</v>
      </c>
    </row>
    <row r="1638" spans="1:30" x14ac:dyDescent="0.25">
      <c r="A1638">
        <v>816</v>
      </c>
      <c r="B1638">
        <v>3634</v>
      </c>
      <c r="C1638" t="s">
        <v>3174</v>
      </c>
      <c r="D1638" t="s">
        <v>40</v>
      </c>
      <c r="E1638" t="s">
        <v>107</v>
      </c>
      <c r="F1638" t="s">
        <v>3175</v>
      </c>
      <c r="G1638" t="str">
        <f>"201402004914"</f>
        <v>201402004914</v>
      </c>
      <c r="H1638" t="s">
        <v>514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50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29</v>
      </c>
      <c r="W1638">
        <v>203</v>
      </c>
      <c r="X1638">
        <v>0</v>
      </c>
      <c r="Z1638">
        <v>0</v>
      </c>
      <c r="AA1638">
        <v>0</v>
      </c>
      <c r="AB1638">
        <v>19</v>
      </c>
      <c r="AC1638">
        <v>323</v>
      </c>
      <c r="AD1638" t="s">
        <v>3176</v>
      </c>
    </row>
    <row r="1639" spans="1:30" x14ac:dyDescent="0.25">
      <c r="H1639" t="s">
        <v>3177</v>
      </c>
    </row>
    <row r="1640" spans="1:30" x14ac:dyDescent="0.25">
      <c r="A1640">
        <v>817</v>
      </c>
      <c r="B1640">
        <v>3833</v>
      </c>
      <c r="C1640" t="s">
        <v>3178</v>
      </c>
      <c r="D1640" t="s">
        <v>262</v>
      </c>
      <c r="E1640" t="s">
        <v>115</v>
      </c>
      <c r="F1640" t="s">
        <v>3179</v>
      </c>
      <c r="G1640" t="str">
        <f>"201406000583"</f>
        <v>201406000583</v>
      </c>
      <c r="H1640" t="s">
        <v>1490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70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84</v>
      </c>
      <c r="W1640">
        <v>588</v>
      </c>
      <c r="X1640">
        <v>0</v>
      </c>
      <c r="Z1640">
        <v>0</v>
      </c>
      <c r="AA1640">
        <v>0</v>
      </c>
      <c r="AB1640">
        <v>0</v>
      </c>
      <c r="AC1640">
        <v>0</v>
      </c>
      <c r="AD1640" t="s">
        <v>3180</v>
      </c>
    </row>
    <row r="1641" spans="1:30" x14ac:dyDescent="0.25">
      <c r="H1641" t="s">
        <v>3181</v>
      </c>
    </row>
    <row r="1642" spans="1:30" x14ac:dyDescent="0.25">
      <c r="A1642">
        <v>818</v>
      </c>
      <c r="B1642">
        <v>234</v>
      </c>
      <c r="C1642" t="s">
        <v>3182</v>
      </c>
      <c r="D1642" t="s">
        <v>335</v>
      </c>
      <c r="E1642" t="s">
        <v>3183</v>
      </c>
      <c r="F1642" t="s">
        <v>3184</v>
      </c>
      <c r="G1642" t="str">
        <f>"200712002219"</f>
        <v>200712002219</v>
      </c>
      <c r="H1642" t="s">
        <v>2618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30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84</v>
      </c>
      <c r="W1642">
        <v>588</v>
      </c>
      <c r="X1642">
        <v>0</v>
      </c>
      <c r="Z1642">
        <v>1</v>
      </c>
      <c r="AA1642">
        <v>0</v>
      </c>
      <c r="AB1642">
        <v>0</v>
      </c>
      <c r="AC1642">
        <v>0</v>
      </c>
      <c r="AD1642" t="s">
        <v>3185</v>
      </c>
    </row>
    <row r="1643" spans="1:30" x14ac:dyDescent="0.25">
      <c r="H1643" t="s">
        <v>3186</v>
      </c>
    </row>
    <row r="1644" spans="1:30" x14ac:dyDescent="0.25">
      <c r="A1644">
        <v>819</v>
      </c>
      <c r="B1644">
        <v>4183</v>
      </c>
      <c r="C1644" t="s">
        <v>891</v>
      </c>
      <c r="D1644" t="s">
        <v>14</v>
      </c>
      <c r="E1644" t="s">
        <v>107</v>
      </c>
      <c r="F1644" t="s">
        <v>3187</v>
      </c>
      <c r="G1644" t="str">
        <f>"00363536"</f>
        <v>00363536</v>
      </c>
      <c r="H1644">
        <v>737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30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80</v>
      </c>
      <c r="W1644">
        <v>560</v>
      </c>
      <c r="X1644">
        <v>0</v>
      </c>
      <c r="Z1644">
        <v>0</v>
      </c>
      <c r="AA1644">
        <v>0</v>
      </c>
      <c r="AB1644">
        <v>0</v>
      </c>
      <c r="AC1644">
        <v>0</v>
      </c>
      <c r="AD1644">
        <v>1327</v>
      </c>
    </row>
    <row r="1645" spans="1:30" x14ac:dyDescent="0.25">
      <c r="H1645" t="s">
        <v>3188</v>
      </c>
    </row>
    <row r="1646" spans="1:30" x14ac:dyDescent="0.25">
      <c r="A1646">
        <v>820</v>
      </c>
      <c r="B1646">
        <v>1817</v>
      </c>
      <c r="C1646" t="s">
        <v>3189</v>
      </c>
      <c r="D1646" t="s">
        <v>98</v>
      </c>
      <c r="E1646" t="s">
        <v>3190</v>
      </c>
      <c r="F1646" t="s">
        <v>3191</v>
      </c>
      <c r="G1646" t="str">
        <f>"201406000278"</f>
        <v>201406000278</v>
      </c>
      <c r="H1646" t="s">
        <v>1091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30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84</v>
      </c>
      <c r="W1646">
        <v>588</v>
      </c>
      <c r="X1646">
        <v>0</v>
      </c>
      <c r="Z1646">
        <v>0</v>
      </c>
      <c r="AA1646">
        <v>0</v>
      </c>
      <c r="AB1646">
        <v>0</v>
      </c>
      <c r="AC1646">
        <v>0</v>
      </c>
      <c r="AD1646" t="s">
        <v>3192</v>
      </c>
    </row>
    <row r="1647" spans="1:30" x14ac:dyDescent="0.25">
      <c r="H1647" t="s">
        <v>3193</v>
      </c>
    </row>
    <row r="1648" spans="1:30" x14ac:dyDescent="0.25">
      <c r="A1648">
        <v>821</v>
      </c>
      <c r="B1648">
        <v>5800</v>
      </c>
      <c r="C1648" t="s">
        <v>3194</v>
      </c>
      <c r="D1648" t="s">
        <v>75</v>
      </c>
      <c r="E1648" t="s">
        <v>2487</v>
      </c>
      <c r="F1648" t="s">
        <v>3195</v>
      </c>
      <c r="G1648" t="str">
        <f>"201411000906"</f>
        <v>201411000906</v>
      </c>
      <c r="H1648" t="s">
        <v>1091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30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84</v>
      </c>
      <c r="W1648">
        <v>588</v>
      </c>
      <c r="X1648">
        <v>0</v>
      </c>
      <c r="Z1648">
        <v>0</v>
      </c>
      <c r="AA1648">
        <v>0</v>
      </c>
      <c r="AB1648">
        <v>0</v>
      </c>
      <c r="AC1648">
        <v>0</v>
      </c>
      <c r="AD1648" t="s">
        <v>3192</v>
      </c>
    </row>
    <row r="1649" spans="1:30" x14ac:dyDescent="0.25">
      <c r="H1649" t="s">
        <v>1852</v>
      </c>
    </row>
    <row r="1650" spans="1:30" x14ac:dyDescent="0.25">
      <c r="A1650">
        <v>822</v>
      </c>
      <c r="B1650">
        <v>5955</v>
      </c>
      <c r="C1650" t="s">
        <v>3196</v>
      </c>
      <c r="D1650" t="s">
        <v>420</v>
      </c>
      <c r="E1650" t="s">
        <v>176</v>
      </c>
      <c r="F1650" t="s">
        <v>3197</v>
      </c>
      <c r="G1650" t="str">
        <f>"00222051"</f>
        <v>00222051</v>
      </c>
      <c r="H1650" t="s">
        <v>1054</v>
      </c>
      <c r="I1650">
        <v>0</v>
      </c>
      <c r="J1650">
        <v>0</v>
      </c>
      <c r="K1650">
        <v>0</v>
      </c>
      <c r="L1650">
        <v>200</v>
      </c>
      <c r="M1650">
        <v>0</v>
      </c>
      <c r="N1650">
        <v>50</v>
      </c>
      <c r="O1650">
        <v>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45</v>
      </c>
      <c r="W1650">
        <v>315</v>
      </c>
      <c r="X1650">
        <v>0</v>
      </c>
      <c r="Z1650">
        <v>0</v>
      </c>
      <c r="AA1650">
        <v>0</v>
      </c>
      <c r="AB1650">
        <v>0</v>
      </c>
      <c r="AC1650">
        <v>0</v>
      </c>
      <c r="AD1650" t="s">
        <v>3198</v>
      </c>
    </row>
    <row r="1651" spans="1:30" x14ac:dyDescent="0.25">
      <c r="H1651" t="s">
        <v>3199</v>
      </c>
    </row>
    <row r="1652" spans="1:30" x14ac:dyDescent="0.25">
      <c r="A1652">
        <v>823</v>
      </c>
      <c r="B1652">
        <v>6290</v>
      </c>
      <c r="C1652" t="s">
        <v>1693</v>
      </c>
      <c r="D1652" t="s">
        <v>46</v>
      </c>
      <c r="E1652" t="s">
        <v>40</v>
      </c>
      <c r="F1652" t="s">
        <v>3200</v>
      </c>
      <c r="G1652" t="str">
        <f>"00194066"</f>
        <v>00194066</v>
      </c>
      <c r="H1652">
        <v>715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30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83</v>
      </c>
      <c r="W1652">
        <v>581</v>
      </c>
      <c r="X1652">
        <v>0</v>
      </c>
      <c r="Z1652">
        <v>0</v>
      </c>
      <c r="AA1652">
        <v>0</v>
      </c>
      <c r="AB1652">
        <v>0</v>
      </c>
      <c r="AC1652">
        <v>0</v>
      </c>
      <c r="AD1652">
        <v>1326</v>
      </c>
    </row>
    <row r="1653" spans="1:30" x14ac:dyDescent="0.25">
      <c r="H1653" t="s">
        <v>3201</v>
      </c>
    </row>
    <row r="1654" spans="1:30" x14ac:dyDescent="0.25">
      <c r="A1654">
        <v>824</v>
      </c>
      <c r="B1654">
        <v>4653</v>
      </c>
      <c r="C1654" t="s">
        <v>3202</v>
      </c>
      <c r="D1654" t="s">
        <v>75</v>
      </c>
      <c r="E1654" t="s">
        <v>595</v>
      </c>
      <c r="F1654" t="s">
        <v>3203</v>
      </c>
      <c r="G1654" t="str">
        <f>"00285103"</f>
        <v>00285103</v>
      </c>
      <c r="H1654" t="s">
        <v>204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70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75</v>
      </c>
      <c r="W1654">
        <v>525</v>
      </c>
      <c r="X1654">
        <v>0</v>
      </c>
      <c r="Z1654">
        <v>2</v>
      </c>
      <c r="AA1654">
        <v>0</v>
      </c>
      <c r="AB1654">
        <v>0</v>
      </c>
      <c r="AC1654">
        <v>0</v>
      </c>
      <c r="AD1654" t="s">
        <v>3204</v>
      </c>
    </row>
    <row r="1655" spans="1:30" x14ac:dyDescent="0.25">
      <c r="H1655" t="s">
        <v>3205</v>
      </c>
    </row>
    <row r="1656" spans="1:30" x14ac:dyDescent="0.25">
      <c r="A1656">
        <v>825</v>
      </c>
      <c r="B1656">
        <v>3045</v>
      </c>
      <c r="C1656" t="s">
        <v>3206</v>
      </c>
      <c r="D1656" t="s">
        <v>238</v>
      </c>
      <c r="E1656" t="s">
        <v>40</v>
      </c>
      <c r="F1656" t="s">
        <v>3207</v>
      </c>
      <c r="G1656" t="str">
        <f>"200801010867"</f>
        <v>200801010867</v>
      </c>
      <c r="H1656" t="s">
        <v>638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30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84</v>
      </c>
      <c r="W1656">
        <v>588</v>
      </c>
      <c r="X1656">
        <v>0</v>
      </c>
      <c r="Z1656">
        <v>0</v>
      </c>
      <c r="AA1656">
        <v>0</v>
      </c>
      <c r="AB1656">
        <v>0</v>
      </c>
      <c r="AC1656">
        <v>0</v>
      </c>
      <c r="AD1656" t="s">
        <v>3208</v>
      </c>
    </row>
    <row r="1657" spans="1:30" x14ac:dyDescent="0.25">
      <c r="H1657">
        <v>1249</v>
      </c>
    </row>
    <row r="1658" spans="1:30" x14ac:dyDescent="0.25">
      <c r="A1658">
        <v>826</v>
      </c>
      <c r="B1658">
        <v>511</v>
      </c>
      <c r="C1658" t="s">
        <v>3209</v>
      </c>
      <c r="D1658" t="s">
        <v>87</v>
      </c>
      <c r="E1658" t="s">
        <v>140</v>
      </c>
      <c r="F1658" t="s">
        <v>3210</v>
      </c>
      <c r="G1658" t="str">
        <f>"00236460"</f>
        <v>00236460</v>
      </c>
      <c r="H1658" t="s">
        <v>638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30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84</v>
      </c>
      <c r="W1658">
        <v>588</v>
      </c>
      <c r="X1658">
        <v>0</v>
      </c>
      <c r="Z1658">
        <v>0</v>
      </c>
      <c r="AA1658">
        <v>0</v>
      </c>
      <c r="AB1658">
        <v>0</v>
      </c>
      <c r="AC1658">
        <v>0</v>
      </c>
      <c r="AD1658" t="s">
        <v>3208</v>
      </c>
    </row>
    <row r="1659" spans="1:30" x14ac:dyDescent="0.25">
      <c r="H1659">
        <v>1250</v>
      </c>
    </row>
    <row r="1660" spans="1:30" x14ac:dyDescent="0.25">
      <c r="A1660">
        <v>827</v>
      </c>
      <c r="B1660">
        <v>3249</v>
      </c>
      <c r="C1660" t="s">
        <v>1402</v>
      </c>
      <c r="D1660" t="s">
        <v>223</v>
      </c>
      <c r="E1660" t="s">
        <v>162</v>
      </c>
      <c r="F1660" t="s">
        <v>3211</v>
      </c>
      <c r="G1660" t="str">
        <f>"00221791"</f>
        <v>00221791</v>
      </c>
      <c r="H1660" t="s">
        <v>3212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70</v>
      </c>
      <c r="O1660">
        <v>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84</v>
      </c>
      <c r="W1660">
        <v>588</v>
      </c>
      <c r="X1660">
        <v>0</v>
      </c>
      <c r="Z1660">
        <v>0</v>
      </c>
      <c r="AA1660">
        <v>0</v>
      </c>
      <c r="AB1660">
        <v>0</v>
      </c>
      <c r="AC1660">
        <v>0</v>
      </c>
      <c r="AD1660" t="s">
        <v>3213</v>
      </c>
    </row>
    <row r="1661" spans="1:30" x14ac:dyDescent="0.25">
      <c r="H1661" t="s">
        <v>3214</v>
      </c>
    </row>
    <row r="1662" spans="1:30" x14ac:dyDescent="0.25">
      <c r="A1662">
        <v>828</v>
      </c>
      <c r="B1662">
        <v>6016</v>
      </c>
      <c r="C1662" t="s">
        <v>3215</v>
      </c>
      <c r="D1662" t="s">
        <v>182</v>
      </c>
      <c r="E1662" t="s">
        <v>99</v>
      </c>
      <c r="F1662" t="s">
        <v>3216</v>
      </c>
      <c r="G1662" t="str">
        <f>"201511042602"</f>
        <v>201511042602</v>
      </c>
      <c r="H1662" t="s">
        <v>622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77</v>
      </c>
      <c r="W1662">
        <v>539</v>
      </c>
      <c r="X1662">
        <v>0</v>
      </c>
      <c r="Z1662">
        <v>2</v>
      </c>
      <c r="AA1662">
        <v>0</v>
      </c>
      <c r="AB1662">
        <v>0</v>
      </c>
      <c r="AC1662">
        <v>0</v>
      </c>
      <c r="AD1662" t="s">
        <v>3217</v>
      </c>
    </row>
    <row r="1663" spans="1:30" x14ac:dyDescent="0.25">
      <c r="H1663" t="s">
        <v>3218</v>
      </c>
    </row>
    <row r="1664" spans="1:30" x14ac:dyDescent="0.25">
      <c r="A1664">
        <v>829</v>
      </c>
      <c r="B1664">
        <v>1628</v>
      </c>
      <c r="C1664" t="s">
        <v>3219</v>
      </c>
      <c r="D1664" t="s">
        <v>98</v>
      </c>
      <c r="E1664" t="s">
        <v>2653</v>
      </c>
      <c r="F1664" t="s">
        <v>3220</v>
      </c>
      <c r="G1664" t="str">
        <f>"00236738"</f>
        <v>00236738</v>
      </c>
      <c r="H1664" t="s">
        <v>1303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30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84</v>
      </c>
      <c r="W1664">
        <v>588</v>
      </c>
      <c r="X1664">
        <v>0</v>
      </c>
      <c r="Z1664">
        <v>1</v>
      </c>
      <c r="AA1664">
        <v>0</v>
      </c>
      <c r="AB1664">
        <v>0</v>
      </c>
      <c r="AC1664">
        <v>0</v>
      </c>
      <c r="AD1664" t="s">
        <v>3221</v>
      </c>
    </row>
    <row r="1665" spans="1:30" x14ac:dyDescent="0.25">
      <c r="H1665" t="s">
        <v>1852</v>
      </c>
    </row>
    <row r="1666" spans="1:30" x14ac:dyDescent="0.25">
      <c r="A1666">
        <v>830</v>
      </c>
      <c r="B1666">
        <v>3226</v>
      </c>
      <c r="C1666" t="s">
        <v>2547</v>
      </c>
      <c r="D1666" t="s">
        <v>420</v>
      </c>
      <c r="E1666" t="s">
        <v>51</v>
      </c>
      <c r="F1666" t="s">
        <v>3222</v>
      </c>
      <c r="G1666" t="str">
        <f>"00301180"</f>
        <v>00301180</v>
      </c>
      <c r="H1666" t="s">
        <v>123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84</v>
      </c>
      <c r="W1666">
        <v>588</v>
      </c>
      <c r="X1666">
        <v>0</v>
      </c>
      <c r="Z1666">
        <v>2</v>
      </c>
      <c r="AA1666">
        <v>0</v>
      </c>
      <c r="AB1666">
        <v>0</v>
      </c>
      <c r="AC1666">
        <v>0</v>
      </c>
      <c r="AD1666" t="s">
        <v>3223</v>
      </c>
    </row>
    <row r="1667" spans="1:30" x14ac:dyDescent="0.25">
      <c r="H1667" t="s">
        <v>3224</v>
      </c>
    </row>
    <row r="1668" spans="1:30" x14ac:dyDescent="0.25">
      <c r="A1668">
        <v>831</v>
      </c>
      <c r="B1668">
        <v>4872</v>
      </c>
      <c r="C1668" t="s">
        <v>3225</v>
      </c>
      <c r="D1668" t="s">
        <v>3226</v>
      </c>
      <c r="E1668" t="s">
        <v>238</v>
      </c>
      <c r="F1668" t="s">
        <v>3227</v>
      </c>
      <c r="G1668" t="str">
        <f>"00194724"</f>
        <v>00194724</v>
      </c>
      <c r="H1668" t="s">
        <v>1806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83</v>
      </c>
      <c r="W1668">
        <v>581</v>
      </c>
      <c r="X1668">
        <v>0</v>
      </c>
      <c r="Z1668">
        <v>1</v>
      </c>
      <c r="AA1668">
        <v>0</v>
      </c>
      <c r="AB1668">
        <v>0</v>
      </c>
      <c r="AC1668">
        <v>0</v>
      </c>
      <c r="AD1668" t="s">
        <v>3228</v>
      </c>
    </row>
    <row r="1669" spans="1:30" x14ac:dyDescent="0.25">
      <c r="H1669" t="s">
        <v>3229</v>
      </c>
    </row>
    <row r="1670" spans="1:30" x14ac:dyDescent="0.25">
      <c r="A1670">
        <v>832</v>
      </c>
      <c r="B1670">
        <v>6115</v>
      </c>
      <c r="C1670" t="s">
        <v>3230</v>
      </c>
      <c r="D1670" t="s">
        <v>251</v>
      </c>
      <c r="E1670" t="s">
        <v>468</v>
      </c>
      <c r="F1670" t="s">
        <v>3231</v>
      </c>
      <c r="G1670" t="str">
        <f>"201409006734"</f>
        <v>201409006734</v>
      </c>
      <c r="H1670" t="s">
        <v>3232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30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30</v>
      </c>
      <c r="W1670">
        <v>210</v>
      </c>
      <c r="X1670">
        <v>0</v>
      </c>
      <c r="Z1670">
        <v>2</v>
      </c>
      <c r="AA1670">
        <v>0</v>
      </c>
      <c r="AB1670">
        <v>24</v>
      </c>
      <c r="AC1670">
        <v>408</v>
      </c>
      <c r="AD1670" t="s">
        <v>3233</v>
      </c>
    </row>
    <row r="1671" spans="1:30" x14ac:dyDescent="0.25">
      <c r="H1671" t="s">
        <v>3234</v>
      </c>
    </row>
    <row r="1672" spans="1:30" x14ac:dyDescent="0.25">
      <c r="A1672">
        <v>833</v>
      </c>
      <c r="B1672">
        <v>1605</v>
      </c>
      <c r="C1672" t="s">
        <v>3235</v>
      </c>
      <c r="D1672" t="s">
        <v>46</v>
      </c>
      <c r="E1672" t="s">
        <v>151</v>
      </c>
      <c r="F1672" t="s">
        <v>3236</v>
      </c>
      <c r="G1672" t="str">
        <f>"201406005553"</f>
        <v>201406005553</v>
      </c>
      <c r="H1672">
        <v>704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30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84</v>
      </c>
      <c r="W1672">
        <v>588</v>
      </c>
      <c r="X1672">
        <v>0</v>
      </c>
      <c r="Z1672">
        <v>0</v>
      </c>
      <c r="AA1672">
        <v>0</v>
      </c>
      <c r="AB1672">
        <v>0</v>
      </c>
      <c r="AC1672">
        <v>0</v>
      </c>
      <c r="AD1672">
        <v>1322</v>
      </c>
    </row>
    <row r="1673" spans="1:30" x14ac:dyDescent="0.25">
      <c r="H1673" t="s">
        <v>3237</v>
      </c>
    </row>
    <row r="1674" spans="1:30" x14ac:dyDescent="0.25">
      <c r="A1674">
        <v>834</v>
      </c>
      <c r="B1674">
        <v>1249</v>
      </c>
      <c r="C1674" t="s">
        <v>3238</v>
      </c>
      <c r="D1674" t="s">
        <v>182</v>
      </c>
      <c r="E1674" t="s">
        <v>1502</v>
      </c>
      <c r="F1674" t="s">
        <v>3239</v>
      </c>
      <c r="G1674" t="str">
        <f>"00301725"</f>
        <v>00301725</v>
      </c>
      <c r="H1674">
        <v>704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30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84</v>
      </c>
      <c r="W1674">
        <v>588</v>
      </c>
      <c r="X1674">
        <v>0</v>
      </c>
      <c r="Z1674">
        <v>0</v>
      </c>
      <c r="AA1674">
        <v>0</v>
      </c>
      <c r="AB1674">
        <v>0</v>
      </c>
      <c r="AC1674">
        <v>0</v>
      </c>
      <c r="AD1674">
        <v>1322</v>
      </c>
    </row>
    <row r="1675" spans="1:30" x14ac:dyDescent="0.25">
      <c r="H1675" t="s">
        <v>3240</v>
      </c>
    </row>
    <row r="1676" spans="1:30" x14ac:dyDescent="0.25">
      <c r="A1676">
        <v>835</v>
      </c>
      <c r="B1676">
        <v>3954</v>
      </c>
      <c r="C1676" t="s">
        <v>1211</v>
      </c>
      <c r="D1676" t="s">
        <v>3241</v>
      </c>
      <c r="E1676" t="s">
        <v>151</v>
      </c>
      <c r="F1676" t="s">
        <v>3242</v>
      </c>
      <c r="G1676" t="str">
        <f>"00029212"</f>
        <v>00029212</v>
      </c>
      <c r="H1676">
        <v>704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30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84</v>
      </c>
      <c r="W1676">
        <v>588</v>
      </c>
      <c r="X1676">
        <v>0</v>
      </c>
      <c r="Z1676">
        <v>2</v>
      </c>
      <c r="AA1676">
        <v>0</v>
      </c>
      <c r="AB1676">
        <v>0</v>
      </c>
      <c r="AC1676">
        <v>0</v>
      </c>
      <c r="AD1676">
        <v>1322</v>
      </c>
    </row>
    <row r="1677" spans="1:30" x14ac:dyDescent="0.25">
      <c r="H1677" t="s">
        <v>3243</v>
      </c>
    </row>
    <row r="1678" spans="1:30" x14ac:dyDescent="0.25">
      <c r="A1678">
        <v>836</v>
      </c>
      <c r="B1678">
        <v>3173</v>
      </c>
      <c r="C1678" t="s">
        <v>3244</v>
      </c>
      <c r="D1678" t="s">
        <v>373</v>
      </c>
      <c r="E1678" t="s">
        <v>107</v>
      </c>
      <c r="F1678" t="s">
        <v>3245</v>
      </c>
      <c r="G1678" t="str">
        <f>"00200317"</f>
        <v>00200317</v>
      </c>
      <c r="H1678">
        <v>704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30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84</v>
      </c>
      <c r="W1678">
        <v>588</v>
      </c>
      <c r="X1678">
        <v>0</v>
      </c>
      <c r="Z1678">
        <v>0</v>
      </c>
      <c r="AA1678">
        <v>0</v>
      </c>
      <c r="AB1678">
        <v>0</v>
      </c>
      <c r="AC1678">
        <v>0</v>
      </c>
      <c r="AD1678">
        <v>1322</v>
      </c>
    </row>
    <row r="1679" spans="1:30" x14ac:dyDescent="0.25">
      <c r="H1679" t="s">
        <v>3246</v>
      </c>
    </row>
    <row r="1680" spans="1:30" x14ac:dyDescent="0.25">
      <c r="A1680">
        <v>837</v>
      </c>
      <c r="B1680">
        <v>3618</v>
      </c>
      <c r="C1680" t="s">
        <v>3247</v>
      </c>
      <c r="D1680" t="s">
        <v>86</v>
      </c>
      <c r="E1680" t="s">
        <v>51</v>
      </c>
      <c r="F1680" t="s">
        <v>3248</v>
      </c>
      <c r="G1680" t="str">
        <f>"00019351"</f>
        <v>00019351</v>
      </c>
      <c r="H1680">
        <v>704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30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84</v>
      </c>
      <c r="W1680">
        <v>588</v>
      </c>
      <c r="X1680">
        <v>0</v>
      </c>
      <c r="Z1680">
        <v>0</v>
      </c>
      <c r="AA1680">
        <v>0</v>
      </c>
      <c r="AB1680">
        <v>0</v>
      </c>
      <c r="AC1680">
        <v>0</v>
      </c>
      <c r="AD1680">
        <v>1322</v>
      </c>
    </row>
    <row r="1681" spans="1:30" x14ac:dyDescent="0.25">
      <c r="H1681" t="s">
        <v>3249</v>
      </c>
    </row>
    <row r="1682" spans="1:30" x14ac:dyDescent="0.25">
      <c r="A1682">
        <v>838</v>
      </c>
      <c r="B1682">
        <v>4960</v>
      </c>
      <c r="C1682" t="s">
        <v>3250</v>
      </c>
      <c r="D1682" t="s">
        <v>335</v>
      </c>
      <c r="E1682" t="s">
        <v>107</v>
      </c>
      <c r="F1682" t="s">
        <v>3251</v>
      </c>
      <c r="G1682" t="str">
        <f>"00035870"</f>
        <v>00035870</v>
      </c>
      <c r="H1682">
        <v>704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30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84</v>
      </c>
      <c r="W1682">
        <v>588</v>
      </c>
      <c r="X1682">
        <v>0</v>
      </c>
      <c r="Z1682">
        <v>0</v>
      </c>
      <c r="AA1682">
        <v>0</v>
      </c>
      <c r="AB1682">
        <v>0</v>
      </c>
      <c r="AC1682">
        <v>0</v>
      </c>
      <c r="AD1682">
        <v>1322</v>
      </c>
    </row>
    <row r="1683" spans="1:30" x14ac:dyDescent="0.25">
      <c r="H1683" t="s">
        <v>3252</v>
      </c>
    </row>
    <row r="1684" spans="1:30" x14ac:dyDescent="0.25">
      <c r="A1684">
        <v>839</v>
      </c>
      <c r="B1684">
        <v>1992</v>
      </c>
      <c r="C1684" t="s">
        <v>2053</v>
      </c>
      <c r="D1684" t="s">
        <v>1269</v>
      </c>
      <c r="E1684" t="s">
        <v>140</v>
      </c>
      <c r="F1684" t="s">
        <v>3253</v>
      </c>
      <c r="G1684" t="str">
        <f>"200804000547"</f>
        <v>200804000547</v>
      </c>
      <c r="H1684">
        <v>704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30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84</v>
      </c>
      <c r="W1684">
        <v>588</v>
      </c>
      <c r="X1684">
        <v>0</v>
      </c>
      <c r="Z1684">
        <v>0</v>
      </c>
      <c r="AA1684">
        <v>0</v>
      </c>
      <c r="AB1684">
        <v>0</v>
      </c>
      <c r="AC1684">
        <v>0</v>
      </c>
      <c r="AD1684">
        <v>1322</v>
      </c>
    </row>
    <row r="1685" spans="1:30" x14ac:dyDescent="0.25">
      <c r="H1685" t="s">
        <v>3254</v>
      </c>
    </row>
    <row r="1686" spans="1:30" x14ac:dyDescent="0.25">
      <c r="A1686">
        <v>840</v>
      </c>
      <c r="B1686">
        <v>991</v>
      </c>
      <c r="C1686" t="s">
        <v>3255</v>
      </c>
      <c r="D1686" t="s">
        <v>526</v>
      </c>
      <c r="E1686" t="s">
        <v>162</v>
      </c>
      <c r="F1686" t="s">
        <v>3256</v>
      </c>
      <c r="G1686" t="str">
        <f>"201409003652"</f>
        <v>201409003652</v>
      </c>
      <c r="H1686">
        <v>704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30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84</v>
      </c>
      <c r="W1686">
        <v>588</v>
      </c>
      <c r="X1686">
        <v>0</v>
      </c>
      <c r="Z1686">
        <v>0</v>
      </c>
      <c r="AA1686">
        <v>0</v>
      </c>
      <c r="AB1686">
        <v>0</v>
      </c>
      <c r="AC1686">
        <v>0</v>
      </c>
      <c r="AD1686">
        <v>1322</v>
      </c>
    </row>
    <row r="1687" spans="1:30" x14ac:dyDescent="0.25">
      <c r="H1687" t="s">
        <v>3257</v>
      </c>
    </row>
    <row r="1688" spans="1:30" x14ac:dyDescent="0.25">
      <c r="A1688">
        <v>841</v>
      </c>
      <c r="B1688">
        <v>3876</v>
      </c>
      <c r="C1688" t="s">
        <v>3258</v>
      </c>
      <c r="D1688" t="s">
        <v>3259</v>
      </c>
      <c r="E1688" t="s">
        <v>224</v>
      </c>
      <c r="F1688" t="s">
        <v>3260</v>
      </c>
      <c r="G1688" t="str">
        <f>"201407000231"</f>
        <v>201407000231</v>
      </c>
      <c r="H1688">
        <v>704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30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84</v>
      </c>
      <c r="W1688">
        <v>588</v>
      </c>
      <c r="X1688">
        <v>0</v>
      </c>
      <c r="Z1688">
        <v>1</v>
      </c>
      <c r="AA1688">
        <v>0</v>
      </c>
      <c r="AB1688">
        <v>0</v>
      </c>
      <c r="AC1688">
        <v>0</v>
      </c>
      <c r="AD1688">
        <v>1322</v>
      </c>
    </row>
    <row r="1689" spans="1:30" x14ac:dyDescent="0.25">
      <c r="H1689" t="s">
        <v>3261</v>
      </c>
    </row>
    <row r="1690" spans="1:30" x14ac:dyDescent="0.25">
      <c r="A1690">
        <v>842</v>
      </c>
      <c r="B1690">
        <v>2459</v>
      </c>
      <c r="C1690" t="s">
        <v>3262</v>
      </c>
      <c r="D1690" t="s">
        <v>144</v>
      </c>
      <c r="E1690" t="s">
        <v>190</v>
      </c>
      <c r="F1690" t="s">
        <v>3263</v>
      </c>
      <c r="G1690" t="str">
        <f>"00266061"</f>
        <v>00266061</v>
      </c>
      <c r="H1690" t="s">
        <v>293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84</v>
      </c>
      <c r="W1690">
        <v>588</v>
      </c>
      <c r="X1690">
        <v>0</v>
      </c>
      <c r="Z1690">
        <v>0</v>
      </c>
      <c r="AA1690">
        <v>0</v>
      </c>
      <c r="AB1690">
        <v>0</v>
      </c>
      <c r="AC1690">
        <v>0</v>
      </c>
      <c r="AD1690" t="s">
        <v>3264</v>
      </c>
    </row>
    <row r="1691" spans="1:30" x14ac:dyDescent="0.25">
      <c r="H1691" t="s">
        <v>3265</v>
      </c>
    </row>
    <row r="1692" spans="1:30" x14ac:dyDescent="0.25">
      <c r="A1692">
        <v>843</v>
      </c>
      <c r="B1692">
        <v>6165</v>
      </c>
      <c r="C1692" t="s">
        <v>3266</v>
      </c>
      <c r="D1692" t="s">
        <v>636</v>
      </c>
      <c r="E1692" t="s">
        <v>3267</v>
      </c>
      <c r="F1692" t="s">
        <v>3268</v>
      </c>
      <c r="G1692" t="str">
        <f>"00359269"</f>
        <v>00359269</v>
      </c>
      <c r="H1692" t="s">
        <v>1511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50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46</v>
      </c>
      <c r="W1692">
        <v>322</v>
      </c>
      <c r="X1692">
        <v>0</v>
      </c>
      <c r="Z1692">
        <v>0</v>
      </c>
      <c r="AA1692">
        <v>0</v>
      </c>
      <c r="AB1692">
        <v>15</v>
      </c>
      <c r="AC1692">
        <v>255</v>
      </c>
      <c r="AD1692" t="s">
        <v>3269</v>
      </c>
    </row>
    <row r="1693" spans="1:30" x14ac:dyDescent="0.25">
      <c r="H1693" t="s">
        <v>3270</v>
      </c>
    </row>
    <row r="1694" spans="1:30" x14ac:dyDescent="0.25">
      <c r="A1694">
        <v>844</v>
      </c>
      <c r="B1694">
        <v>2914</v>
      </c>
      <c r="C1694" t="s">
        <v>3271</v>
      </c>
      <c r="D1694" t="s">
        <v>335</v>
      </c>
      <c r="E1694" t="s">
        <v>107</v>
      </c>
      <c r="F1694" t="s">
        <v>3272</v>
      </c>
      <c r="G1694" t="str">
        <f>"201406002253"</f>
        <v>201406002253</v>
      </c>
      <c r="H1694" t="s">
        <v>332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84</v>
      </c>
      <c r="W1694">
        <v>588</v>
      </c>
      <c r="X1694">
        <v>0</v>
      </c>
      <c r="Z1694">
        <v>0</v>
      </c>
      <c r="AA1694">
        <v>0</v>
      </c>
      <c r="AB1694">
        <v>0</v>
      </c>
      <c r="AC1694">
        <v>0</v>
      </c>
      <c r="AD1694" t="s">
        <v>3273</v>
      </c>
    </row>
    <row r="1695" spans="1:30" x14ac:dyDescent="0.25">
      <c r="H1695">
        <v>1250</v>
      </c>
    </row>
    <row r="1696" spans="1:30" x14ac:dyDescent="0.25">
      <c r="A1696">
        <v>845</v>
      </c>
      <c r="B1696">
        <v>2077</v>
      </c>
      <c r="C1696" t="s">
        <v>3274</v>
      </c>
      <c r="D1696" t="s">
        <v>494</v>
      </c>
      <c r="E1696" t="s">
        <v>3275</v>
      </c>
      <c r="F1696" t="s">
        <v>3276</v>
      </c>
      <c r="G1696" t="str">
        <f>"00155348"</f>
        <v>00155348</v>
      </c>
      <c r="H1696" t="s">
        <v>332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84</v>
      </c>
      <c r="W1696">
        <v>588</v>
      </c>
      <c r="X1696">
        <v>0</v>
      </c>
      <c r="Z1696">
        <v>2</v>
      </c>
      <c r="AA1696">
        <v>0</v>
      </c>
      <c r="AB1696">
        <v>0</v>
      </c>
      <c r="AC1696">
        <v>0</v>
      </c>
      <c r="AD1696" t="s">
        <v>3273</v>
      </c>
    </row>
    <row r="1697" spans="1:30" x14ac:dyDescent="0.25">
      <c r="H1697" t="s">
        <v>3277</v>
      </c>
    </row>
    <row r="1698" spans="1:30" x14ac:dyDescent="0.25">
      <c r="A1698">
        <v>846</v>
      </c>
      <c r="B1698">
        <v>2663</v>
      </c>
      <c r="C1698" t="s">
        <v>3278</v>
      </c>
      <c r="D1698" t="s">
        <v>694</v>
      </c>
      <c r="E1698" t="s">
        <v>47</v>
      </c>
      <c r="F1698" t="s">
        <v>3279</v>
      </c>
      <c r="G1698" t="str">
        <f>"201406011374"</f>
        <v>201406011374</v>
      </c>
      <c r="H1698" t="s">
        <v>422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70</v>
      </c>
      <c r="O1698">
        <v>30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76</v>
      </c>
      <c r="W1698">
        <v>532</v>
      </c>
      <c r="X1698">
        <v>0</v>
      </c>
      <c r="Z1698">
        <v>0</v>
      </c>
      <c r="AA1698">
        <v>0</v>
      </c>
      <c r="AB1698">
        <v>0</v>
      </c>
      <c r="AC1698">
        <v>0</v>
      </c>
      <c r="AD1698" t="s">
        <v>3273</v>
      </c>
    </row>
    <row r="1699" spans="1:30" x14ac:dyDescent="0.25">
      <c r="H1699" t="s">
        <v>2041</v>
      </c>
    </row>
    <row r="1700" spans="1:30" x14ac:dyDescent="0.25">
      <c r="A1700">
        <v>847</v>
      </c>
      <c r="B1700">
        <v>2567</v>
      </c>
      <c r="C1700" t="s">
        <v>3280</v>
      </c>
      <c r="D1700" t="s">
        <v>40</v>
      </c>
      <c r="E1700" t="s">
        <v>107</v>
      </c>
      <c r="F1700" t="s">
        <v>3281</v>
      </c>
      <c r="G1700" t="str">
        <f>"00146707"</f>
        <v>00146707</v>
      </c>
      <c r="H1700">
        <v>682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50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84</v>
      </c>
      <c r="W1700">
        <v>588</v>
      </c>
      <c r="X1700">
        <v>0</v>
      </c>
      <c r="Z1700">
        <v>0</v>
      </c>
      <c r="AA1700">
        <v>0</v>
      </c>
      <c r="AB1700">
        <v>0</v>
      </c>
      <c r="AC1700">
        <v>0</v>
      </c>
      <c r="AD1700">
        <v>1320</v>
      </c>
    </row>
    <row r="1701" spans="1:30" x14ac:dyDescent="0.25">
      <c r="H1701" t="s">
        <v>3282</v>
      </c>
    </row>
    <row r="1702" spans="1:30" x14ac:dyDescent="0.25">
      <c r="A1702">
        <v>848</v>
      </c>
      <c r="B1702">
        <v>5932</v>
      </c>
      <c r="C1702" t="s">
        <v>3283</v>
      </c>
      <c r="D1702" t="s">
        <v>3284</v>
      </c>
      <c r="E1702" t="s">
        <v>3285</v>
      </c>
      <c r="F1702">
        <v>151424</v>
      </c>
      <c r="G1702" t="str">
        <f>"201402010871"</f>
        <v>201402010871</v>
      </c>
      <c r="H1702" t="s">
        <v>1150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30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84</v>
      </c>
      <c r="W1702">
        <v>588</v>
      </c>
      <c r="X1702">
        <v>0</v>
      </c>
      <c r="Z1702">
        <v>0</v>
      </c>
      <c r="AA1702">
        <v>0</v>
      </c>
      <c r="AB1702">
        <v>0</v>
      </c>
      <c r="AC1702">
        <v>0</v>
      </c>
      <c r="AD1702" t="s">
        <v>3286</v>
      </c>
    </row>
    <row r="1703" spans="1:30" x14ac:dyDescent="0.25">
      <c r="H1703" t="s">
        <v>3287</v>
      </c>
    </row>
    <row r="1704" spans="1:30" x14ac:dyDescent="0.25">
      <c r="A1704">
        <v>849</v>
      </c>
      <c r="B1704">
        <v>6110</v>
      </c>
      <c r="C1704" t="s">
        <v>3288</v>
      </c>
      <c r="D1704" t="s">
        <v>51</v>
      </c>
      <c r="E1704" t="s">
        <v>40</v>
      </c>
      <c r="F1704" t="s">
        <v>3289</v>
      </c>
      <c r="G1704" t="str">
        <f>"00363448"</f>
        <v>00363448</v>
      </c>
      <c r="H1704" t="s">
        <v>1150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30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84</v>
      </c>
      <c r="W1704">
        <v>588</v>
      </c>
      <c r="X1704">
        <v>0</v>
      </c>
      <c r="Z1704">
        <v>0</v>
      </c>
      <c r="AA1704">
        <v>0</v>
      </c>
      <c r="AB1704">
        <v>0</v>
      </c>
      <c r="AC1704">
        <v>0</v>
      </c>
      <c r="AD1704" t="s">
        <v>3286</v>
      </c>
    </row>
    <row r="1705" spans="1:30" x14ac:dyDescent="0.25">
      <c r="H1705" t="s">
        <v>3290</v>
      </c>
    </row>
    <row r="1706" spans="1:30" x14ac:dyDescent="0.25">
      <c r="A1706">
        <v>850</v>
      </c>
      <c r="B1706">
        <v>3372</v>
      </c>
      <c r="C1706" t="s">
        <v>3291</v>
      </c>
      <c r="D1706" t="s">
        <v>3292</v>
      </c>
      <c r="E1706" t="s">
        <v>51</v>
      </c>
      <c r="F1706" t="s">
        <v>3293</v>
      </c>
      <c r="G1706" t="str">
        <f>"201406018400"</f>
        <v>201406018400</v>
      </c>
      <c r="H1706" t="s">
        <v>1150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30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84</v>
      </c>
      <c r="W1706">
        <v>588</v>
      </c>
      <c r="X1706">
        <v>0</v>
      </c>
      <c r="Z1706">
        <v>0</v>
      </c>
      <c r="AA1706">
        <v>0</v>
      </c>
      <c r="AB1706">
        <v>0</v>
      </c>
      <c r="AC1706">
        <v>0</v>
      </c>
      <c r="AD1706" t="s">
        <v>3286</v>
      </c>
    </row>
    <row r="1707" spans="1:30" x14ac:dyDescent="0.25">
      <c r="H1707">
        <v>1249</v>
      </c>
    </row>
    <row r="1708" spans="1:30" x14ac:dyDescent="0.25">
      <c r="A1708">
        <v>851</v>
      </c>
      <c r="B1708">
        <v>1824</v>
      </c>
      <c r="C1708" t="s">
        <v>3294</v>
      </c>
      <c r="D1708" t="s">
        <v>182</v>
      </c>
      <c r="E1708" t="s">
        <v>468</v>
      </c>
      <c r="F1708" t="s">
        <v>3295</v>
      </c>
      <c r="G1708" t="str">
        <f>"00254399"</f>
        <v>00254399</v>
      </c>
      <c r="H1708" t="s">
        <v>94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23</v>
      </c>
      <c r="W1708">
        <v>161</v>
      </c>
      <c r="X1708">
        <v>0</v>
      </c>
      <c r="Z1708">
        <v>0</v>
      </c>
      <c r="AA1708">
        <v>0</v>
      </c>
      <c r="AB1708">
        <v>24</v>
      </c>
      <c r="AC1708">
        <v>408</v>
      </c>
      <c r="AD1708" t="s">
        <v>3296</v>
      </c>
    </row>
    <row r="1709" spans="1:30" x14ac:dyDescent="0.25">
      <c r="H1709" t="s">
        <v>3297</v>
      </c>
    </row>
    <row r="1710" spans="1:30" x14ac:dyDescent="0.25">
      <c r="A1710">
        <v>852</v>
      </c>
      <c r="B1710">
        <v>2878</v>
      </c>
      <c r="C1710" t="s">
        <v>3298</v>
      </c>
      <c r="D1710" t="s">
        <v>3299</v>
      </c>
      <c r="E1710" t="s">
        <v>99</v>
      </c>
      <c r="F1710" t="s">
        <v>3300</v>
      </c>
      <c r="G1710" t="str">
        <f>"201406000723"</f>
        <v>201406000723</v>
      </c>
      <c r="H1710" t="s">
        <v>1930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30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84</v>
      </c>
      <c r="W1710">
        <v>588</v>
      </c>
      <c r="X1710">
        <v>0</v>
      </c>
      <c r="Z1710">
        <v>0</v>
      </c>
      <c r="AA1710">
        <v>0</v>
      </c>
      <c r="AB1710">
        <v>0</v>
      </c>
      <c r="AC1710">
        <v>0</v>
      </c>
      <c r="AD1710" t="s">
        <v>3301</v>
      </c>
    </row>
    <row r="1711" spans="1:30" x14ac:dyDescent="0.25">
      <c r="H1711" t="s">
        <v>273</v>
      </c>
    </row>
    <row r="1712" spans="1:30" x14ac:dyDescent="0.25">
      <c r="A1712">
        <v>853</v>
      </c>
      <c r="B1712">
        <v>2900</v>
      </c>
      <c r="C1712" t="s">
        <v>3302</v>
      </c>
      <c r="D1712" t="s">
        <v>335</v>
      </c>
      <c r="E1712" t="s">
        <v>87</v>
      </c>
      <c r="F1712" t="s">
        <v>3303</v>
      </c>
      <c r="G1712" t="str">
        <f>"00345749"</f>
        <v>00345749</v>
      </c>
      <c r="H1712" t="s">
        <v>204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84</v>
      </c>
      <c r="W1712">
        <v>588</v>
      </c>
      <c r="X1712">
        <v>0</v>
      </c>
      <c r="Z1712">
        <v>0</v>
      </c>
      <c r="AA1712">
        <v>0</v>
      </c>
      <c r="AB1712">
        <v>0</v>
      </c>
      <c r="AC1712">
        <v>0</v>
      </c>
      <c r="AD1712" t="s">
        <v>3304</v>
      </c>
    </row>
    <row r="1713" spans="1:30" x14ac:dyDescent="0.25">
      <c r="H1713" t="s">
        <v>3305</v>
      </c>
    </row>
    <row r="1714" spans="1:30" x14ac:dyDescent="0.25">
      <c r="A1714">
        <v>854</v>
      </c>
      <c r="B1714">
        <v>3420</v>
      </c>
      <c r="C1714" t="s">
        <v>3306</v>
      </c>
      <c r="D1714" t="s">
        <v>3307</v>
      </c>
      <c r="E1714" t="s">
        <v>140</v>
      </c>
      <c r="F1714" t="s">
        <v>3308</v>
      </c>
      <c r="G1714" t="str">
        <f>"00363196"</f>
        <v>00363196</v>
      </c>
      <c r="H1714" t="s">
        <v>1303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30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71</v>
      </c>
      <c r="W1714">
        <v>497</v>
      </c>
      <c r="X1714">
        <v>0</v>
      </c>
      <c r="Z1714">
        <v>0</v>
      </c>
      <c r="AA1714">
        <v>0</v>
      </c>
      <c r="AB1714">
        <v>5</v>
      </c>
      <c r="AC1714">
        <v>85</v>
      </c>
      <c r="AD1714" t="s">
        <v>3309</v>
      </c>
    </row>
    <row r="1715" spans="1:30" x14ac:dyDescent="0.25">
      <c r="H1715" t="s">
        <v>3310</v>
      </c>
    </row>
    <row r="1716" spans="1:30" x14ac:dyDescent="0.25">
      <c r="A1716">
        <v>855</v>
      </c>
      <c r="B1716">
        <v>3984</v>
      </c>
      <c r="C1716" t="s">
        <v>3311</v>
      </c>
      <c r="D1716" t="s">
        <v>14</v>
      </c>
      <c r="E1716" t="s">
        <v>3312</v>
      </c>
      <c r="F1716" t="s">
        <v>3313</v>
      </c>
      <c r="G1716" t="str">
        <f>"00367632"</f>
        <v>00367632</v>
      </c>
      <c r="H1716" t="s">
        <v>1385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50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84</v>
      </c>
      <c r="W1716">
        <v>588</v>
      </c>
      <c r="X1716">
        <v>0</v>
      </c>
      <c r="Z1716">
        <v>0</v>
      </c>
      <c r="AA1716">
        <v>0</v>
      </c>
      <c r="AB1716">
        <v>0</v>
      </c>
      <c r="AC1716">
        <v>0</v>
      </c>
      <c r="AD1716" t="s">
        <v>3314</v>
      </c>
    </row>
    <row r="1717" spans="1:30" x14ac:dyDescent="0.25">
      <c r="H1717" t="s">
        <v>3315</v>
      </c>
    </row>
    <row r="1718" spans="1:30" x14ac:dyDescent="0.25">
      <c r="A1718">
        <v>856</v>
      </c>
      <c r="B1718">
        <v>2454</v>
      </c>
      <c r="C1718" t="s">
        <v>3316</v>
      </c>
      <c r="D1718" t="s">
        <v>636</v>
      </c>
      <c r="E1718" t="s">
        <v>162</v>
      </c>
      <c r="F1718" t="s">
        <v>3317</v>
      </c>
      <c r="G1718" t="str">
        <f>"00196911"</f>
        <v>00196911</v>
      </c>
      <c r="H1718" t="s">
        <v>388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30</v>
      </c>
      <c r="O1718">
        <v>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84</v>
      </c>
      <c r="W1718">
        <v>588</v>
      </c>
      <c r="X1718">
        <v>0</v>
      </c>
      <c r="Z1718">
        <v>0</v>
      </c>
      <c r="AA1718">
        <v>0</v>
      </c>
      <c r="AB1718">
        <v>0</v>
      </c>
      <c r="AC1718">
        <v>0</v>
      </c>
      <c r="AD1718" t="s">
        <v>3318</v>
      </c>
    </row>
    <row r="1719" spans="1:30" x14ac:dyDescent="0.25">
      <c r="H1719" t="s">
        <v>3319</v>
      </c>
    </row>
    <row r="1720" spans="1:30" x14ac:dyDescent="0.25">
      <c r="A1720">
        <v>857</v>
      </c>
      <c r="B1720">
        <v>3141</v>
      </c>
      <c r="C1720" t="s">
        <v>3320</v>
      </c>
      <c r="D1720" t="s">
        <v>182</v>
      </c>
      <c r="E1720" t="s">
        <v>176</v>
      </c>
      <c r="F1720" t="s">
        <v>3321</v>
      </c>
      <c r="G1720" t="str">
        <f>"201406011845"</f>
        <v>201406011845</v>
      </c>
      <c r="H1720" t="s">
        <v>388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30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84</v>
      </c>
      <c r="W1720">
        <v>588</v>
      </c>
      <c r="X1720">
        <v>0</v>
      </c>
      <c r="Z1720">
        <v>0</v>
      </c>
      <c r="AA1720">
        <v>0</v>
      </c>
      <c r="AB1720">
        <v>0</v>
      </c>
      <c r="AC1720">
        <v>0</v>
      </c>
      <c r="AD1720" t="s">
        <v>3318</v>
      </c>
    </row>
    <row r="1721" spans="1:30" x14ac:dyDescent="0.25">
      <c r="H1721" t="s">
        <v>3322</v>
      </c>
    </row>
    <row r="1722" spans="1:30" x14ac:dyDescent="0.25">
      <c r="A1722">
        <v>858</v>
      </c>
      <c r="B1722">
        <v>2872</v>
      </c>
      <c r="C1722" t="s">
        <v>3323</v>
      </c>
      <c r="D1722" t="s">
        <v>75</v>
      </c>
      <c r="E1722" t="s">
        <v>190</v>
      </c>
      <c r="F1722" t="s">
        <v>3324</v>
      </c>
      <c r="G1722" t="str">
        <f>"201405000287"</f>
        <v>201405000287</v>
      </c>
      <c r="H1722" t="s">
        <v>1166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50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63</v>
      </c>
      <c r="W1722">
        <v>441</v>
      </c>
      <c r="X1722">
        <v>0</v>
      </c>
      <c r="Z1722">
        <v>0</v>
      </c>
      <c r="AA1722">
        <v>0</v>
      </c>
      <c r="AB1722">
        <v>0</v>
      </c>
      <c r="AC1722">
        <v>0</v>
      </c>
      <c r="AD1722" t="s">
        <v>3325</v>
      </c>
    </row>
    <row r="1723" spans="1:30" x14ac:dyDescent="0.25">
      <c r="H1723" t="s">
        <v>3326</v>
      </c>
    </row>
    <row r="1724" spans="1:30" x14ac:dyDescent="0.25">
      <c r="A1724">
        <v>859</v>
      </c>
      <c r="B1724">
        <v>3570</v>
      </c>
      <c r="C1724" t="s">
        <v>2176</v>
      </c>
      <c r="D1724" t="s">
        <v>526</v>
      </c>
      <c r="E1724" t="s">
        <v>162</v>
      </c>
      <c r="F1724" t="s">
        <v>3327</v>
      </c>
      <c r="G1724" t="str">
        <f>"00158906"</f>
        <v>00158906</v>
      </c>
      <c r="H1724">
        <v>748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30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77</v>
      </c>
      <c r="W1724">
        <v>539</v>
      </c>
      <c r="X1724">
        <v>0</v>
      </c>
      <c r="Z1724">
        <v>0</v>
      </c>
      <c r="AA1724">
        <v>0</v>
      </c>
      <c r="AB1724">
        <v>0</v>
      </c>
      <c r="AC1724">
        <v>0</v>
      </c>
      <c r="AD1724">
        <v>1317</v>
      </c>
    </row>
    <row r="1725" spans="1:30" x14ac:dyDescent="0.25">
      <c r="H1725" t="s">
        <v>3328</v>
      </c>
    </row>
    <row r="1726" spans="1:30" x14ac:dyDescent="0.25">
      <c r="A1726">
        <v>860</v>
      </c>
      <c r="B1726">
        <v>5582</v>
      </c>
      <c r="C1726" t="s">
        <v>3320</v>
      </c>
      <c r="D1726" t="s">
        <v>40</v>
      </c>
      <c r="E1726" t="s">
        <v>15</v>
      </c>
      <c r="F1726" t="s">
        <v>3329</v>
      </c>
      <c r="G1726" t="str">
        <f>"201405000419"</f>
        <v>201405000419</v>
      </c>
      <c r="H1726">
        <v>627</v>
      </c>
      <c r="I1726">
        <v>0</v>
      </c>
      <c r="J1726">
        <v>0</v>
      </c>
      <c r="K1726">
        <v>0</v>
      </c>
      <c r="L1726">
        <v>200</v>
      </c>
      <c r="M1726">
        <v>0</v>
      </c>
      <c r="N1726">
        <v>70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60</v>
      </c>
      <c r="W1726">
        <v>420</v>
      </c>
      <c r="X1726">
        <v>0</v>
      </c>
      <c r="Z1726">
        <v>0</v>
      </c>
      <c r="AA1726">
        <v>0</v>
      </c>
      <c r="AB1726">
        <v>0</v>
      </c>
      <c r="AC1726">
        <v>0</v>
      </c>
      <c r="AD1726">
        <v>1317</v>
      </c>
    </row>
    <row r="1727" spans="1:30" x14ac:dyDescent="0.25">
      <c r="H1727" t="s">
        <v>3330</v>
      </c>
    </row>
    <row r="1728" spans="1:30" x14ac:dyDescent="0.25">
      <c r="A1728">
        <v>861</v>
      </c>
      <c r="B1728">
        <v>2721</v>
      </c>
      <c r="C1728" t="s">
        <v>2114</v>
      </c>
      <c r="D1728" t="s">
        <v>544</v>
      </c>
      <c r="E1728" t="s">
        <v>176</v>
      </c>
      <c r="F1728" t="s">
        <v>3331</v>
      </c>
      <c r="G1728" t="str">
        <f>"201406001901"</f>
        <v>201406001901</v>
      </c>
      <c r="H1728" t="s">
        <v>818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30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16</v>
      </c>
      <c r="W1728">
        <v>112</v>
      </c>
      <c r="X1728">
        <v>0</v>
      </c>
      <c r="Z1728">
        <v>0</v>
      </c>
      <c r="AA1728">
        <v>0</v>
      </c>
      <c r="AB1728">
        <v>24</v>
      </c>
      <c r="AC1728">
        <v>408</v>
      </c>
      <c r="AD1728" t="s">
        <v>3332</v>
      </c>
    </row>
    <row r="1729" spans="1:30" x14ac:dyDescent="0.25">
      <c r="H1729" t="s">
        <v>3333</v>
      </c>
    </row>
    <row r="1730" spans="1:30" x14ac:dyDescent="0.25">
      <c r="A1730">
        <v>862</v>
      </c>
      <c r="B1730">
        <v>491</v>
      </c>
      <c r="C1730" t="s">
        <v>3334</v>
      </c>
      <c r="D1730" t="s">
        <v>3335</v>
      </c>
      <c r="E1730" t="s">
        <v>115</v>
      </c>
      <c r="F1730" t="s">
        <v>3336</v>
      </c>
      <c r="G1730" t="str">
        <f>"00002715"</f>
        <v>00002715</v>
      </c>
      <c r="H1730" t="s">
        <v>2116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50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84</v>
      </c>
      <c r="W1730">
        <v>588</v>
      </c>
      <c r="X1730">
        <v>0</v>
      </c>
      <c r="Z1730">
        <v>0</v>
      </c>
      <c r="AA1730">
        <v>0</v>
      </c>
      <c r="AB1730">
        <v>0</v>
      </c>
      <c r="AC1730">
        <v>0</v>
      </c>
      <c r="AD1730" t="s">
        <v>3332</v>
      </c>
    </row>
    <row r="1731" spans="1:30" x14ac:dyDescent="0.25">
      <c r="H1731" t="s">
        <v>3337</v>
      </c>
    </row>
    <row r="1732" spans="1:30" x14ac:dyDescent="0.25">
      <c r="A1732">
        <v>863</v>
      </c>
      <c r="B1732">
        <v>3095</v>
      </c>
      <c r="C1732" t="s">
        <v>3338</v>
      </c>
      <c r="D1732" t="s">
        <v>115</v>
      </c>
      <c r="E1732" t="s">
        <v>547</v>
      </c>
      <c r="F1732" t="s">
        <v>3339</v>
      </c>
      <c r="G1732" t="str">
        <f>"00041003"</f>
        <v>00041003</v>
      </c>
      <c r="H1732" t="s">
        <v>1540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50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84</v>
      </c>
      <c r="W1732">
        <v>588</v>
      </c>
      <c r="X1732">
        <v>0</v>
      </c>
      <c r="Z1732">
        <v>0</v>
      </c>
      <c r="AA1732">
        <v>0</v>
      </c>
      <c r="AB1732">
        <v>0</v>
      </c>
      <c r="AC1732">
        <v>0</v>
      </c>
      <c r="AD1732" t="s">
        <v>3340</v>
      </c>
    </row>
    <row r="1733" spans="1:30" x14ac:dyDescent="0.25">
      <c r="H1733" t="s">
        <v>3341</v>
      </c>
    </row>
    <row r="1734" spans="1:30" x14ac:dyDescent="0.25">
      <c r="A1734">
        <v>864</v>
      </c>
      <c r="B1734">
        <v>873</v>
      </c>
      <c r="C1734" t="s">
        <v>3342</v>
      </c>
      <c r="D1734" t="s">
        <v>1269</v>
      </c>
      <c r="E1734" t="s">
        <v>495</v>
      </c>
      <c r="F1734" t="s">
        <v>3343</v>
      </c>
      <c r="G1734" t="str">
        <f>"00255811"</f>
        <v>00255811</v>
      </c>
      <c r="H1734" t="s">
        <v>2197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30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84</v>
      </c>
      <c r="W1734">
        <v>588</v>
      </c>
      <c r="X1734">
        <v>0</v>
      </c>
      <c r="Z1734">
        <v>0</v>
      </c>
      <c r="AA1734">
        <v>0</v>
      </c>
      <c r="AB1734">
        <v>0</v>
      </c>
      <c r="AC1734">
        <v>0</v>
      </c>
      <c r="AD1734" t="s">
        <v>3344</v>
      </c>
    </row>
    <row r="1735" spans="1:30" x14ac:dyDescent="0.25">
      <c r="H1735" t="s">
        <v>3345</v>
      </c>
    </row>
    <row r="1736" spans="1:30" x14ac:dyDescent="0.25">
      <c r="A1736">
        <v>865</v>
      </c>
      <c r="B1736">
        <v>604</v>
      </c>
      <c r="C1736" t="s">
        <v>3346</v>
      </c>
      <c r="D1736" t="s">
        <v>176</v>
      </c>
      <c r="E1736" t="s">
        <v>162</v>
      </c>
      <c r="F1736" t="s">
        <v>3347</v>
      </c>
      <c r="G1736" t="str">
        <f>"201511018757"</f>
        <v>201511018757</v>
      </c>
      <c r="H1736" t="s">
        <v>1385</v>
      </c>
      <c r="I1736">
        <v>150</v>
      </c>
      <c r="J1736">
        <v>0</v>
      </c>
      <c r="K1736">
        <v>0</v>
      </c>
      <c r="L1736">
        <v>0</v>
      </c>
      <c r="M1736">
        <v>0</v>
      </c>
      <c r="N1736">
        <v>30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65</v>
      </c>
      <c r="W1736">
        <v>455</v>
      </c>
      <c r="X1736">
        <v>0</v>
      </c>
      <c r="Z1736">
        <v>0</v>
      </c>
      <c r="AA1736">
        <v>0</v>
      </c>
      <c r="AB1736">
        <v>0</v>
      </c>
      <c r="AC1736">
        <v>0</v>
      </c>
      <c r="AD1736" t="s">
        <v>3348</v>
      </c>
    </row>
    <row r="1737" spans="1:30" x14ac:dyDescent="0.25">
      <c r="H1737" t="s">
        <v>3349</v>
      </c>
    </row>
    <row r="1738" spans="1:30" x14ac:dyDescent="0.25">
      <c r="A1738">
        <v>866</v>
      </c>
      <c r="B1738">
        <v>2160</v>
      </c>
      <c r="C1738" t="s">
        <v>2612</v>
      </c>
      <c r="D1738" t="s">
        <v>1828</v>
      </c>
      <c r="E1738" t="s">
        <v>151</v>
      </c>
      <c r="F1738" t="s">
        <v>3350</v>
      </c>
      <c r="G1738" t="str">
        <f>"200904000466"</f>
        <v>200904000466</v>
      </c>
      <c r="H1738" t="s">
        <v>226</v>
      </c>
      <c r="I1738">
        <v>150</v>
      </c>
      <c r="J1738">
        <v>0</v>
      </c>
      <c r="K1738">
        <v>0</v>
      </c>
      <c r="L1738">
        <v>0</v>
      </c>
      <c r="M1738">
        <v>0</v>
      </c>
      <c r="N1738">
        <v>70</v>
      </c>
      <c r="O1738">
        <v>0</v>
      </c>
      <c r="P1738">
        <v>0</v>
      </c>
      <c r="Q1738">
        <v>50</v>
      </c>
      <c r="R1738">
        <v>0</v>
      </c>
      <c r="S1738">
        <v>0</v>
      </c>
      <c r="T1738">
        <v>0</v>
      </c>
      <c r="U1738">
        <v>0</v>
      </c>
      <c r="V1738">
        <v>39</v>
      </c>
      <c r="W1738">
        <v>273</v>
      </c>
      <c r="X1738">
        <v>0</v>
      </c>
      <c r="Z1738">
        <v>0</v>
      </c>
      <c r="AA1738">
        <v>0</v>
      </c>
      <c r="AB1738">
        <v>0</v>
      </c>
      <c r="AC1738">
        <v>0</v>
      </c>
      <c r="AD1738" t="s">
        <v>3351</v>
      </c>
    </row>
    <row r="1739" spans="1:30" x14ac:dyDescent="0.25">
      <c r="H1739" t="s">
        <v>3352</v>
      </c>
    </row>
    <row r="1740" spans="1:30" x14ac:dyDescent="0.25">
      <c r="A1740">
        <v>867</v>
      </c>
      <c r="B1740">
        <v>2390</v>
      </c>
      <c r="C1740" t="s">
        <v>3353</v>
      </c>
      <c r="D1740" t="s">
        <v>98</v>
      </c>
      <c r="E1740" t="s">
        <v>3354</v>
      </c>
      <c r="F1740" t="s">
        <v>3355</v>
      </c>
      <c r="G1740" t="str">
        <f>"00331779"</f>
        <v>00331779</v>
      </c>
      <c r="H1740">
        <v>726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84</v>
      </c>
      <c r="W1740">
        <v>588</v>
      </c>
      <c r="X1740">
        <v>0</v>
      </c>
      <c r="Z1740">
        <v>0</v>
      </c>
      <c r="AA1740">
        <v>0</v>
      </c>
      <c r="AB1740">
        <v>0</v>
      </c>
      <c r="AC1740">
        <v>0</v>
      </c>
      <c r="AD1740">
        <v>1314</v>
      </c>
    </row>
    <row r="1741" spans="1:30" x14ac:dyDescent="0.25">
      <c r="H1741" t="s">
        <v>3356</v>
      </c>
    </row>
    <row r="1742" spans="1:30" x14ac:dyDescent="0.25">
      <c r="A1742">
        <v>868</v>
      </c>
      <c r="B1742">
        <v>5019</v>
      </c>
      <c r="C1742" t="s">
        <v>3357</v>
      </c>
      <c r="D1742" t="s">
        <v>869</v>
      </c>
      <c r="E1742" t="s">
        <v>47</v>
      </c>
      <c r="F1742" t="s">
        <v>3358</v>
      </c>
      <c r="G1742" t="str">
        <f>"00201413"</f>
        <v>00201413</v>
      </c>
      <c r="H1742">
        <v>726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84</v>
      </c>
      <c r="W1742">
        <v>588</v>
      </c>
      <c r="X1742">
        <v>0</v>
      </c>
      <c r="Z1742">
        <v>0</v>
      </c>
      <c r="AA1742">
        <v>0</v>
      </c>
      <c r="AB1742">
        <v>0</v>
      </c>
      <c r="AC1742">
        <v>0</v>
      </c>
      <c r="AD1742">
        <v>1314</v>
      </c>
    </row>
    <row r="1743" spans="1:30" x14ac:dyDescent="0.25">
      <c r="H1743" t="s">
        <v>3359</v>
      </c>
    </row>
    <row r="1744" spans="1:30" x14ac:dyDescent="0.25">
      <c r="A1744">
        <v>869</v>
      </c>
      <c r="B1744">
        <v>3583</v>
      </c>
      <c r="C1744" t="s">
        <v>3360</v>
      </c>
      <c r="D1744" t="s">
        <v>494</v>
      </c>
      <c r="E1744" t="s">
        <v>39</v>
      </c>
      <c r="F1744" t="s">
        <v>3361</v>
      </c>
      <c r="G1744" t="str">
        <f>"00343710"</f>
        <v>00343710</v>
      </c>
      <c r="H1744">
        <v>726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0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84</v>
      </c>
      <c r="W1744">
        <v>588</v>
      </c>
      <c r="X1744">
        <v>0</v>
      </c>
      <c r="Z1744">
        <v>0</v>
      </c>
      <c r="AA1744">
        <v>0</v>
      </c>
      <c r="AB1744">
        <v>0</v>
      </c>
      <c r="AC1744">
        <v>0</v>
      </c>
      <c r="AD1744">
        <v>1314</v>
      </c>
    </row>
    <row r="1745" spans="1:30" x14ac:dyDescent="0.25">
      <c r="H1745" t="s">
        <v>3362</v>
      </c>
    </row>
    <row r="1746" spans="1:30" x14ac:dyDescent="0.25">
      <c r="A1746">
        <v>870</v>
      </c>
      <c r="B1746">
        <v>4117</v>
      </c>
      <c r="C1746" t="s">
        <v>3363</v>
      </c>
      <c r="D1746" t="s">
        <v>39</v>
      </c>
      <c r="E1746" t="s">
        <v>1070</v>
      </c>
      <c r="F1746" t="s">
        <v>3364</v>
      </c>
      <c r="G1746" t="str">
        <f>"201401000555"</f>
        <v>201401000555</v>
      </c>
      <c r="H1746" t="s">
        <v>1251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30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84</v>
      </c>
      <c r="W1746">
        <v>588</v>
      </c>
      <c r="X1746">
        <v>0</v>
      </c>
      <c r="Z1746">
        <v>0</v>
      </c>
      <c r="AA1746">
        <v>0</v>
      </c>
      <c r="AB1746">
        <v>0</v>
      </c>
      <c r="AC1746">
        <v>0</v>
      </c>
      <c r="AD1746" t="s">
        <v>3365</v>
      </c>
    </row>
    <row r="1747" spans="1:30" x14ac:dyDescent="0.25">
      <c r="H1747" t="s">
        <v>3366</v>
      </c>
    </row>
    <row r="1748" spans="1:30" x14ac:dyDescent="0.25">
      <c r="A1748">
        <v>871</v>
      </c>
      <c r="B1748">
        <v>4276</v>
      </c>
      <c r="C1748" t="s">
        <v>3367</v>
      </c>
      <c r="D1748" t="s">
        <v>694</v>
      </c>
      <c r="E1748" t="s">
        <v>107</v>
      </c>
      <c r="F1748" t="s">
        <v>3368</v>
      </c>
      <c r="G1748" t="str">
        <f>"200802005579"</f>
        <v>200802005579</v>
      </c>
      <c r="H1748" t="s">
        <v>1251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30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84</v>
      </c>
      <c r="W1748">
        <v>588</v>
      </c>
      <c r="X1748">
        <v>0</v>
      </c>
      <c r="Z1748">
        <v>0</v>
      </c>
      <c r="AA1748">
        <v>0</v>
      </c>
      <c r="AB1748">
        <v>0</v>
      </c>
      <c r="AC1748">
        <v>0</v>
      </c>
      <c r="AD1748" t="s">
        <v>3365</v>
      </c>
    </row>
    <row r="1749" spans="1:30" x14ac:dyDescent="0.25">
      <c r="H1749">
        <v>1247</v>
      </c>
    </row>
    <row r="1750" spans="1:30" x14ac:dyDescent="0.25">
      <c r="A1750">
        <v>872</v>
      </c>
      <c r="B1750">
        <v>2508</v>
      </c>
      <c r="C1750" t="s">
        <v>3369</v>
      </c>
      <c r="D1750" t="s">
        <v>166</v>
      </c>
      <c r="E1750" t="s">
        <v>3370</v>
      </c>
      <c r="F1750" t="s">
        <v>3371</v>
      </c>
      <c r="G1750" t="str">
        <f>"00243383"</f>
        <v>00243383</v>
      </c>
      <c r="H1750" t="s">
        <v>1949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84</v>
      </c>
      <c r="W1750">
        <v>588</v>
      </c>
      <c r="X1750">
        <v>0</v>
      </c>
      <c r="Z1750">
        <v>0</v>
      </c>
      <c r="AA1750">
        <v>0</v>
      </c>
      <c r="AB1750">
        <v>0</v>
      </c>
      <c r="AC1750">
        <v>0</v>
      </c>
      <c r="AD1750" t="s">
        <v>3372</v>
      </c>
    </row>
    <row r="1751" spans="1:30" x14ac:dyDescent="0.25">
      <c r="H1751" t="s">
        <v>3373</v>
      </c>
    </row>
    <row r="1752" spans="1:30" x14ac:dyDescent="0.25">
      <c r="A1752">
        <v>873</v>
      </c>
      <c r="B1752">
        <v>4205</v>
      </c>
      <c r="C1752" t="s">
        <v>3374</v>
      </c>
      <c r="D1752" t="s">
        <v>162</v>
      </c>
      <c r="E1752" t="s">
        <v>1276</v>
      </c>
      <c r="F1752" t="s">
        <v>3375</v>
      </c>
      <c r="G1752" t="str">
        <f>"00324231"</f>
        <v>00324231</v>
      </c>
      <c r="H1752" t="s">
        <v>3232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79</v>
      </c>
      <c r="W1752">
        <v>553</v>
      </c>
      <c r="X1752">
        <v>0</v>
      </c>
      <c r="Z1752">
        <v>2</v>
      </c>
      <c r="AA1752">
        <v>0</v>
      </c>
      <c r="AB1752">
        <v>5</v>
      </c>
      <c r="AC1752">
        <v>85</v>
      </c>
      <c r="AD1752" t="s">
        <v>3376</v>
      </c>
    </row>
    <row r="1753" spans="1:30" x14ac:dyDescent="0.25">
      <c r="H1753" t="s">
        <v>1652</v>
      </c>
    </row>
    <row r="1754" spans="1:30" x14ac:dyDescent="0.25">
      <c r="A1754">
        <v>874</v>
      </c>
      <c r="B1754">
        <v>1861</v>
      </c>
      <c r="C1754" t="s">
        <v>318</v>
      </c>
      <c r="D1754" t="s">
        <v>830</v>
      </c>
      <c r="E1754" t="s">
        <v>3377</v>
      </c>
      <c r="F1754" t="s">
        <v>3378</v>
      </c>
      <c r="G1754" t="str">
        <f>"00318459"</f>
        <v>00318459</v>
      </c>
      <c r="H1754">
        <v>715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27</v>
      </c>
      <c r="W1754">
        <v>189</v>
      </c>
      <c r="X1754">
        <v>0</v>
      </c>
      <c r="Z1754">
        <v>0</v>
      </c>
      <c r="AA1754">
        <v>0</v>
      </c>
      <c r="AB1754">
        <v>24</v>
      </c>
      <c r="AC1754">
        <v>408</v>
      </c>
      <c r="AD1754">
        <v>1312</v>
      </c>
    </row>
    <row r="1755" spans="1:30" x14ac:dyDescent="0.25">
      <c r="H1755" t="s">
        <v>3379</v>
      </c>
    </row>
    <row r="1756" spans="1:30" x14ac:dyDescent="0.25">
      <c r="A1756">
        <v>875</v>
      </c>
      <c r="B1756">
        <v>3928</v>
      </c>
      <c r="C1756" t="s">
        <v>3380</v>
      </c>
      <c r="D1756" t="s">
        <v>140</v>
      </c>
      <c r="E1756" t="s">
        <v>190</v>
      </c>
      <c r="F1756" t="s">
        <v>3381</v>
      </c>
      <c r="G1756" t="str">
        <f>"201406011826"</f>
        <v>201406011826</v>
      </c>
      <c r="H1756" t="s">
        <v>1825</v>
      </c>
      <c r="I1756">
        <v>0</v>
      </c>
      <c r="J1756">
        <v>0</v>
      </c>
      <c r="K1756">
        <v>0</v>
      </c>
      <c r="L1756">
        <v>200</v>
      </c>
      <c r="M1756">
        <v>0</v>
      </c>
      <c r="N1756">
        <v>70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43</v>
      </c>
      <c r="W1756">
        <v>301</v>
      </c>
      <c r="X1756">
        <v>6</v>
      </c>
      <c r="Y1756">
        <v>1251</v>
      </c>
      <c r="Z1756">
        <v>0</v>
      </c>
      <c r="AA1756">
        <v>0</v>
      </c>
      <c r="AB1756">
        <v>0</v>
      </c>
      <c r="AC1756">
        <v>0</v>
      </c>
      <c r="AD1756" t="s">
        <v>3382</v>
      </c>
    </row>
    <row r="1757" spans="1:30" x14ac:dyDescent="0.25">
      <c r="H1757" t="s">
        <v>3383</v>
      </c>
    </row>
    <row r="1758" spans="1:30" x14ac:dyDescent="0.25">
      <c r="A1758">
        <v>876</v>
      </c>
      <c r="B1758">
        <v>3928</v>
      </c>
      <c r="C1758" t="s">
        <v>3380</v>
      </c>
      <c r="D1758" t="s">
        <v>140</v>
      </c>
      <c r="E1758" t="s">
        <v>190</v>
      </c>
      <c r="F1758" t="s">
        <v>3381</v>
      </c>
      <c r="G1758" t="str">
        <f>"201406011826"</f>
        <v>201406011826</v>
      </c>
      <c r="H1758" t="s">
        <v>1825</v>
      </c>
      <c r="I1758">
        <v>0</v>
      </c>
      <c r="J1758">
        <v>0</v>
      </c>
      <c r="K1758">
        <v>0</v>
      </c>
      <c r="L1758">
        <v>200</v>
      </c>
      <c r="M1758">
        <v>0</v>
      </c>
      <c r="N1758">
        <v>70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43</v>
      </c>
      <c r="W1758">
        <v>301</v>
      </c>
      <c r="X1758">
        <v>0</v>
      </c>
      <c r="Z1758">
        <v>0</v>
      </c>
      <c r="AA1758">
        <v>0</v>
      </c>
      <c r="AB1758">
        <v>0</v>
      </c>
      <c r="AC1758">
        <v>0</v>
      </c>
      <c r="AD1758" t="s">
        <v>3382</v>
      </c>
    </row>
    <row r="1759" spans="1:30" x14ac:dyDescent="0.25">
      <c r="H1759" t="s">
        <v>3383</v>
      </c>
    </row>
    <row r="1760" spans="1:30" x14ac:dyDescent="0.25">
      <c r="A1760">
        <v>877</v>
      </c>
      <c r="B1760">
        <v>5732</v>
      </c>
      <c r="C1760" t="s">
        <v>3384</v>
      </c>
      <c r="D1760" t="s">
        <v>59</v>
      </c>
      <c r="E1760" t="s">
        <v>162</v>
      </c>
      <c r="F1760" t="s">
        <v>3385</v>
      </c>
      <c r="G1760" t="str">
        <f>"00255810"</f>
        <v>00255810</v>
      </c>
      <c r="H1760" t="s">
        <v>219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70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67</v>
      </c>
      <c r="W1760">
        <v>469</v>
      </c>
      <c r="X1760">
        <v>0</v>
      </c>
      <c r="Z1760">
        <v>0</v>
      </c>
      <c r="AA1760">
        <v>0</v>
      </c>
      <c r="AB1760">
        <v>0</v>
      </c>
      <c r="AC1760">
        <v>0</v>
      </c>
      <c r="AD1760" t="s">
        <v>3386</v>
      </c>
    </row>
    <row r="1761" spans="1:30" x14ac:dyDescent="0.25">
      <c r="H1761" t="s">
        <v>3387</v>
      </c>
    </row>
    <row r="1762" spans="1:30" x14ac:dyDescent="0.25">
      <c r="A1762">
        <v>878</v>
      </c>
      <c r="B1762">
        <v>5198</v>
      </c>
      <c r="C1762" t="s">
        <v>3388</v>
      </c>
      <c r="D1762" t="s">
        <v>335</v>
      </c>
      <c r="E1762" t="s">
        <v>40</v>
      </c>
      <c r="F1762" t="s">
        <v>3389</v>
      </c>
      <c r="G1762" t="str">
        <f>"00142613"</f>
        <v>00142613</v>
      </c>
      <c r="H1762">
        <v>803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30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10</v>
      </c>
      <c r="W1762">
        <v>70</v>
      </c>
      <c r="X1762">
        <v>0</v>
      </c>
      <c r="Z1762">
        <v>0</v>
      </c>
      <c r="AA1762">
        <v>0</v>
      </c>
      <c r="AB1762">
        <v>24</v>
      </c>
      <c r="AC1762">
        <v>408</v>
      </c>
      <c r="AD1762">
        <v>1311</v>
      </c>
    </row>
    <row r="1763" spans="1:30" x14ac:dyDescent="0.25">
      <c r="H1763" t="s">
        <v>3390</v>
      </c>
    </row>
    <row r="1764" spans="1:30" x14ac:dyDescent="0.25">
      <c r="A1764">
        <v>879</v>
      </c>
      <c r="B1764">
        <v>3912</v>
      </c>
      <c r="C1764" t="s">
        <v>3391</v>
      </c>
      <c r="D1764" t="s">
        <v>681</v>
      </c>
      <c r="E1764" t="s">
        <v>751</v>
      </c>
      <c r="F1764" t="s">
        <v>3392</v>
      </c>
      <c r="G1764" t="str">
        <f>"00200313"</f>
        <v>00200313</v>
      </c>
      <c r="H1764">
        <v>693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30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84</v>
      </c>
      <c r="W1764">
        <v>588</v>
      </c>
      <c r="X1764">
        <v>0</v>
      </c>
      <c r="Z1764">
        <v>0</v>
      </c>
      <c r="AA1764">
        <v>0</v>
      </c>
      <c r="AB1764">
        <v>0</v>
      </c>
      <c r="AC1764">
        <v>0</v>
      </c>
      <c r="AD1764">
        <v>1311</v>
      </c>
    </row>
    <row r="1765" spans="1:30" x14ac:dyDescent="0.25">
      <c r="H1765" t="s">
        <v>3393</v>
      </c>
    </row>
    <row r="1766" spans="1:30" x14ac:dyDescent="0.25">
      <c r="A1766">
        <v>880</v>
      </c>
      <c r="B1766">
        <v>2734</v>
      </c>
      <c r="C1766" t="s">
        <v>3394</v>
      </c>
      <c r="D1766" t="s">
        <v>162</v>
      </c>
      <c r="E1766" t="s">
        <v>107</v>
      </c>
      <c r="F1766" t="s">
        <v>3395</v>
      </c>
      <c r="G1766" t="str">
        <f>"200805000799"</f>
        <v>200805000799</v>
      </c>
      <c r="H1766">
        <v>693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30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84</v>
      </c>
      <c r="W1766">
        <v>588</v>
      </c>
      <c r="X1766">
        <v>0</v>
      </c>
      <c r="Z1766">
        <v>0</v>
      </c>
      <c r="AA1766">
        <v>0</v>
      </c>
      <c r="AB1766">
        <v>0</v>
      </c>
      <c r="AC1766">
        <v>0</v>
      </c>
      <c r="AD1766">
        <v>1311</v>
      </c>
    </row>
    <row r="1767" spans="1:30" x14ac:dyDescent="0.25">
      <c r="H1767" t="s">
        <v>3396</v>
      </c>
    </row>
    <row r="1768" spans="1:30" x14ac:dyDescent="0.25">
      <c r="A1768">
        <v>881</v>
      </c>
      <c r="B1768">
        <v>216</v>
      </c>
      <c r="C1768" t="s">
        <v>1521</v>
      </c>
      <c r="D1768" t="s">
        <v>51</v>
      </c>
      <c r="E1768" t="s">
        <v>183</v>
      </c>
      <c r="F1768" t="s">
        <v>3397</v>
      </c>
      <c r="G1768" t="str">
        <f>"200802007615"</f>
        <v>200802007615</v>
      </c>
      <c r="H1768">
        <v>693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30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84</v>
      </c>
      <c r="W1768">
        <v>588</v>
      </c>
      <c r="X1768">
        <v>0</v>
      </c>
      <c r="Z1768">
        <v>0</v>
      </c>
      <c r="AA1768">
        <v>0</v>
      </c>
      <c r="AB1768">
        <v>0</v>
      </c>
      <c r="AC1768">
        <v>0</v>
      </c>
      <c r="AD1768">
        <v>1311</v>
      </c>
    </row>
    <row r="1769" spans="1:30" x14ac:dyDescent="0.25">
      <c r="H1769" t="s">
        <v>3398</v>
      </c>
    </row>
    <row r="1770" spans="1:30" x14ac:dyDescent="0.25">
      <c r="A1770">
        <v>882</v>
      </c>
      <c r="B1770">
        <v>3850</v>
      </c>
      <c r="C1770" t="s">
        <v>526</v>
      </c>
      <c r="D1770" t="s">
        <v>3399</v>
      </c>
      <c r="E1770" t="s">
        <v>115</v>
      </c>
      <c r="F1770" t="s">
        <v>3400</v>
      </c>
      <c r="G1770" t="str">
        <f>"00210252"</f>
        <v>00210252</v>
      </c>
      <c r="H1770">
        <v>693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30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84</v>
      </c>
      <c r="W1770">
        <v>588</v>
      </c>
      <c r="X1770">
        <v>0</v>
      </c>
      <c r="Z1770">
        <v>0</v>
      </c>
      <c r="AA1770">
        <v>0</v>
      </c>
      <c r="AB1770">
        <v>0</v>
      </c>
      <c r="AC1770">
        <v>0</v>
      </c>
      <c r="AD1770">
        <v>1311</v>
      </c>
    </row>
    <row r="1771" spans="1:30" x14ac:dyDescent="0.25">
      <c r="H1771" t="s">
        <v>3401</v>
      </c>
    </row>
    <row r="1772" spans="1:30" x14ac:dyDescent="0.25">
      <c r="A1772">
        <v>883</v>
      </c>
      <c r="B1772">
        <v>1680</v>
      </c>
      <c r="C1772" t="s">
        <v>3402</v>
      </c>
      <c r="D1772" t="s">
        <v>196</v>
      </c>
      <c r="E1772" t="s">
        <v>39</v>
      </c>
      <c r="F1772" t="s">
        <v>3403</v>
      </c>
      <c r="G1772" t="str">
        <f>"201410002308"</f>
        <v>201410002308</v>
      </c>
      <c r="H1772">
        <v>693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30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84</v>
      </c>
      <c r="W1772">
        <v>588</v>
      </c>
      <c r="X1772">
        <v>0</v>
      </c>
      <c r="Z1772">
        <v>0</v>
      </c>
      <c r="AA1772">
        <v>0</v>
      </c>
      <c r="AB1772">
        <v>0</v>
      </c>
      <c r="AC1772">
        <v>0</v>
      </c>
      <c r="AD1772">
        <v>1311</v>
      </c>
    </row>
    <row r="1773" spans="1:30" x14ac:dyDescent="0.25">
      <c r="H1773" t="s">
        <v>807</v>
      </c>
    </row>
    <row r="1774" spans="1:30" x14ac:dyDescent="0.25">
      <c r="A1774">
        <v>884</v>
      </c>
      <c r="B1774">
        <v>5332</v>
      </c>
      <c r="C1774" t="s">
        <v>3404</v>
      </c>
      <c r="D1774" t="s">
        <v>852</v>
      </c>
      <c r="E1774" t="s">
        <v>238</v>
      </c>
      <c r="F1774" t="s">
        <v>3405</v>
      </c>
      <c r="G1774" t="str">
        <f>"00361316"</f>
        <v>00361316</v>
      </c>
      <c r="H1774">
        <v>693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30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84</v>
      </c>
      <c r="W1774">
        <v>588</v>
      </c>
      <c r="X1774">
        <v>0</v>
      </c>
      <c r="Z1774">
        <v>0</v>
      </c>
      <c r="AA1774">
        <v>0</v>
      </c>
      <c r="AB1774">
        <v>0</v>
      </c>
      <c r="AC1774">
        <v>0</v>
      </c>
      <c r="AD1774">
        <v>1311</v>
      </c>
    </row>
    <row r="1775" spans="1:30" x14ac:dyDescent="0.25">
      <c r="H1775" t="s">
        <v>3406</v>
      </c>
    </row>
    <row r="1776" spans="1:30" x14ac:dyDescent="0.25">
      <c r="A1776">
        <v>885</v>
      </c>
      <c r="B1776">
        <v>5111</v>
      </c>
      <c r="C1776" t="s">
        <v>3407</v>
      </c>
      <c r="D1776" t="s">
        <v>2404</v>
      </c>
      <c r="E1776" t="s">
        <v>290</v>
      </c>
      <c r="F1776" t="s">
        <v>3408</v>
      </c>
      <c r="G1776" t="str">
        <f>"201511043298"</f>
        <v>201511043298</v>
      </c>
      <c r="H1776">
        <v>693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30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84</v>
      </c>
      <c r="W1776">
        <v>588</v>
      </c>
      <c r="X1776">
        <v>0</v>
      </c>
      <c r="Z1776">
        <v>0</v>
      </c>
      <c r="AA1776">
        <v>0</v>
      </c>
      <c r="AB1776">
        <v>0</v>
      </c>
      <c r="AC1776">
        <v>0</v>
      </c>
      <c r="AD1776">
        <v>1311</v>
      </c>
    </row>
    <row r="1777" spans="1:30" x14ac:dyDescent="0.25">
      <c r="H1777" t="s">
        <v>273</v>
      </c>
    </row>
    <row r="1778" spans="1:30" x14ac:dyDescent="0.25">
      <c r="A1778">
        <v>886</v>
      </c>
      <c r="B1778">
        <v>5380</v>
      </c>
      <c r="C1778" t="s">
        <v>3409</v>
      </c>
      <c r="D1778" t="s">
        <v>804</v>
      </c>
      <c r="E1778" t="s">
        <v>547</v>
      </c>
      <c r="F1778" t="s">
        <v>3410</v>
      </c>
      <c r="G1778" t="str">
        <f>"00356458"</f>
        <v>00356458</v>
      </c>
      <c r="H1778">
        <v>693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30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84</v>
      </c>
      <c r="W1778">
        <v>588</v>
      </c>
      <c r="X1778">
        <v>0</v>
      </c>
      <c r="Z1778">
        <v>2</v>
      </c>
      <c r="AA1778">
        <v>0</v>
      </c>
      <c r="AB1778">
        <v>0</v>
      </c>
      <c r="AC1778">
        <v>0</v>
      </c>
      <c r="AD1778">
        <v>1311</v>
      </c>
    </row>
    <row r="1779" spans="1:30" x14ac:dyDescent="0.25">
      <c r="H1779" t="s">
        <v>3411</v>
      </c>
    </row>
    <row r="1780" spans="1:30" x14ac:dyDescent="0.25">
      <c r="A1780">
        <v>887</v>
      </c>
      <c r="B1780">
        <v>4036</v>
      </c>
      <c r="C1780" t="s">
        <v>3412</v>
      </c>
      <c r="D1780" t="s">
        <v>296</v>
      </c>
      <c r="E1780" t="s">
        <v>162</v>
      </c>
      <c r="F1780" t="s">
        <v>3413</v>
      </c>
      <c r="G1780" t="str">
        <f>"201406011934"</f>
        <v>201406011934</v>
      </c>
      <c r="H1780" t="s">
        <v>146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50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72</v>
      </c>
      <c r="W1780">
        <v>504</v>
      </c>
      <c r="X1780">
        <v>0</v>
      </c>
      <c r="Z1780">
        <v>0</v>
      </c>
      <c r="AA1780">
        <v>0</v>
      </c>
      <c r="AB1780">
        <v>0</v>
      </c>
      <c r="AC1780">
        <v>0</v>
      </c>
      <c r="AD1780" t="s">
        <v>3414</v>
      </c>
    </row>
    <row r="1781" spans="1:30" x14ac:dyDescent="0.25">
      <c r="H1781" t="s">
        <v>3415</v>
      </c>
    </row>
    <row r="1782" spans="1:30" x14ac:dyDescent="0.25">
      <c r="A1782">
        <v>888</v>
      </c>
      <c r="B1782">
        <v>5112</v>
      </c>
      <c r="C1782" t="s">
        <v>3416</v>
      </c>
      <c r="D1782" t="s">
        <v>3417</v>
      </c>
      <c r="E1782" t="s">
        <v>290</v>
      </c>
      <c r="F1782" t="s">
        <v>3418</v>
      </c>
      <c r="G1782" t="str">
        <f>"00352851"</f>
        <v>00352851</v>
      </c>
      <c r="H1782" t="s">
        <v>311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83</v>
      </c>
      <c r="W1782">
        <v>581</v>
      </c>
      <c r="X1782">
        <v>0</v>
      </c>
      <c r="Z1782">
        <v>0</v>
      </c>
      <c r="AA1782">
        <v>0</v>
      </c>
      <c r="AB1782">
        <v>0</v>
      </c>
      <c r="AC1782">
        <v>0</v>
      </c>
      <c r="AD1782" t="s">
        <v>3419</v>
      </c>
    </row>
    <row r="1783" spans="1:30" x14ac:dyDescent="0.25">
      <c r="H1783" t="s">
        <v>3420</v>
      </c>
    </row>
    <row r="1784" spans="1:30" x14ac:dyDescent="0.25">
      <c r="A1784">
        <v>889</v>
      </c>
      <c r="B1784">
        <v>1102</v>
      </c>
      <c r="C1784" t="s">
        <v>3421</v>
      </c>
      <c r="D1784" t="s">
        <v>3422</v>
      </c>
      <c r="E1784" t="s">
        <v>162</v>
      </c>
      <c r="F1784" t="s">
        <v>3423</v>
      </c>
      <c r="G1784" t="str">
        <f>"201506000565"</f>
        <v>201506000565</v>
      </c>
      <c r="H1784" t="s">
        <v>2321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50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15</v>
      </c>
      <c r="W1784">
        <v>105</v>
      </c>
      <c r="X1784">
        <v>0</v>
      </c>
      <c r="Z1784">
        <v>0</v>
      </c>
      <c r="AA1784">
        <v>0</v>
      </c>
      <c r="AB1784">
        <v>24</v>
      </c>
      <c r="AC1784">
        <v>408</v>
      </c>
      <c r="AD1784" t="s">
        <v>3424</v>
      </c>
    </row>
    <row r="1785" spans="1:30" x14ac:dyDescent="0.25">
      <c r="H1785" t="s">
        <v>273</v>
      </c>
    </row>
    <row r="1786" spans="1:30" x14ac:dyDescent="0.25">
      <c r="A1786">
        <v>890</v>
      </c>
      <c r="B1786">
        <v>2606</v>
      </c>
      <c r="C1786" t="s">
        <v>3425</v>
      </c>
      <c r="D1786" t="s">
        <v>526</v>
      </c>
      <c r="E1786" t="s">
        <v>51</v>
      </c>
      <c r="F1786" t="s">
        <v>3426</v>
      </c>
      <c r="G1786" t="str">
        <f>"201511033844"</f>
        <v>201511033844</v>
      </c>
      <c r="H1786" t="s">
        <v>3427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30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84</v>
      </c>
      <c r="W1786">
        <v>588</v>
      </c>
      <c r="X1786">
        <v>0</v>
      </c>
      <c r="Z1786">
        <v>2</v>
      </c>
      <c r="AA1786">
        <v>0</v>
      </c>
      <c r="AB1786">
        <v>0</v>
      </c>
      <c r="AC1786">
        <v>0</v>
      </c>
      <c r="AD1786" t="s">
        <v>3424</v>
      </c>
    </row>
    <row r="1787" spans="1:30" x14ac:dyDescent="0.25">
      <c r="H1787">
        <v>1247</v>
      </c>
    </row>
    <row r="1788" spans="1:30" x14ac:dyDescent="0.25">
      <c r="A1788">
        <v>891</v>
      </c>
      <c r="B1788">
        <v>2870</v>
      </c>
      <c r="C1788" t="s">
        <v>1333</v>
      </c>
      <c r="D1788" t="s">
        <v>46</v>
      </c>
      <c r="E1788" t="s">
        <v>51</v>
      </c>
      <c r="F1788" t="s">
        <v>3428</v>
      </c>
      <c r="G1788" t="str">
        <f>"201406004213"</f>
        <v>201406004213</v>
      </c>
      <c r="H1788" t="s">
        <v>352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30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14</v>
      </c>
      <c r="W1788">
        <v>98</v>
      </c>
      <c r="X1788">
        <v>0</v>
      </c>
      <c r="Z1788">
        <v>1</v>
      </c>
      <c r="AA1788">
        <v>0</v>
      </c>
      <c r="AB1788">
        <v>24</v>
      </c>
      <c r="AC1788">
        <v>408</v>
      </c>
      <c r="AD1788" t="s">
        <v>3429</v>
      </c>
    </row>
    <row r="1789" spans="1:30" x14ac:dyDescent="0.25">
      <c r="H1789" t="s">
        <v>3430</v>
      </c>
    </row>
    <row r="1790" spans="1:30" x14ac:dyDescent="0.25">
      <c r="A1790">
        <v>892</v>
      </c>
      <c r="B1790">
        <v>2112</v>
      </c>
      <c r="C1790" t="s">
        <v>3431</v>
      </c>
      <c r="D1790" t="s">
        <v>494</v>
      </c>
      <c r="E1790" t="s">
        <v>140</v>
      </c>
      <c r="F1790" t="s">
        <v>3432</v>
      </c>
      <c r="G1790" t="str">
        <f>"201406000404"</f>
        <v>201406000404</v>
      </c>
      <c r="H1790">
        <v>693</v>
      </c>
      <c r="I1790">
        <v>150</v>
      </c>
      <c r="J1790">
        <v>0</v>
      </c>
      <c r="K1790">
        <v>0</v>
      </c>
      <c r="L1790">
        <v>0</v>
      </c>
      <c r="M1790">
        <v>0</v>
      </c>
      <c r="N1790">
        <v>30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4</v>
      </c>
      <c r="W1790">
        <v>28</v>
      </c>
      <c r="X1790">
        <v>0</v>
      </c>
      <c r="Z1790">
        <v>1</v>
      </c>
      <c r="AA1790">
        <v>0</v>
      </c>
      <c r="AB1790">
        <v>24</v>
      </c>
      <c r="AC1790">
        <v>408</v>
      </c>
      <c r="AD1790">
        <v>1309</v>
      </c>
    </row>
    <row r="1791" spans="1:30" x14ac:dyDescent="0.25">
      <c r="H1791" t="s">
        <v>3433</v>
      </c>
    </row>
    <row r="1792" spans="1:30" x14ac:dyDescent="0.25">
      <c r="A1792">
        <v>893</v>
      </c>
      <c r="B1792">
        <v>6238</v>
      </c>
      <c r="C1792" t="s">
        <v>3434</v>
      </c>
      <c r="D1792" t="s">
        <v>114</v>
      </c>
      <c r="E1792" t="s">
        <v>509</v>
      </c>
      <c r="F1792" t="s">
        <v>3435</v>
      </c>
      <c r="G1792" t="str">
        <f>"201511022855"</f>
        <v>201511022855</v>
      </c>
      <c r="H1792">
        <v>671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50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84</v>
      </c>
      <c r="W1792">
        <v>588</v>
      </c>
      <c r="X1792">
        <v>0</v>
      </c>
      <c r="Z1792">
        <v>0</v>
      </c>
      <c r="AA1792">
        <v>0</v>
      </c>
      <c r="AB1792">
        <v>0</v>
      </c>
      <c r="AC1792">
        <v>0</v>
      </c>
      <c r="AD1792">
        <v>1309</v>
      </c>
    </row>
    <row r="1793" spans="1:30" x14ac:dyDescent="0.25">
      <c r="H1793" t="s">
        <v>3436</v>
      </c>
    </row>
    <row r="1794" spans="1:30" x14ac:dyDescent="0.25">
      <c r="A1794">
        <v>894</v>
      </c>
      <c r="B1794">
        <v>3082</v>
      </c>
      <c r="C1794" t="s">
        <v>3437</v>
      </c>
      <c r="D1794" t="s">
        <v>3438</v>
      </c>
      <c r="E1794" t="s">
        <v>3439</v>
      </c>
      <c r="F1794" t="s">
        <v>3440</v>
      </c>
      <c r="G1794" t="str">
        <f>"00344017"</f>
        <v>00344017</v>
      </c>
      <c r="H1794" t="s">
        <v>3441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30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84</v>
      </c>
      <c r="W1794">
        <v>588</v>
      </c>
      <c r="X1794">
        <v>0</v>
      </c>
      <c r="Z1794">
        <v>0</v>
      </c>
      <c r="AA1794">
        <v>0</v>
      </c>
      <c r="AB1794">
        <v>0</v>
      </c>
      <c r="AC1794">
        <v>0</v>
      </c>
      <c r="AD1794" t="s">
        <v>3442</v>
      </c>
    </row>
    <row r="1795" spans="1:30" x14ac:dyDescent="0.25">
      <c r="H1795">
        <v>1247</v>
      </c>
    </row>
    <row r="1796" spans="1:30" x14ac:dyDescent="0.25">
      <c r="A1796">
        <v>895</v>
      </c>
      <c r="B1796">
        <v>668</v>
      </c>
      <c r="C1796" t="s">
        <v>3443</v>
      </c>
      <c r="D1796" t="s">
        <v>40</v>
      </c>
      <c r="E1796" t="s">
        <v>282</v>
      </c>
      <c r="F1796" t="s">
        <v>3444</v>
      </c>
      <c r="G1796" t="str">
        <f>"00295833"</f>
        <v>00295833</v>
      </c>
      <c r="H1796" t="s">
        <v>2197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30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83</v>
      </c>
      <c r="W1796">
        <v>581</v>
      </c>
      <c r="X1796">
        <v>0</v>
      </c>
      <c r="Z1796">
        <v>0</v>
      </c>
      <c r="AA1796">
        <v>0</v>
      </c>
      <c r="AB1796">
        <v>0</v>
      </c>
      <c r="AC1796">
        <v>0</v>
      </c>
      <c r="AD1796" t="s">
        <v>3445</v>
      </c>
    </row>
    <row r="1797" spans="1:30" x14ac:dyDescent="0.25">
      <c r="H1797" t="s">
        <v>1213</v>
      </c>
    </row>
    <row r="1798" spans="1:30" x14ac:dyDescent="0.25">
      <c r="A1798">
        <v>896</v>
      </c>
      <c r="B1798">
        <v>5037</v>
      </c>
      <c r="C1798" t="s">
        <v>3446</v>
      </c>
      <c r="D1798" t="s">
        <v>3447</v>
      </c>
      <c r="E1798" t="s">
        <v>3448</v>
      </c>
      <c r="F1798" t="s">
        <v>3449</v>
      </c>
      <c r="G1798" t="str">
        <f>"00166174"</f>
        <v>00166174</v>
      </c>
      <c r="H1798" t="s">
        <v>970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50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51</v>
      </c>
      <c r="W1798">
        <v>357</v>
      </c>
      <c r="X1798">
        <v>0</v>
      </c>
      <c r="Z1798">
        <v>0</v>
      </c>
      <c r="AA1798">
        <v>0</v>
      </c>
      <c r="AB1798">
        <v>0</v>
      </c>
      <c r="AC1798">
        <v>0</v>
      </c>
      <c r="AD1798" t="s">
        <v>3450</v>
      </c>
    </row>
    <row r="1799" spans="1:30" x14ac:dyDescent="0.25">
      <c r="H1799" t="s">
        <v>3451</v>
      </c>
    </row>
    <row r="1800" spans="1:30" x14ac:dyDescent="0.25">
      <c r="A1800">
        <v>897</v>
      </c>
      <c r="B1800">
        <v>5393</v>
      </c>
      <c r="C1800" t="s">
        <v>3452</v>
      </c>
      <c r="D1800" t="s">
        <v>107</v>
      </c>
      <c r="E1800" t="s">
        <v>183</v>
      </c>
      <c r="F1800" t="s">
        <v>3453</v>
      </c>
      <c r="G1800" t="str">
        <f>"00327677"</f>
        <v>00327677</v>
      </c>
      <c r="H1800" t="s">
        <v>1294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30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84</v>
      </c>
      <c r="W1800">
        <v>588</v>
      </c>
      <c r="X1800">
        <v>0</v>
      </c>
      <c r="Z1800">
        <v>0</v>
      </c>
      <c r="AA1800">
        <v>0</v>
      </c>
      <c r="AB1800">
        <v>0</v>
      </c>
      <c r="AC1800">
        <v>0</v>
      </c>
      <c r="AD1800" t="s">
        <v>3454</v>
      </c>
    </row>
    <row r="1801" spans="1:30" x14ac:dyDescent="0.25">
      <c r="H1801" t="s">
        <v>3455</v>
      </c>
    </row>
    <row r="1802" spans="1:30" x14ac:dyDescent="0.25">
      <c r="A1802">
        <v>898</v>
      </c>
      <c r="B1802">
        <v>2016</v>
      </c>
      <c r="C1802" t="s">
        <v>3456</v>
      </c>
      <c r="D1802" t="s">
        <v>3457</v>
      </c>
      <c r="E1802" t="s">
        <v>40</v>
      </c>
      <c r="F1802" t="s">
        <v>3458</v>
      </c>
      <c r="G1802" t="str">
        <f>"00146560"</f>
        <v>00146560</v>
      </c>
      <c r="H1802" t="s">
        <v>1294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30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84</v>
      </c>
      <c r="W1802">
        <v>588</v>
      </c>
      <c r="X1802">
        <v>0</v>
      </c>
      <c r="Z1802">
        <v>1</v>
      </c>
      <c r="AA1802">
        <v>0</v>
      </c>
      <c r="AB1802">
        <v>0</v>
      </c>
      <c r="AC1802">
        <v>0</v>
      </c>
      <c r="AD1802" t="s">
        <v>3454</v>
      </c>
    </row>
    <row r="1803" spans="1:30" x14ac:dyDescent="0.25">
      <c r="H1803" t="s">
        <v>3459</v>
      </c>
    </row>
    <row r="1804" spans="1:30" x14ac:dyDescent="0.25">
      <c r="A1804">
        <v>899</v>
      </c>
      <c r="B1804">
        <v>6171</v>
      </c>
      <c r="C1804" t="s">
        <v>3460</v>
      </c>
      <c r="D1804" t="s">
        <v>3461</v>
      </c>
      <c r="E1804" t="s">
        <v>40</v>
      </c>
      <c r="F1804" t="s">
        <v>3462</v>
      </c>
      <c r="G1804" t="str">
        <f>"00182352"</f>
        <v>00182352</v>
      </c>
      <c r="H1804" t="s">
        <v>1850</v>
      </c>
      <c r="I1804">
        <v>150</v>
      </c>
      <c r="J1804">
        <v>0</v>
      </c>
      <c r="K1804">
        <v>0</v>
      </c>
      <c r="L1804">
        <v>200</v>
      </c>
      <c r="M1804">
        <v>0</v>
      </c>
      <c r="N1804">
        <v>70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26</v>
      </c>
      <c r="W1804">
        <v>182</v>
      </c>
      <c r="X1804">
        <v>0</v>
      </c>
      <c r="Z1804">
        <v>2</v>
      </c>
      <c r="AA1804">
        <v>0</v>
      </c>
      <c r="AB1804">
        <v>0</v>
      </c>
      <c r="AC1804">
        <v>0</v>
      </c>
      <c r="AD1804" t="s">
        <v>3463</v>
      </c>
    </row>
    <row r="1805" spans="1:30" x14ac:dyDescent="0.25">
      <c r="H1805" t="s">
        <v>3464</v>
      </c>
    </row>
    <row r="1806" spans="1:30" x14ac:dyDescent="0.25">
      <c r="A1806">
        <v>900</v>
      </c>
      <c r="B1806">
        <v>1020</v>
      </c>
      <c r="C1806" t="s">
        <v>3465</v>
      </c>
      <c r="D1806" t="s">
        <v>694</v>
      </c>
      <c r="E1806" t="s">
        <v>162</v>
      </c>
      <c r="F1806" t="s">
        <v>3466</v>
      </c>
      <c r="G1806" t="str">
        <f>"201406007806"</f>
        <v>201406007806</v>
      </c>
      <c r="H1806" t="s">
        <v>264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30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38</v>
      </c>
      <c r="W1806">
        <v>266</v>
      </c>
      <c r="X1806">
        <v>0</v>
      </c>
      <c r="Z1806">
        <v>0</v>
      </c>
      <c r="AA1806">
        <v>0</v>
      </c>
      <c r="AB1806">
        <v>13</v>
      </c>
      <c r="AC1806">
        <v>221</v>
      </c>
      <c r="AD1806" t="s">
        <v>3467</v>
      </c>
    </row>
    <row r="1807" spans="1:30" x14ac:dyDescent="0.25">
      <c r="H1807" t="s">
        <v>3468</v>
      </c>
    </row>
    <row r="1808" spans="1:30" x14ac:dyDescent="0.25">
      <c r="A1808">
        <v>901</v>
      </c>
      <c r="B1808">
        <v>5250</v>
      </c>
      <c r="C1808" t="s">
        <v>3469</v>
      </c>
      <c r="D1808" t="s">
        <v>509</v>
      </c>
      <c r="E1808" t="s">
        <v>183</v>
      </c>
      <c r="F1808" t="s">
        <v>3470</v>
      </c>
      <c r="G1808" t="str">
        <f>"00369129"</f>
        <v>00369129</v>
      </c>
      <c r="H1808" t="s">
        <v>422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30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84</v>
      </c>
      <c r="W1808">
        <v>588</v>
      </c>
      <c r="X1808">
        <v>0</v>
      </c>
      <c r="Z1808">
        <v>0</v>
      </c>
      <c r="AA1808">
        <v>0</v>
      </c>
      <c r="AB1808">
        <v>0</v>
      </c>
      <c r="AC1808">
        <v>0</v>
      </c>
      <c r="AD1808" t="s">
        <v>3471</v>
      </c>
    </row>
    <row r="1809" spans="1:30" x14ac:dyDescent="0.25">
      <c r="H1809" t="s">
        <v>3472</v>
      </c>
    </row>
    <row r="1810" spans="1:30" x14ac:dyDescent="0.25">
      <c r="A1810">
        <v>902</v>
      </c>
      <c r="B1810">
        <v>3068</v>
      </c>
      <c r="C1810" t="s">
        <v>3473</v>
      </c>
      <c r="D1810" t="s">
        <v>166</v>
      </c>
      <c r="E1810" t="s">
        <v>140</v>
      </c>
      <c r="F1810" t="s">
        <v>3474</v>
      </c>
      <c r="G1810" t="str">
        <f>"201601001062"</f>
        <v>201601001062</v>
      </c>
      <c r="H1810" t="s">
        <v>422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30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84</v>
      </c>
      <c r="W1810">
        <v>588</v>
      </c>
      <c r="X1810">
        <v>0</v>
      </c>
      <c r="Z1810">
        <v>0</v>
      </c>
      <c r="AA1810">
        <v>0</v>
      </c>
      <c r="AB1810">
        <v>0</v>
      </c>
      <c r="AC1810">
        <v>0</v>
      </c>
      <c r="AD1810" t="s">
        <v>3471</v>
      </c>
    </row>
    <row r="1811" spans="1:30" x14ac:dyDescent="0.25">
      <c r="H1811" t="s">
        <v>3475</v>
      </c>
    </row>
    <row r="1812" spans="1:30" x14ac:dyDescent="0.25">
      <c r="A1812">
        <v>903</v>
      </c>
      <c r="B1812">
        <v>5660</v>
      </c>
      <c r="C1812" t="s">
        <v>3476</v>
      </c>
      <c r="D1812" t="s">
        <v>182</v>
      </c>
      <c r="E1812" t="s">
        <v>47</v>
      </c>
      <c r="F1812" t="s">
        <v>3477</v>
      </c>
      <c r="G1812" t="str">
        <f>"200802010794"</f>
        <v>200802010794</v>
      </c>
      <c r="H1812" t="s">
        <v>710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30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69</v>
      </c>
      <c r="W1812">
        <v>483</v>
      </c>
      <c r="X1812">
        <v>0</v>
      </c>
      <c r="Z1812">
        <v>0</v>
      </c>
      <c r="AA1812">
        <v>0</v>
      </c>
      <c r="AB1812">
        <v>0</v>
      </c>
      <c r="AC1812">
        <v>0</v>
      </c>
      <c r="AD1812" t="s">
        <v>3478</v>
      </c>
    </row>
    <row r="1813" spans="1:30" x14ac:dyDescent="0.25">
      <c r="H1813" t="s">
        <v>3479</v>
      </c>
    </row>
    <row r="1814" spans="1:30" x14ac:dyDescent="0.25">
      <c r="A1814">
        <v>904</v>
      </c>
      <c r="B1814">
        <v>3728</v>
      </c>
      <c r="C1814" t="s">
        <v>3480</v>
      </c>
      <c r="D1814" t="s">
        <v>335</v>
      </c>
      <c r="E1814" t="s">
        <v>39</v>
      </c>
      <c r="F1814" t="s">
        <v>3481</v>
      </c>
      <c r="G1814" t="str">
        <f>"200802006757"</f>
        <v>200802006757</v>
      </c>
      <c r="H1814" t="s">
        <v>3482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0</v>
      </c>
      <c r="O1814">
        <v>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84</v>
      </c>
      <c r="W1814">
        <v>588</v>
      </c>
      <c r="X1814">
        <v>0</v>
      </c>
      <c r="Z1814">
        <v>0</v>
      </c>
      <c r="AA1814">
        <v>0</v>
      </c>
      <c r="AB1814">
        <v>0</v>
      </c>
      <c r="AC1814">
        <v>0</v>
      </c>
      <c r="AD1814" t="s">
        <v>3483</v>
      </c>
    </row>
    <row r="1815" spans="1:30" x14ac:dyDescent="0.25">
      <c r="H1815">
        <v>1247</v>
      </c>
    </row>
    <row r="1816" spans="1:30" x14ac:dyDescent="0.25">
      <c r="A1816">
        <v>905</v>
      </c>
      <c r="B1816">
        <v>3158</v>
      </c>
      <c r="C1816" t="s">
        <v>3484</v>
      </c>
      <c r="D1816" t="s">
        <v>182</v>
      </c>
      <c r="E1816" t="s">
        <v>39</v>
      </c>
      <c r="F1816" t="s">
        <v>3485</v>
      </c>
      <c r="G1816" t="str">
        <f>"00232014"</f>
        <v>00232014</v>
      </c>
      <c r="H1816" t="s">
        <v>2056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30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79</v>
      </c>
      <c r="W1816">
        <v>553</v>
      </c>
      <c r="X1816">
        <v>0</v>
      </c>
      <c r="Z1816">
        <v>2</v>
      </c>
      <c r="AA1816">
        <v>0</v>
      </c>
      <c r="AB1816">
        <v>0</v>
      </c>
      <c r="AC1816">
        <v>0</v>
      </c>
      <c r="AD1816" t="s">
        <v>3486</v>
      </c>
    </row>
    <row r="1817" spans="1:30" x14ac:dyDescent="0.25">
      <c r="H1817" t="s">
        <v>3487</v>
      </c>
    </row>
    <row r="1818" spans="1:30" x14ac:dyDescent="0.25">
      <c r="A1818">
        <v>906</v>
      </c>
      <c r="B1818">
        <v>2340</v>
      </c>
      <c r="C1818" t="s">
        <v>3488</v>
      </c>
      <c r="D1818" t="s">
        <v>3489</v>
      </c>
      <c r="E1818" t="s">
        <v>107</v>
      </c>
      <c r="F1818" t="s">
        <v>3490</v>
      </c>
      <c r="G1818" t="str">
        <f>"201406007684"</f>
        <v>201406007684</v>
      </c>
      <c r="H1818" t="s">
        <v>638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30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81</v>
      </c>
      <c r="W1818">
        <v>567</v>
      </c>
      <c r="X1818">
        <v>0</v>
      </c>
      <c r="Z1818">
        <v>0</v>
      </c>
      <c r="AA1818">
        <v>0</v>
      </c>
      <c r="AB1818">
        <v>0</v>
      </c>
      <c r="AC1818">
        <v>0</v>
      </c>
      <c r="AD1818" t="s">
        <v>3491</v>
      </c>
    </row>
    <row r="1819" spans="1:30" x14ac:dyDescent="0.25">
      <c r="H1819" t="s">
        <v>3492</v>
      </c>
    </row>
    <row r="1820" spans="1:30" x14ac:dyDescent="0.25">
      <c r="A1820">
        <v>907</v>
      </c>
      <c r="B1820">
        <v>500</v>
      </c>
      <c r="C1820" t="s">
        <v>3493</v>
      </c>
      <c r="D1820" t="s">
        <v>3494</v>
      </c>
      <c r="E1820" t="s">
        <v>495</v>
      </c>
      <c r="F1820" t="s">
        <v>3495</v>
      </c>
      <c r="G1820" t="str">
        <f>"00288886"</f>
        <v>00288886</v>
      </c>
      <c r="H1820" t="s">
        <v>3496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30</v>
      </c>
      <c r="O1820">
        <v>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56</v>
      </c>
      <c r="W1820">
        <v>392</v>
      </c>
      <c r="X1820">
        <v>0</v>
      </c>
      <c r="Z1820">
        <v>0</v>
      </c>
      <c r="AA1820">
        <v>0</v>
      </c>
      <c r="AB1820">
        <v>0</v>
      </c>
      <c r="AC1820">
        <v>0</v>
      </c>
      <c r="AD1820" t="s">
        <v>3497</v>
      </c>
    </row>
    <row r="1821" spans="1:30" x14ac:dyDescent="0.25">
      <c r="H1821">
        <v>1250</v>
      </c>
    </row>
    <row r="1822" spans="1:30" x14ac:dyDescent="0.25">
      <c r="A1822">
        <v>908</v>
      </c>
      <c r="B1822">
        <v>1268</v>
      </c>
      <c r="C1822" t="s">
        <v>3498</v>
      </c>
      <c r="D1822" t="s">
        <v>40</v>
      </c>
      <c r="E1822" t="s">
        <v>51</v>
      </c>
      <c r="F1822" t="s">
        <v>3499</v>
      </c>
      <c r="G1822" t="str">
        <f>"00300226"</f>
        <v>00300226</v>
      </c>
      <c r="H1822">
        <v>737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70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71</v>
      </c>
      <c r="W1822">
        <v>497</v>
      </c>
      <c r="X1822">
        <v>0</v>
      </c>
      <c r="Z1822">
        <v>0</v>
      </c>
      <c r="AA1822">
        <v>0</v>
      </c>
      <c r="AB1822">
        <v>0</v>
      </c>
      <c r="AC1822">
        <v>0</v>
      </c>
      <c r="AD1822">
        <v>1304</v>
      </c>
    </row>
    <row r="1823" spans="1:30" x14ac:dyDescent="0.25">
      <c r="H1823" t="s">
        <v>3500</v>
      </c>
    </row>
    <row r="1824" spans="1:30" x14ac:dyDescent="0.25">
      <c r="A1824">
        <v>909</v>
      </c>
      <c r="B1824">
        <v>3293</v>
      </c>
      <c r="C1824" t="s">
        <v>3501</v>
      </c>
      <c r="D1824" t="s">
        <v>335</v>
      </c>
      <c r="E1824" t="s">
        <v>2482</v>
      </c>
      <c r="F1824" t="s">
        <v>3502</v>
      </c>
      <c r="G1824" t="str">
        <f>"00346821"</f>
        <v>00346821</v>
      </c>
      <c r="H1824" t="s">
        <v>740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30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84</v>
      </c>
      <c r="W1824">
        <v>588</v>
      </c>
      <c r="X1824">
        <v>0</v>
      </c>
      <c r="Z1824">
        <v>0</v>
      </c>
      <c r="AA1824">
        <v>0</v>
      </c>
      <c r="AB1824">
        <v>0</v>
      </c>
      <c r="AC1824">
        <v>0</v>
      </c>
      <c r="AD1824" t="s">
        <v>3503</v>
      </c>
    </row>
    <row r="1825" spans="1:30" x14ac:dyDescent="0.25">
      <c r="H1825" t="s">
        <v>3504</v>
      </c>
    </row>
    <row r="1826" spans="1:30" x14ac:dyDescent="0.25">
      <c r="A1826">
        <v>910</v>
      </c>
      <c r="B1826">
        <v>6281</v>
      </c>
      <c r="C1826" t="s">
        <v>3103</v>
      </c>
      <c r="D1826" t="s">
        <v>804</v>
      </c>
      <c r="E1826" t="s">
        <v>140</v>
      </c>
      <c r="F1826" t="s">
        <v>3505</v>
      </c>
      <c r="G1826" t="str">
        <f>"201411001173"</f>
        <v>201411001173</v>
      </c>
      <c r="H1826" t="s">
        <v>740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30</v>
      </c>
      <c r="O1826">
        <v>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84</v>
      </c>
      <c r="W1826">
        <v>588</v>
      </c>
      <c r="X1826">
        <v>0</v>
      </c>
      <c r="Z1826">
        <v>0</v>
      </c>
      <c r="AA1826">
        <v>0</v>
      </c>
      <c r="AB1826">
        <v>0</v>
      </c>
      <c r="AC1826">
        <v>0</v>
      </c>
      <c r="AD1826" t="s">
        <v>3503</v>
      </c>
    </row>
    <row r="1827" spans="1:30" x14ac:dyDescent="0.25">
      <c r="H1827">
        <v>1247</v>
      </c>
    </row>
    <row r="1828" spans="1:30" x14ac:dyDescent="0.25">
      <c r="A1828">
        <v>911</v>
      </c>
      <c r="B1828">
        <v>3520</v>
      </c>
      <c r="C1828" t="s">
        <v>3506</v>
      </c>
      <c r="D1828" t="s">
        <v>694</v>
      </c>
      <c r="E1828" t="s">
        <v>51</v>
      </c>
      <c r="F1828" t="s">
        <v>3507</v>
      </c>
      <c r="G1828" t="str">
        <f>"00302531"</f>
        <v>00302531</v>
      </c>
      <c r="H1828" t="s">
        <v>789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30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67</v>
      </c>
      <c r="W1828">
        <v>469</v>
      </c>
      <c r="X1828">
        <v>0</v>
      </c>
      <c r="Z1828">
        <v>0</v>
      </c>
      <c r="AA1828">
        <v>0</v>
      </c>
      <c r="AB1828">
        <v>0</v>
      </c>
      <c r="AC1828">
        <v>0</v>
      </c>
      <c r="AD1828" t="s">
        <v>3508</v>
      </c>
    </row>
    <row r="1829" spans="1:30" x14ac:dyDescent="0.25">
      <c r="H1829" t="s">
        <v>3509</v>
      </c>
    </row>
    <row r="1830" spans="1:30" x14ac:dyDescent="0.25">
      <c r="A1830">
        <v>912</v>
      </c>
      <c r="B1830">
        <v>2262</v>
      </c>
      <c r="C1830" t="s">
        <v>3510</v>
      </c>
      <c r="D1830" t="s">
        <v>238</v>
      </c>
      <c r="E1830" t="s">
        <v>107</v>
      </c>
      <c r="F1830" t="s">
        <v>3511</v>
      </c>
      <c r="G1830" t="str">
        <f>"200712001267"</f>
        <v>200712001267</v>
      </c>
      <c r="H1830">
        <v>715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84</v>
      </c>
      <c r="W1830">
        <v>588</v>
      </c>
      <c r="X1830">
        <v>0</v>
      </c>
      <c r="Z1830">
        <v>0</v>
      </c>
      <c r="AA1830">
        <v>0</v>
      </c>
      <c r="AB1830">
        <v>0</v>
      </c>
      <c r="AC1830">
        <v>0</v>
      </c>
      <c r="AD1830">
        <v>1303</v>
      </c>
    </row>
    <row r="1831" spans="1:30" x14ac:dyDescent="0.25">
      <c r="H1831" t="s">
        <v>3512</v>
      </c>
    </row>
    <row r="1832" spans="1:30" x14ac:dyDescent="0.25">
      <c r="A1832">
        <v>913</v>
      </c>
      <c r="B1832">
        <v>5457</v>
      </c>
      <c r="C1832" t="s">
        <v>3513</v>
      </c>
      <c r="D1832" t="s">
        <v>40</v>
      </c>
      <c r="E1832" t="s">
        <v>15</v>
      </c>
      <c r="F1832" t="s">
        <v>3514</v>
      </c>
      <c r="G1832" t="str">
        <f>"00263685"</f>
        <v>00263685</v>
      </c>
      <c r="H1832">
        <v>715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84</v>
      </c>
      <c r="W1832">
        <v>588</v>
      </c>
      <c r="X1832">
        <v>0</v>
      </c>
      <c r="Z1832">
        <v>0</v>
      </c>
      <c r="AA1832">
        <v>0</v>
      </c>
      <c r="AB1832">
        <v>0</v>
      </c>
      <c r="AC1832">
        <v>0</v>
      </c>
      <c r="AD1832">
        <v>1303</v>
      </c>
    </row>
    <row r="1833" spans="1:30" x14ac:dyDescent="0.25">
      <c r="H1833" t="s">
        <v>2504</v>
      </c>
    </row>
    <row r="1834" spans="1:30" x14ac:dyDescent="0.25">
      <c r="A1834">
        <v>914</v>
      </c>
      <c r="B1834">
        <v>3169</v>
      </c>
      <c r="C1834" t="s">
        <v>3515</v>
      </c>
      <c r="D1834" t="s">
        <v>47</v>
      </c>
      <c r="E1834" t="s">
        <v>162</v>
      </c>
      <c r="F1834" t="s">
        <v>3516</v>
      </c>
      <c r="G1834" t="str">
        <f>"00359446"</f>
        <v>00359446</v>
      </c>
      <c r="H1834">
        <v>715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0</v>
      </c>
      <c r="O1834">
        <v>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84</v>
      </c>
      <c r="W1834">
        <v>588</v>
      </c>
      <c r="X1834">
        <v>0</v>
      </c>
      <c r="Z1834">
        <v>0</v>
      </c>
      <c r="AA1834">
        <v>0</v>
      </c>
      <c r="AB1834">
        <v>0</v>
      </c>
      <c r="AC1834">
        <v>0</v>
      </c>
      <c r="AD1834">
        <v>1303</v>
      </c>
    </row>
    <row r="1835" spans="1:30" x14ac:dyDescent="0.25">
      <c r="H1835" t="s">
        <v>3517</v>
      </c>
    </row>
    <row r="1836" spans="1:30" x14ac:dyDescent="0.25">
      <c r="A1836">
        <v>915</v>
      </c>
      <c r="B1836">
        <v>6092</v>
      </c>
      <c r="C1836" t="s">
        <v>3518</v>
      </c>
      <c r="D1836" t="s">
        <v>335</v>
      </c>
      <c r="E1836" t="s">
        <v>47</v>
      </c>
      <c r="F1836" t="s">
        <v>3519</v>
      </c>
      <c r="G1836" t="str">
        <f>"00293060"</f>
        <v>00293060</v>
      </c>
      <c r="H1836">
        <v>715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84</v>
      </c>
      <c r="W1836">
        <v>588</v>
      </c>
      <c r="X1836">
        <v>0</v>
      </c>
      <c r="Z1836">
        <v>2</v>
      </c>
      <c r="AA1836">
        <v>0</v>
      </c>
      <c r="AB1836">
        <v>0</v>
      </c>
      <c r="AC1836">
        <v>0</v>
      </c>
      <c r="AD1836">
        <v>1303</v>
      </c>
    </row>
    <row r="1837" spans="1:30" x14ac:dyDescent="0.25">
      <c r="H1837" t="s">
        <v>3520</v>
      </c>
    </row>
    <row r="1838" spans="1:30" x14ac:dyDescent="0.25">
      <c r="A1838">
        <v>916</v>
      </c>
      <c r="B1838">
        <v>5382</v>
      </c>
      <c r="C1838" t="s">
        <v>3521</v>
      </c>
      <c r="D1838" t="s">
        <v>40</v>
      </c>
      <c r="E1838" t="s">
        <v>3522</v>
      </c>
      <c r="F1838" t="s">
        <v>3523</v>
      </c>
      <c r="G1838" t="str">
        <f>"00364459"</f>
        <v>00364459</v>
      </c>
      <c r="H1838">
        <v>715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84</v>
      </c>
      <c r="W1838">
        <v>588</v>
      </c>
      <c r="X1838">
        <v>0</v>
      </c>
      <c r="Z1838">
        <v>2</v>
      </c>
      <c r="AA1838">
        <v>0</v>
      </c>
      <c r="AB1838">
        <v>0</v>
      </c>
      <c r="AC1838">
        <v>0</v>
      </c>
      <c r="AD1838">
        <v>1303</v>
      </c>
    </row>
    <row r="1839" spans="1:30" x14ac:dyDescent="0.25">
      <c r="H1839" t="s">
        <v>3524</v>
      </c>
    </row>
    <row r="1840" spans="1:30" x14ac:dyDescent="0.25">
      <c r="A1840">
        <v>917</v>
      </c>
      <c r="B1840">
        <v>4210</v>
      </c>
      <c r="C1840" t="s">
        <v>3525</v>
      </c>
      <c r="D1840" t="s">
        <v>182</v>
      </c>
      <c r="E1840" t="s">
        <v>107</v>
      </c>
      <c r="F1840" t="s">
        <v>3526</v>
      </c>
      <c r="G1840" t="str">
        <f>"200906000338"</f>
        <v>200906000338</v>
      </c>
      <c r="H1840">
        <v>682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50</v>
      </c>
      <c r="O1840">
        <v>0</v>
      </c>
      <c r="P1840">
        <v>0</v>
      </c>
      <c r="Q1840">
        <v>30</v>
      </c>
      <c r="R1840">
        <v>30</v>
      </c>
      <c r="S1840">
        <v>0</v>
      </c>
      <c r="T1840">
        <v>0</v>
      </c>
      <c r="U1840">
        <v>0</v>
      </c>
      <c r="V1840">
        <v>73</v>
      </c>
      <c r="W1840">
        <v>511</v>
      </c>
      <c r="X1840">
        <v>0</v>
      </c>
      <c r="Z1840">
        <v>0</v>
      </c>
      <c r="AA1840">
        <v>0</v>
      </c>
      <c r="AB1840">
        <v>0</v>
      </c>
      <c r="AC1840">
        <v>0</v>
      </c>
      <c r="AD1840">
        <v>1303</v>
      </c>
    </row>
    <row r="1841" spans="1:30" x14ac:dyDescent="0.25">
      <c r="H1841" t="s">
        <v>3527</v>
      </c>
    </row>
    <row r="1842" spans="1:30" x14ac:dyDescent="0.25">
      <c r="A1842">
        <v>918</v>
      </c>
      <c r="B1842">
        <v>3783</v>
      </c>
      <c r="C1842" t="s">
        <v>3528</v>
      </c>
      <c r="D1842" t="s">
        <v>694</v>
      </c>
      <c r="E1842" t="s">
        <v>282</v>
      </c>
      <c r="F1842" t="s">
        <v>3529</v>
      </c>
      <c r="G1842" t="str">
        <f>"00367081"</f>
        <v>00367081</v>
      </c>
      <c r="H1842" t="s">
        <v>3132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30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84</v>
      </c>
      <c r="W1842">
        <v>588</v>
      </c>
      <c r="X1842">
        <v>0</v>
      </c>
      <c r="Z1842">
        <v>0</v>
      </c>
      <c r="AA1842">
        <v>0</v>
      </c>
      <c r="AB1842">
        <v>0</v>
      </c>
      <c r="AC1842">
        <v>0</v>
      </c>
      <c r="AD1842" t="s">
        <v>3530</v>
      </c>
    </row>
    <row r="1843" spans="1:30" x14ac:dyDescent="0.25">
      <c r="H1843" t="s">
        <v>3531</v>
      </c>
    </row>
    <row r="1844" spans="1:30" x14ac:dyDescent="0.25">
      <c r="A1844">
        <v>919</v>
      </c>
      <c r="B1844">
        <v>5070</v>
      </c>
      <c r="C1844" t="s">
        <v>3532</v>
      </c>
      <c r="D1844" t="s">
        <v>3533</v>
      </c>
      <c r="E1844" t="s">
        <v>39</v>
      </c>
      <c r="F1844" t="s">
        <v>3534</v>
      </c>
      <c r="G1844" t="str">
        <f>"00220376"</f>
        <v>00220376</v>
      </c>
      <c r="H1844" t="s">
        <v>3132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30</v>
      </c>
      <c r="O1844">
        <v>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84</v>
      </c>
      <c r="W1844">
        <v>588</v>
      </c>
      <c r="X1844">
        <v>0</v>
      </c>
      <c r="Z1844">
        <v>0</v>
      </c>
      <c r="AA1844">
        <v>0</v>
      </c>
      <c r="AB1844">
        <v>0</v>
      </c>
      <c r="AC1844">
        <v>0</v>
      </c>
      <c r="AD1844" t="s">
        <v>3530</v>
      </c>
    </row>
    <row r="1845" spans="1:30" x14ac:dyDescent="0.25">
      <c r="H1845">
        <v>1247</v>
      </c>
    </row>
    <row r="1846" spans="1:30" x14ac:dyDescent="0.25">
      <c r="A1846">
        <v>920</v>
      </c>
      <c r="B1846">
        <v>2385</v>
      </c>
      <c r="C1846" t="s">
        <v>3535</v>
      </c>
      <c r="D1846" t="s">
        <v>40</v>
      </c>
      <c r="E1846" t="s">
        <v>39</v>
      </c>
      <c r="F1846" t="s">
        <v>3536</v>
      </c>
      <c r="G1846" t="str">
        <f>"201510003687"</f>
        <v>201510003687</v>
      </c>
      <c r="H1846" t="s">
        <v>3132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30</v>
      </c>
      <c r="O1846">
        <v>0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84</v>
      </c>
      <c r="W1846">
        <v>588</v>
      </c>
      <c r="X1846">
        <v>0</v>
      </c>
      <c r="Z1846">
        <v>2</v>
      </c>
      <c r="AA1846">
        <v>0</v>
      </c>
      <c r="AB1846">
        <v>0</v>
      </c>
      <c r="AC1846">
        <v>0</v>
      </c>
      <c r="AD1846" t="s">
        <v>3530</v>
      </c>
    </row>
    <row r="1847" spans="1:30" x14ac:dyDescent="0.25">
      <c r="H1847" t="s">
        <v>3537</v>
      </c>
    </row>
    <row r="1848" spans="1:30" x14ac:dyDescent="0.25">
      <c r="A1848">
        <v>921</v>
      </c>
      <c r="B1848">
        <v>2235</v>
      </c>
      <c r="C1848" t="s">
        <v>3538</v>
      </c>
      <c r="D1848" t="s">
        <v>599</v>
      </c>
      <c r="E1848" t="s">
        <v>3539</v>
      </c>
      <c r="F1848" t="s">
        <v>3540</v>
      </c>
      <c r="G1848" t="str">
        <f>"201510000761"</f>
        <v>201510000761</v>
      </c>
      <c r="H1848" t="s">
        <v>562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30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84</v>
      </c>
      <c r="W1848">
        <v>588</v>
      </c>
      <c r="X1848">
        <v>0</v>
      </c>
      <c r="Z1848">
        <v>0</v>
      </c>
      <c r="AA1848">
        <v>0</v>
      </c>
      <c r="AB1848">
        <v>0</v>
      </c>
      <c r="AC1848">
        <v>0</v>
      </c>
      <c r="AD1848" t="s">
        <v>3541</v>
      </c>
    </row>
    <row r="1849" spans="1:30" x14ac:dyDescent="0.25">
      <c r="H1849" t="s">
        <v>3542</v>
      </c>
    </row>
    <row r="1850" spans="1:30" x14ac:dyDescent="0.25">
      <c r="A1850">
        <v>922</v>
      </c>
      <c r="B1850">
        <v>272</v>
      </c>
      <c r="C1850" t="s">
        <v>3543</v>
      </c>
      <c r="D1850" t="s">
        <v>544</v>
      </c>
      <c r="E1850" t="s">
        <v>40</v>
      </c>
      <c r="F1850" t="s">
        <v>3544</v>
      </c>
      <c r="G1850" t="str">
        <f>"201406010911"</f>
        <v>201406010911</v>
      </c>
      <c r="H1850" t="s">
        <v>1091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70</v>
      </c>
      <c r="O1850">
        <v>30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12</v>
      </c>
      <c r="W1850">
        <v>84</v>
      </c>
      <c r="X1850">
        <v>0</v>
      </c>
      <c r="Z1850">
        <v>2</v>
      </c>
      <c r="AA1850">
        <v>0</v>
      </c>
      <c r="AB1850">
        <v>24</v>
      </c>
      <c r="AC1850">
        <v>408</v>
      </c>
      <c r="AD1850" t="s">
        <v>3545</v>
      </c>
    </row>
    <row r="1851" spans="1:30" x14ac:dyDescent="0.25">
      <c r="H1851" t="s">
        <v>3546</v>
      </c>
    </row>
    <row r="1852" spans="1:30" x14ac:dyDescent="0.25">
      <c r="A1852">
        <v>923</v>
      </c>
      <c r="B1852">
        <v>3170</v>
      </c>
      <c r="C1852" t="s">
        <v>3547</v>
      </c>
      <c r="D1852" t="s">
        <v>27</v>
      </c>
      <c r="E1852" t="s">
        <v>482</v>
      </c>
      <c r="F1852" t="s">
        <v>3548</v>
      </c>
      <c r="G1852" t="str">
        <f>"00146325"</f>
        <v>00146325</v>
      </c>
      <c r="H1852">
        <v>682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30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84</v>
      </c>
      <c r="W1852">
        <v>588</v>
      </c>
      <c r="X1852">
        <v>0</v>
      </c>
      <c r="Z1852">
        <v>0</v>
      </c>
      <c r="AA1852">
        <v>0</v>
      </c>
      <c r="AB1852">
        <v>0</v>
      </c>
      <c r="AC1852">
        <v>0</v>
      </c>
      <c r="AD1852">
        <v>1300</v>
      </c>
    </row>
    <row r="1853" spans="1:30" x14ac:dyDescent="0.25">
      <c r="H1853" t="s">
        <v>3549</v>
      </c>
    </row>
    <row r="1854" spans="1:30" x14ac:dyDescent="0.25">
      <c r="A1854">
        <v>924</v>
      </c>
      <c r="B1854">
        <v>1692</v>
      </c>
      <c r="C1854" t="s">
        <v>3550</v>
      </c>
      <c r="D1854" t="s">
        <v>40</v>
      </c>
      <c r="E1854" t="s">
        <v>183</v>
      </c>
      <c r="F1854" t="s">
        <v>3551</v>
      </c>
      <c r="G1854" t="str">
        <f>"00300806"</f>
        <v>00300806</v>
      </c>
      <c r="H1854">
        <v>682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30</v>
      </c>
      <c r="O1854">
        <v>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84</v>
      </c>
      <c r="W1854">
        <v>588</v>
      </c>
      <c r="X1854">
        <v>0</v>
      </c>
      <c r="Z1854">
        <v>0</v>
      </c>
      <c r="AA1854">
        <v>0</v>
      </c>
      <c r="AB1854">
        <v>0</v>
      </c>
      <c r="AC1854">
        <v>0</v>
      </c>
      <c r="AD1854">
        <v>1300</v>
      </c>
    </row>
    <row r="1855" spans="1:30" x14ac:dyDescent="0.25">
      <c r="H1855" t="s">
        <v>746</v>
      </c>
    </row>
    <row r="1856" spans="1:30" x14ac:dyDescent="0.25">
      <c r="A1856">
        <v>925</v>
      </c>
      <c r="B1856">
        <v>2635</v>
      </c>
      <c r="C1856" t="s">
        <v>3552</v>
      </c>
      <c r="D1856" t="s">
        <v>335</v>
      </c>
      <c r="E1856" t="s">
        <v>33</v>
      </c>
      <c r="F1856" t="s">
        <v>3553</v>
      </c>
      <c r="G1856" t="str">
        <f>"201405000464"</f>
        <v>201405000464</v>
      </c>
      <c r="H1856">
        <v>682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30</v>
      </c>
      <c r="O1856">
        <v>0</v>
      </c>
      <c r="P1856">
        <v>0</v>
      </c>
      <c r="Q1856">
        <v>0</v>
      </c>
      <c r="R1856">
        <v>0</v>
      </c>
      <c r="S1856">
        <v>0</v>
      </c>
      <c r="T1856">
        <v>0</v>
      </c>
      <c r="U1856">
        <v>0</v>
      </c>
      <c r="V1856">
        <v>84</v>
      </c>
      <c r="W1856">
        <v>588</v>
      </c>
      <c r="X1856">
        <v>0</v>
      </c>
      <c r="Z1856">
        <v>0</v>
      </c>
      <c r="AA1856">
        <v>0</v>
      </c>
      <c r="AB1856">
        <v>0</v>
      </c>
      <c r="AC1856">
        <v>0</v>
      </c>
      <c r="AD1856">
        <v>1300</v>
      </c>
    </row>
    <row r="1857" spans="1:30" x14ac:dyDescent="0.25">
      <c r="H1857" t="s">
        <v>3554</v>
      </c>
    </row>
    <row r="1858" spans="1:30" x14ac:dyDescent="0.25">
      <c r="A1858">
        <v>926</v>
      </c>
      <c r="B1858">
        <v>3116</v>
      </c>
      <c r="C1858" t="s">
        <v>3555</v>
      </c>
      <c r="D1858" t="s">
        <v>1599</v>
      </c>
      <c r="E1858" t="s">
        <v>40</v>
      </c>
      <c r="F1858" t="s">
        <v>3556</v>
      </c>
      <c r="G1858" t="str">
        <f>"00207958"</f>
        <v>00207958</v>
      </c>
      <c r="H1858">
        <v>682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30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84</v>
      </c>
      <c r="W1858">
        <v>588</v>
      </c>
      <c r="X1858">
        <v>0</v>
      </c>
      <c r="Z1858">
        <v>2</v>
      </c>
      <c r="AA1858">
        <v>0</v>
      </c>
      <c r="AB1858">
        <v>0</v>
      </c>
      <c r="AC1858">
        <v>0</v>
      </c>
      <c r="AD1858">
        <v>1300</v>
      </c>
    </row>
    <row r="1859" spans="1:30" x14ac:dyDescent="0.25">
      <c r="H1859" t="s">
        <v>3557</v>
      </c>
    </row>
    <row r="1860" spans="1:30" x14ac:dyDescent="0.25">
      <c r="A1860">
        <v>927</v>
      </c>
      <c r="B1860">
        <v>3440</v>
      </c>
      <c r="C1860" t="s">
        <v>3558</v>
      </c>
      <c r="D1860" t="s">
        <v>91</v>
      </c>
      <c r="E1860" t="s">
        <v>40</v>
      </c>
      <c r="F1860" t="s">
        <v>3559</v>
      </c>
      <c r="G1860" t="str">
        <f>"200801011388"</f>
        <v>200801011388</v>
      </c>
      <c r="H1860">
        <v>682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30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84</v>
      </c>
      <c r="W1860">
        <v>588</v>
      </c>
      <c r="X1860">
        <v>0</v>
      </c>
      <c r="Z1860">
        <v>0</v>
      </c>
      <c r="AA1860">
        <v>0</v>
      </c>
      <c r="AB1860">
        <v>0</v>
      </c>
      <c r="AC1860">
        <v>0</v>
      </c>
      <c r="AD1860">
        <v>1300</v>
      </c>
    </row>
    <row r="1861" spans="1:30" x14ac:dyDescent="0.25">
      <c r="H1861" t="s">
        <v>3560</v>
      </c>
    </row>
    <row r="1862" spans="1:30" x14ac:dyDescent="0.25">
      <c r="A1862">
        <v>928</v>
      </c>
      <c r="B1862">
        <v>4363</v>
      </c>
      <c r="C1862" t="s">
        <v>467</v>
      </c>
      <c r="D1862" t="s">
        <v>1996</v>
      </c>
      <c r="E1862" t="s">
        <v>40</v>
      </c>
      <c r="F1862" t="s">
        <v>3561</v>
      </c>
      <c r="G1862" t="str">
        <f>"00359542"</f>
        <v>00359542</v>
      </c>
      <c r="H1862">
        <v>682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30</v>
      </c>
      <c r="O1862">
        <v>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84</v>
      </c>
      <c r="W1862">
        <v>588</v>
      </c>
      <c r="X1862">
        <v>0</v>
      </c>
      <c r="Z1862">
        <v>0</v>
      </c>
      <c r="AA1862">
        <v>0</v>
      </c>
      <c r="AB1862">
        <v>0</v>
      </c>
      <c r="AC1862">
        <v>0</v>
      </c>
      <c r="AD1862">
        <v>1300</v>
      </c>
    </row>
    <row r="1863" spans="1:30" x14ac:dyDescent="0.25">
      <c r="H1863" t="s">
        <v>3562</v>
      </c>
    </row>
    <row r="1864" spans="1:30" x14ac:dyDescent="0.25">
      <c r="A1864">
        <v>929</v>
      </c>
      <c r="B1864">
        <v>1806</v>
      </c>
      <c r="C1864" t="s">
        <v>3563</v>
      </c>
      <c r="D1864" t="s">
        <v>3564</v>
      </c>
      <c r="E1864" t="s">
        <v>107</v>
      </c>
      <c r="F1864" t="s">
        <v>3565</v>
      </c>
      <c r="G1864" t="str">
        <f>"201511010393"</f>
        <v>201511010393</v>
      </c>
      <c r="H1864">
        <v>682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30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84</v>
      </c>
      <c r="W1864">
        <v>588</v>
      </c>
      <c r="X1864">
        <v>0</v>
      </c>
      <c r="Z1864">
        <v>0</v>
      </c>
      <c r="AA1864">
        <v>0</v>
      </c>
      <c r="AB1864">
        <v>0</v>
      </c>
      <c r="AC1864">
        <v>0</v>
      </c>
      <c r="AD1864">
        <v>1300</v>
      </c>
    </row>
    <row r="1865" spans="1:30" x14ac:dyDescent="0.25">
      <c r="H1865" t="s">
        <v>3566</v>
      </c>
    </row>
    <row r="1866" spans="1:30" x14ac:dyDescent="0.25">
      <c r="A1866">
        <v>930</v>
      </c>
      <c r="B1866">
        <v>5563</v>
      </c>
      <c r="C1866" t="s">
        <v>3567</v>
      </c>
      <c r="D1866" t="s">
        <v>526</v>
      </c>
      <c r="E1866" t="s">
        <v>190</v>
      </c>
      <c r="F1866" t="s">
        <v>3568</v>
      </c>
      <c r="G1866" t="str">
        <f>"00146173"</f>
        <v>00146173</v>
      </c>
      <c r="H1866">
        <v>682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30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84</v>
      </c>
      <c r="W1866">
        <v>588</v>
      </c>
      <c r="X1866">
        <v>0</v>
      </c>
      <c r="Z1866">
        <v>0</v>
      </c>
      <c r="AA1866">
        <v>0</v>
      </c>
      <c r="AB1866">
        <v>0</v>
      </c>
      <c r="AC1866">
        <v>0</v>
      </c>
      <c r="AD1866">
        <v>1300</v>
      </c>
    </row>
    <row r="1867" spans="1:30" x14ac:dyDescent="0.25">
      <c r="H1867" t="s">
        <v>707</v>
      </c>
    </row>
    <row r="1868" spans="1:30" x14ac:dyDescent="0.25">
      <c r="A1868">
        <v>931</v>
      </c>
      <c r="B1868">
        <v>4830</v>
      </c>
      <c r="C1868" t="s">
        <v>3569</v>
      </c>
      <c r="D1868" t="s">
        <v>182</v>
      </c>
      <c r="E1868" t="s">
        <v>40</v>
      </c>
      <c r="F1868" t="s">
        <v>3570</v>
      </c>
      <c r="G1868" t="str">
        <f>"200712002358"</f>
        <v>200712002358</v>
      </c>
      <c r="H1868">
        <v>682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30</v>
      </c>
      <c r="O1868">
        <v>0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84</v>
      </c>
      <c r="W1868">
        <v>588</v>
      </c>
      <c r="X1868">
        <v>0</v>
      </c>
      <c r="Z1868">
        <v>2</v>
      </c>
      <c r="AA1868">
        <v>0</v>
      </c>
      <c r="AB1868">
        <v>0</v>
      </c>
      <c r="AC1868">
        <v>0</v>
      </c>
      <c r="AD1868">
        <v>1300</v>
      </c>
    </row>
    <row r="1869" spans="1:30" x14ac:dyDescent="0.25">
      <c r="H1869" t="s">
        <v>3571</v>
      </c>
    </row>
    <row r="1870" spans="1:30" x14ac:dyDescent="0.25">
      <c r="A1870">
        <v>932</v>
      </c>
      <c r="B1870">
        <v>5113</v>
      </c>
      <c r="C1870" t="s">
        <v>3394</v>
      </c>
      <c r="D1870" t="s">
        <v>190</v>
      </c>
      <c r="E1870" t="s">
        <v>162</v>
      </c>
      <c r="F1870" t="s">
        <v>3572</v>
      </c>
      <c r="G1870" t="str">
        <f>"00357310"</f>
        <v>00357310</v>
      </c>
      <c r="H1870">
        <v>682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30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84</v>
      </c>
      <c r="W1870">
        <v>588</v>
      </c>
      <c r="X1870">
        <v>0</v>
      </c>
      <c r="Z1870">
        <v>0</v>
      </c>
      <c r="AA1870">
        <v>0</v>
      </c>
      <c r="AB1870">
        <v>0</v>
      </c>
      <c r="AC1870">
        <v>0</v>
      </c>
      <c r="AD1870">
        <v>1300</v>
      </c>
    </row>
    <row r="1871" spans="1:30" x14ac:dyDescent="0.25">
      <c r="H1871" t="s">
        <v>3573</v>
      </c>
    </row>
    <row r="1872" spans="1:30" x14ac:dyDescent="0.25">
      <c r="A1872">
        <v>933</v>
      </c>
      <c r="B1872">
        <v>2253</v>
      </c>
      <c r="C1872" t="s">
        <v>3574</v>
      </c>
      <c r="D1872" t="s">
        <v>3575</v>
      </c>
      <c r="E1872" t="s">
        <v>238</v>
      </c>
      <c r="F1872" t="s">
        <v>3576</v>
      </c>
      <c r="G1872" t="str">
        <f>"201412002770"</f>
        <v>201412002770</v>
      </c>
      <c r="H1872" t="s">
        <v>293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70</v>
      </c>
      <c r="O1872">
        <v>30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35</v>
      </c>
      <c r="W1872">
        <v>245</v>
      </c>
      <c r="X1872">
        <v>0</v>
      </c>
      <c r="Z1872">
        <v>0</v>
      </c>
      <c r="AA1872">
        <v>0</v>
      </c>
      <c r="AB1872">
        <v>13</v>
      </c>
      <c r="AC1872">
        <v>221</v>
      </c>
      <c r="AD1872" t="s">
        <v>3577</v>
      </c>
    </row>
    <row r="1873" spans="1:30" x14ac:dyDescent="0.25">
      <c r="H1873" t="s">
        <v>3578</v>
      </c>
    </row>
    <row r="1874" spans="1:30" x14ac:dyDescent="0.25">
      <c r="A1874">
        <v>934</v>
      </c>
      <c r="B1874">
        <v>4259</v>
      </c>
      <c r="C1874" t="s">
        <v>3579</v>
      </c>
      <c r="D1874" t="s">
        <v>98</v>
      </c>
      <c r="E1874" t="s">
        <v>1292</v>
      </c>
      <c r="F1874" t="s">
        <v>3580</v>
      </c>
      <c r="G1874" t="str">
        <f>"201504005137"</f>
        <v>201504005137</v>
      </c>
      <c r="H1874" t="s">
        <v>1294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50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80</v>
      </c>
      <c r="W1874">
        <v>560</v>
      </c>
      <c r="X1874">
        <v>0</v>
      </c>
      <c r="Z1874">
        <v>0</v>
      </c>
      <c r="AA1874">
        <v>0</v>
      </c>
      <c r="AB1874">
        <v>0</v>
      </c>
      <c r="AC1874">
        <v>0</v>
      </c>
      <c r="AD1874" t="s">
        <v>3577</v>
      </c>
    </row>
    <row r="1875" spans="1:30" x14ac:dyDescent="0.25">
      <c r="H1875" t="s">
        <v>3581</v>
      </c>
    </row>
    <row r="1876" spans="1:30" x14ac:dyDescent="0.25">
      <c r="A1876">
        <v>935</v>
      </c>
      <c r="B1876">
        <v>259</v>
      </c>
      <c r="C1876" t="s">
        <v>3582</v>
      </c>
      <c r="D1876" t="s">
        <v>830</v>
      </c>
      <c r="E1876" t="s">
        <v>400</v>
      </c>
      <c r="F1876" t="s">
        <v>3583</v>
      </c>
      <c r="G1876" t="str">
        <f>"00148227"</f>
        <v>00148227</v>
      </c>
      <c r="H1876" t="s">
        <v>2287</v>
      </c>
      <c r="I1876">
        <v>150</v>
      </c>
      <c r="J1876">
        <v>0</v>
      </c>
      <c r="K1876">
        <v>0</v>
      </c>
      <c r="L1876">
        <v>200</v>
      </c>
      <c r="M1876">
        <v>30</v>
      </c>
      <c r="N1876">
        <v>70</v>
      </c>
      <c r="O1876">
        <v>0</v>
      </c>
      <c r="P1876">
        <v>0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6</v>
      </c>
      <c r="W1876">
        <v>42</v>
      </c>
      <c r="X1876">
        <v>0</v>
      </c>
      <c r="Z1876">
        <v>0</v>
      </c>
      <c r="AA1876">
        <v>0</v>
      </c>
      <c r="AB1876">
        <v>0</v>
      </c>
      <c r="AC1876">
        <v>0</v>
      </c>
      <c r="AD1876" t="s">
        <v>3584</v>
      </c>
    </row>
    <row r="1877" spans="1:30" x14ac:dyDescent="0.25">
      <c r="H1877" t="s">
        <v>3585</v>
      </c>
    </row>
    <row r="1878" spans="1:30" x14ac:dyDescent="0.25">
      <c r="A1878">
        <v>936</v>
      </c>
      <c r="B1878">
        <v>1401</v>
      </c>
      <c r="C1878" t="s">
        <v>3586</v>
      </c>
      <c r="D1878" t="s">
        <v>98</v>
      </c>
      <c r="E1878" t="s">
        <v>39</v>
      </c>
      <c r="F1878" t="s">
        <v>3587</v>
      </c>
      <c r="G1878" t="str">
        <f>"201511029499"</f>
        <v>201511029499</v>
      </c>
      <c r="H1878" t="s">
        <v>2705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30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84</v>
      </c>
      <c r="W1878">
        <v>588</v>
      </c>
      <c r="X1878">
        <v>0</v>
      </c>
      <c r="Z1878">
        <v>0</v>
      </c>
      <c r="AA1878">
        <v>0</v>
      </c>
      <c r="AB1878">
        <v>0</v>
      </c>
      <c r="AC1878">
        <v>0</v>
      </c>
      <c r="AD1878" t="s">
        <v>3588</v>
      </c>
    </row>
    <row r="1879" spans="1:30" x14ac:dyDescent="0.25">
      <c r="H1879" t="s">
        <v>3589</v>
      </c>
    </row>
    <row r="1880" spans="1:30" x14ac:dyDescent="0.25">
      <c r="A1880">
        <v>937</v>
      </c>
      <c r="B1880">
        <v>4346</v>
      </c>
      <c r="C1880" t="s">
        <v>3590</v>
      </c>
      <c r="D1880" t="s">
        <v>75</v>
      </c>
      <c r="E1880" t="s">
        <v>1070</v>
      </c>
      <c r="F1880" t="s">
        <v>3591</v>
      </c>
      <c r="G1880" t="str">
        <f>"00165816"</f>
        <v>00165816</v>
      </c>
      <c r="H1880" t="s">
        <v>2705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30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84</v>
      </c>
      <c r="W1880">
        <v>588</v>
      </c>
      <c r="X1880">
        <v>0</v>
      </c>
      <c r="Z1880">
        <v>0</v>
      </c>
      <c r="AA1880">
        <v>0</v>
      </c>
      <c r="AB1880">
        <v>0</v>
      </c>
      <c r="AC1880">
        <v>0</v>
      </c>
      <c r="AD1880" t="s">
        <v>3588</v>
      </c>
    </row>
    <row r="1881" spans="1:30" x14ac:dyDescent="0.25">
      <c r="H1881" t="s">
        <v>3592</v>
      </c>
    </row>
    <row r="1882" spans="1:30" x14ac:dyDescent="0.25">
      <c r="A1882">
        <v>938</v>
      </c>
      <c r="B1882">
        <v>779</v>
      </c>
      <c r="C1882" t="s">
        <v>3593</v>
      </c>
      <c r="D1882" t="s">
        <v>804</v>
      </c>
      <c r="E1882" t="s">
        <v>151</v>
      </c>
      <c r="F1882" t="s">
        <v>3594</v>
      </c>
      <c r="G1882" t="str">
        <f>"00187084"</f>
        <v>00187084</v>
      </c>
      <c r="H1882" t="s">
        <v>2705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30</v>
      </c>
      <c r="O1882">
        <v>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84</v>
      </c>
      <c r="W1882">
        <v>588</v>
      </c>
      <c r="X1882">
        <v>0</v>
      </c>
      <c r="Z1882">
        <v>0</v>
      </c>
      <c r="AA1882">
        <v>0</v>
      </c>
      <c r="AB1882">
        <v>0</v>
      </c>
      <c r="AC1882">
        <v>0</v>
      </c>
      <c r="AD1882" t="s">
        <v>3588</v>
      </c>
    </row>
    <row r="1883" spans="1:30" x14ac:dyDescent="0.25">
      <c r="H1883" t="s">
        <v>3595</v>
      </c>
    </row>
    <row r="1884" spans="1:30" x14ac:dyDescent="0.25">
      <c r="A1884">
        <v>939</v>
      </c>
      <c r="B1884">
        <v>3788</v>
      </c>
      <c r="C1884" t="s">
        <v>3596</v>
      </c>
      <c r="D1884" t="s">
        <v>3597</v>
      </c>
      <c r="E1884" t="s">
        <v>3598</v>
      </c>
      <c r="F1884" t="s">
        <v>3599</v>
      </c>
      <c r="G1884" t="str">
        <f>"201511028596"</f>
        <v>201511028596</v>
      </c>
      <c r="H1884" t="s">
        <v>1227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0</v>
      </c>
      <c r="P1884">
        <v>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84</v>
      </c>
      <c r="W1884">
        <v>588</v>
      </c>
      <c r="X1884">
        <v>0</v>
      </c>
      <c r="Z1884">
        <v>0</v>
      </c>
      <c r="AA1884">
        <v>0</v>
      </c>
      <c r="AB1884">
        <v>0</v>
      </c>
      <c r="AC1884">
        <v>0</v>
      </c>
      <c r="AD1884" t="s">
        <v>3600</v>
      </c>
    </row>
    <row r="1885" spans="1:30" x14ac:dyDescent="0.25">
      <c r="H1885" t="s">
        <v>3601</v>
      </c>
    </row>
    <row r="1886" spans="1:30" x14ac:dyDescent="0.25">
      <c r="A1886">
        <v>940</v>
      </c>
      <c r="B1886">
        <v>684</v>
      </c>
      <c r="C1886" t="s">
        <v>3602</v>
      </c>
      <c r="D1886" t="s">
        <v>3603</v>
      </c>
      <c r="E1886" t="s">
        <v>3604</v>
      </c>
      <c r="F1886" t="s">
        <v>3605</v>
      </c>
      <c r="G1886" t="str">
        <f>"00251519"</f>
        <v>00251519</v>
      </c>
      <c r="H1886" t="s">
        <v>1376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30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30</v>
      </c>
      <c r="W1886">
        <v>210</v>
      </c>
      <c r="X1886">
        <v>0</v>
      </c>
      <c r="Z1886">
        <v>0</v>
      </c>
      <c r="AA1886">
        <v>0</v>
      </c>
      <c r="AB1886">
        <v>24</v>
      </c>
      <c r="AC1886">
        <v>408</v>
      </c>
      <c r="AD1886" t="s">
        <v>3606</v>
      </c>
    </row>
    <row r="1887" spans="1:30" x14ac:dyDescent="0.25">
      <c r="H1887" t="s">
        <v>3607</v>
      </c>
    </row>
    <row r="1888" spans="1:30" x14ac:dyDescent="0.25">
      <c r="A1888">
        <v>941</v>
      </c>
      <c r="B1888">
        <v>2130</v>
      </c>
      <c r="C1888" t="s">
        <v>3608</v>
      </c>
      <c r="D1888" t="s">
        <v>86</v>
      </c>
      <c r="E1888" t="s">
        <v>183</v>
      </c>
      <c r="F1888" t="s">
        <v>3609</v>
      </c>
      <c r="G1888" t="str">
        <f>"201304004496"</f>
        <v>201304004496</v>
      </c>
      <c r="H1888" t="s">
        <v>1345</v>
      </c>
      <c r="I1888">
        <v>0</v>
      </c>
      <c r="J1888">
        <v>0</v>
      </c>
      <c r="K1888">
        <v>0</v>
      </c>
      <c r="L1888">
        <v>200</v>
      </c>
      <c r="M1888">
        <v>0</v>
      </c>
      <c r="N1888">
        <v>30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46</v>
      </c>
      <c r="W1888">
        <v>322</v>
      </c>
      <c r="X1888">
        <v>0</v>
      </c>
      <c r="Z1888">
        <v>0</v>
      </c>
      <c r="AA1888">
        <v>0</v>
      </c>
      <c r="AB1888">
        <v>0</v>
      </c>
      <c r="AC1888">
        <v>0</v>
      </c>
      <c r="AD1888" t="s">
        <v>3610</v>
      </c>
    </row>
    <row r="1889" spans="1:30" x14ac:dyDescent="0.25">
      <c r="H1889" t="s">
        <v>3611</v>
      </c>
    </row>
    <row r="1890" spans="1:30" x14ac:dyDescent="0.25">
      <c r="A1890">
        <v>942</v>
      </c>
      <c r="B1890">
        <v>1105</v>
      </c>
      <c r="C1890" t="s">
        <v>3612</v>
      </c>
      <c r="D1890" t="s">
        <v>335</v>
      </c>
      <c r="E1890" t="s">
        <v>595</v>
      </c>
      <c r="F1890" t="s">
        <v>3613</v>
      </c>
      <c r="G1890" t="str">
        <f>"00269101"</f>
        <v>00269101</v>
      </c>
      <c r="H1890" t="s">
        <v>690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70</v>
      </c>
      <c r="O1890">
        <v>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66</v>
      </c>
      <c r="W1890">
        <v>462</v>
      </c>
      <c r="X1890">
        <v>0</v>
      </c>
      <c r="Z1890">
        <v>0</v>
      </c>
      <c r="AA1890">
        <v>0</v>
      </c>
      <c r="AB1890">
        <v>0</v>
      </c>
      <c r="AC1890">
        <v>0</v>
      </c>
      <c r="AD1890" t="s">
        <v>3614</v>
      </c>
    </row>
    <row r="1891" spans="1:30" x14ac:dyDescent="0.25">
      <c r="H1891">
        <v>1247</v>
      </c>
    </row>
    <row r="1892" spans="1:30" x14ac:dyDescent="0.25">
      <c r="A1892">
        <v>943</v>
      </c>
      <c r="B1892">
        <v>1691</v>
      </c>
      <c r="C1892" t="s">
        <v>3615</v>
      </c>
      <c r="D1892" t="s">
        <v>3616</v>
      </c>
      <c r="E1892" t="s">
        <v>99</v>
      </c>
      <c r="F1892" t="s">
        <v>3617</v>
      </c>
      <c r="G1892" t="str">
        <f>"201406013978"</f>
        <v>201406013978</v>
      </c>
      <c r="H1892">
        <v>737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70</v>
      </c>
      <c r="O1892">
        <v>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70</v>
      </c>
      <c r="W1892">
        <v>490</v>
      </c>
      <c r="X1892">
        <v>0</v>
      </c>
      <c r="Z1892">
        <v>0</v>
      </c>
      <c r="AA1892">
        <v>0</v>
      </c>
      <c r="AB1892">
        <v>0</v>
      </c>
      <c r="AC1892">
        <v>0</v>
      </c>
      <c r="AD1892">
        <v>1297</v>
      </c>
    </row>
    <row r="1893" spans="1:30" x14ac:dyDescent="0.25">
      <c r="H1893" t="s">
        <v>3618</v>
      </c>
    </row>
    <row r="1894" spans="1:30" x14ac:dyDescent="0.25">
      <c r="A1894">
        <v>944</v>
      </c>
      <c r="B1894">
        <v>2117</v>
      </c>
      <c r="C1894" t="s">
        <v>3619</v>
      </c>
      <c r="D1894" t="s">
        <v>694</v>
      </c>
      <c r="E1894" t="s">
        <v>3620</v>
      </c>
      <c r="F1894" t="s">
        <v>3621</v>
      </c>
      <c r="G1894" t="str">
        <f>"00323027"</f>
        <v>00323027</v>
      </c>
      <c r="H1894">
        <v>693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30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82</v>
      </c>
      <c r="W1894">
        <v>574</v>
      </c>
      <c r="X1894">
        <v>0</v>
      </c>
      <c r="Z1894">
        <v>0</v>
      </c>
      <c r="AA1894">
        <v>0</v>
      </c>
      <c r="AB1894">
        <v>0</v>
      </c>
      <c r="AC1894">
        <v>0</v>
      </c>
      <c r="AD1894">
        <v>1297</v>
      </c>
    </row>
    <row r="1895" spans="1:30" x14ac:dyDescent="0.25">
      <c r="H1895" t="s">
        <v>3622</v>
      </c>
    </row>
    <row r="1896" spans="1:30" x14ac:dyDescent="0.25">
      <c r="A1896">
        <v>945</v>
      </c>
      <c r="B1896">
        <v>1448</v>
      </c>
      <c r="C1896" t="s">
        <v>102</v>
      </c>
      <c r="D1896" t="s">
        <v>262</v>
      </c>
      <c r="E1896" t="s">
        <v>190</v>
      </c>
      <c r="F1896" t="s">
        <v>3623</v>
      </c>
      <c r="G1896" t="str">
        <f>"00202814"</f>
        <v>00202814</v>
      </c>
      <c r="H1896">
        <v>649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30</v>
      </c>
      <c r="O1896">
        <v>0</v>
      </c>
      <c r="P1896">
        <v>30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84</v>
      </c>
      <c r="W1896">
        <v>588</v>
      </c>
      <c r="X1896">
        <v>0</v>
      </c>
      <c r="Z1896">
        <v>0</v>
      </c>
      <c r="AA1896">
        <v>0</v>
      </c>
      <c r="AB1896">
        <v>0</v>
      </c>
      <c r="AC1896">
        <v>0</v>
      </c>
      <c r="AD1896">
        <v>1297</v>
      </c>
    </row>
    <row r="1897" spans="1:30" x14ac:dyDescent="0.25">
      <c r="H1897" t="s">
        <v>3624</v>
      </c>
    </row>
    <row r="1898" spans="1:30" x14ac:dyDescent="0.25">
      <c r="A1898">
        <v>946</v>
      </c>
      <c r="B1898">
        <v>5603</v>
      </c>
      <c r="C1898" t="s">
        <v>3625</v>
      </c>
      <c r="D1898" t="s">
        <v>143</v>
      </c>
      <c r="E1898" t="s">
        <v>1039</v>
      </c>
      <c r="F1898" t="s">
        <v>3626</v>
      </c>
      <c r="G1898" t="str">
        <f>"201406017786"</f>
        <v>201406017786</v>
      </c>
      <c r="H1898" t="s">
        <v>2116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30</v>
      </c>
      <c r="O1898">
        <v>0</v>
      </c>
      <c r="P1898">
        <v>0</v>
      </c>
      <c r="Q1898">
        <v>0</v>
      </c>
      <c r="R1898">
        <v>0</v>
      </c>
      <c r="S1898">
        <v>0</v>
      </c>
      <c r="T1898">
        <v>0</v>
      </c>
      <c r="U1898">
        <v>0</v>
      </c>
      <c r="V1898">
        <v>84</v>
      </c>
      <c r="W1898">
        <v>588</v>
      </c>
      <c r="X1898">
        <v>0</v>
      </c>
      <c r="Z1898">
        <v>0</v>
      </c>
      <c r="AA1898">
        <v>0</v>
      </c>
      <c r="AB1898">
        <v>0</v>
      </c>
      <c r="AC1898">
        <v>0</v>
      </c>
      <c r="AD1898" t="s">
        <v>3627</v>
      </c>
    </row>
    <row r="1899" spans="1:30" x14ac:dyDescent="0.25">
      <c r="H1899" t="s">
        <v>3628</v>
      </c>
    </row>
    <row r="1900" spans="1:30" x14ac:dyDescent="0.25">
      <c r="A1900">
        <v>947</v>
      </c>
      <c r="B1900">
        <v>3927</v>
      </c>
      <c r="C1900" t="s">
        <v>3629</v>
      </c>
      <c r="D1900" t="s">
        <v>420</v>
      </c>
      <c r="E1900" t="s">
        <v>1292</v>
      </c>
      <c r="F1900" t="s">
        <v>3630</v>
      </c>
      <c r="G1900" t="str">
        <f>"201410010562"</f>
        <v>201410010562</v>
      </c>
      <c r="H1900" t="s">
        <v>1091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84</v>
      </c>
      <c r="W1900">
        <v>588</v>
      </c>
      <c r="X1900">
        <v>0</v>
      </c>
      <c r="Z1900">
        <v>0</v>
      </c>
      <c r="AA1900">
        <v>0</v>
      </c>
      <c r="AB1900">
        <v>0</v>
      </c>
      <c r="AC1900">
        <v>0</v>
      </c>
      <c r="AD1900" t="s">
        <v>3631</v>
      </c>
    </row>
    <row r="1901" spans="1:30" x14ac:dyDescent="0.25">
      <c r="H1901" t="s">
        <v>3632</v>
      </c>
    </row>
    <row r="1902" spans="1:30" x14ac:dyDescent="0.25">
      <c r="A1902">
        <v>948</v>
      </c>
      <c r="B1902">
        <v>4618</v>
      </c>
      <c r="C1902" t="s">
        <v>3633</v>
      </c>
      <c r="D1902" t="s">
        <v>75</v>
      </c>
      <c r="E1902" t="s">
        <v>140</v>
      </c>
      <c r="F1902" t="s">
        <v>3634</v>
      </c>
      <c r="G1902" t="str">
        <f>"201406003157"</f>
        <v>201406003157</v>
      </c>
      <c r="H1902" t="s">
        <v>1091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0</v>
      </c>
      <c r="P1902">
        <v>0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84</v>
      </c>
      <c r="W1902">
        <v>588</v>
      </c>
      <c r="X1902">
        <v>0</v>
      </c>
      <c r="Z1902">
        <v>0</v>
      </c>
      <c r="AA1902">
        <v>0</v>
      </c>
      <c r="AB1902">
        <v>0</v>
      </c>
      <c r="AC1902">
        <v>0</v>
      </c>
      <c r="AD1902" t="s">
        <v>3631</v>
      </c>
    </row>
    <row r="1903" spans="1:30" x14ac:dyDescent="0.25">
      <c r="H1903" t="s">
        <v>3635</v>
      </c>
    </row>
    <row r="1904" spans="1:30" x14ac:dyDescent="0.25">
      <c r="A1904">
        <v>949</v>
      </c>
      <c r="B1904">
        <v>986</v>
      </c>
      <c r="C1904" t="s">
        <v>3636</v>
      </c>
      <c r="D1904" t="s">
        <v>373</v>
      </c>
      <c r="E1904" t="s">
        <v>107</v>
      </c>
      <c r="F1904" t="s">
        <v>3637</v>
      </c>
      <c r="G1904" t="str">
        <f>"00148935"</f>
        <v>00148935</v>
      </c>
      <c r="H1904" t="s">
        <v>1091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0</v>
      </c>
      <c r="P1904">
        <v>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84</v>
      </c>
      <c r="W1904">
        <v>588</v>
      </c>
      <c r="X1904">
        <v>0</v>
      </c>
      <c r="Z1904">
        <v>0</v>
      </c>
      <c r="AA1904">
        <v>0</v>
      </c>
      <c r="AB1904">
        <v>0</v>
      </c>
      <c r="AC1904">
        <v>0</v>
      </c>
      <c r="AD1904" t="s">
        <v>3631</v>
      </c>
    </row>
    <row r="1905" spans="1:30" x14ac:dyDescent="0.25">
      <c r="H1905" t="s">
        <v>3638</v>
      </c>
    </row>
    <row r="1906" spans="1:30" x14ac:dyDescent="0.25">
      <c r="A1906">
        <v>950</v>
      </c>
      <c r="B1906">
        <v>5491</v>
      </c>
      <c r="C1906" t="s">
        <v>3639</v>
      </c>
      <c r="D1906" t="s">
        <v>47</v>
      </c>
      <c r="E1906" t="s">
        <v>495</v>
      </c>
      <c r="F1906" t="s">
        <v>3640</v>
      </c>
      <c r="G1906" t="str">
        <f>"201406000588"</f>
        <v>201406000588</v>
      </c>
      <c r="H1906">
        <v>748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30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74</v>
      </c>
      <c r="W1906">
        <v>518</v>
      </c>
      <c r="X1906">
        <v>0</v>
      </c>
      <c r="Z1906">
        <v>2</v>
      </c>
      <c r="AA1906">
        <v>0</v>
      </c>
      <c r="AB1906">
        <v>0</v>
      </c>
      <c r="AC1906">
        <v>0</v>
      </c>
      <c r="AD1906">
        <v>1296</v>
      </c>
    </row>
    <row r="1907" spans="1:30" x14ac:dyDescent="0.25">
      <c r="H1907" t="s">
        <v>3641</v>
      </c>
    </row>
    <row r="1908" spans="1:30" x14ac:dyDescent="0.25">
      <c r="A1908">
        <v>951</v>
      </c>
      <c r="B1908">
        <v>3582</v>
      </c>
      <c r="C1908" t="s">
        <v>3642</v>
      </c>
      <c r="D1908" t="s">
        <v>47</v>
      </c>
      <c r="E1908" t="s">
        <v>40</v>
      </c>
      <c r="F1908" t="s">
        <v>3643</v>
      </c>
      <c r="G1908" t="str">
        <f>"00005179"</f>
        <v>00005179</v>
      </c>
      <c r="H1908" t="s">
        <v>3644</v>
      </c>
      <c r="I1908">
        <v>0</v>
      </c>
      <c r="J1908">
        <v>0</v>
      </c>
      <c r="K1908">
        <v>0</v>
      </c>
      <c r="L1908">
        <v>200</v>
      </c>
      <c r="M1908">
        <v>0</v>
      </c>
      <c r="N1908">
        <v>50</v>
      </c>
      <c r="O1908">
        <v>0</v>
      </c>
      <c r="P1908">
        <v>30</v>
      </c>
      <c r="Q1908">
        <v>0</v>
      </c>
      <c r="R1908">
        <v>0</v>
      </c>
      <c r="S1908">
        <v>0</v>
      </c>
      <c r="T1908">
        <v>0</v>
      </c>
      <c r="U1908">
        <v>0</v>
      </c>
      <c r="V1908">
        <v>18</v>
      </c>
      <c r="W1908">
        <v>126</v>
      </c>
      <c r="X1908">
        <v>0</v>
      </c>
      <c r="Z1908">
        <v>0</v>
      </c>
      <c r="AA1908">
        <v>0</v>
      </c>
      <c r="AB1908">
        <v>0</v>
      </c>
      <c r="AC1908">
        <v>0</v>
      </c>
      <c r="AD1908" t="s">
        <v>3645</v>
      </c>
    </row>
    <row r="1909" spans="1:30" x14ac:dyDescent="0.25">
      <c r="H1909" t="s">
        <v>3646</v>
      </c>
    </row>
    <row r="1910" spans="1:30" x14ac:dyDescent="0.25">
      <c r="A1910">
        <v>952</v>
      </c>
      <c r="B1910">
        <v>4322</v>
      </c>
      <c r="C1910" t="s">
        <v>3647</v>
      </c>
      <c r="D1910" t="s">
        <v>661</v>
      </c>
      <c r="E1910" t="s">
        <v>3648</v>
      </c>
      <c r="F1910" t="s">
        <v>3649</v>
      </c>
      <c r="G1910" t="str">
        <f>"00333828"</f>
        <v>00333828</v>
      </c>
      <c r="H1910" t="s">
        <v>2116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50</v>
      </c>
      <c r="O1910">
        <v>0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81</v>
      </c>
      <c r="W1910">
        <v>567</v>
      </c>
      <c r="X1910">
        <v>0</v>
      </c>
      <c r="Z1910">
        <v>0</v>
      </c>
      <c r="AA1910">
        <v>0</v>
      </c>
      <c r="AB1910">
        <v>0</v>
      </c>
      <c r="AC1910">
        <v>0</v>
      </c>
      <c r="AD1910" t="s">
        <v>3650</v>
      </c>
    </row>
    <row r="1911" spans="1:30" x14ac:dyDescent="0.25">
      <c r="H1911" t="s">
        <v>3651</v>
      </c>
    </row>
    <row r="1912" spans="1:30" x14ac:dyDescent="0.25">
      <c r="A1912">
        <v>953</v>
      </c>
      <c r="B1912">
        <v>4037</v>
      </c>
      <c r="C1912" t="s">
        <v>3652</v>
      </c>
      <c r="D1912" t="s">
        <v>3653</v>
      </c>
      <c r="E1912" t="s">
        <v>1039</v>
      </c>
      <c r="F1912" t="s">
        <v>3654</v>
      </c>
      <c r="G1912" t="str">
        <f>"00348678"</f>
        <v>00348678</v>
      </c>
      <c r="H1912" t="s">
        <v>2126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30</v>
      </c>
      <c r="O1912">
        <v>0</v>
      </c>
      <c r="P1912">
        <v>0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84</v>
      </c>
      <c r="W1912">
        <v>588</v>
      </c>
      <c r="X1912">
        <v>0</v>
      </c>
      <c r="Z1912">
        <v>0</v>
      </c>
      <c r="AA1912">
        <v>0</v>
      </c>
      <c r="AB1912">
        <v>0</v>
      </c>
      <c r="AC1912">
        <v>0</v>
      </c>
      <c r="AD1912" t="s">
        <v>3655</v>
      </c>
    </row>
    <row r="1913" spans="1:30" x14ac:dyDescent="0.25">
      <c r="H1913" t="s">
        <v>3656</v>
      </c>
    </row>
    <row r="1914" spans="1:30" x14ac:dyDescent="0.25">
      <c r="A1914">
        <v>954</v>
      </c>
      <c r="B1914">
        <v>428</v>
      </c>
      <c r="C1914" t="s">
        <v>3657</v>
      </c>
      <c r="D1914" t="s">
        <v>335</v>
      </c>
      <c r="E1914" t="s">
        <v>47</v>
      </c>
      <c r="F1914" t="s">
        <v>3658</v>
      </c>
      <c r="G1914" t="str">
        <f>"201405000753"</f>
        <v>201405000753</v>
      </c>
      <c r="H1914" t="s">
        <v>3496</v>
      </c>
      <c r="I1914">
        <v>0</v>
      </c>
      <c r="J1914">
        <v>0</v>
      </c>
      <c r="K1914">
        <v>0</v>
      </c>
      <c r="L1914">
        <v>200</v>
      </c>
      <c r="M1914">
        <v>0</v>
      </c>
      <c r="N1914">
        <v>30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26</v>
      </c>
      <c r="W1914">
        <v>182</v>
      </c>
      <c r="X1914">
        <v>0</v>
      </c>
      <c r="Z1914">
        <v>1</v>
      </c>
      <c r="AA1914">
        <v>0</v>
      </c>
      <c r="AB1914">
        <v>0</v>
      </c>
      <c r="AC1914">
        <v>0</v>
      </c>
      <c r="AD1914" t="s">
        <v>3659</v>
      </c>
    </row>
    <row r="1915" spans="1:30" x14ac:dyDescent="0.25">
      <c r="H1915" t="s">
        <v>3660</v>
      </c>
    </row>
    <row r="1916" spans="1:30" x14ac:dyDescent="0.25">
      <c r="A1916">
        <v>955</v>
      </c>
      <c r="B1916">
        <v>2205</v>
      </c>
      <c r="C1916" t="s">
        <v>3661</v>
      </c>
      <c r="D1916" t="s">
        <v>420</v>
      </c>
      <c r="E1916" t="s">
        <v>291</v>
      </c>
      <c r="F1916" t="s">
        <v>3662</v>
      </c>
      <c r="G1916" t="str">
        <f>"00306565"</f>
        <v>00306565</v>
      </c>
      <c r="H1916" t="s">
        <v>402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30</v>
      </c>
      <c r="O1916">
        <v>0</v>
      </c>
      <c r="P1916">
        <v>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84</v>
      </c>
      <c r="W1916">
        <v>588</v>
      </c>
      <c r="X1916">
        <v>0</v>
      </c>
      <c r="Z1916">
        <v>0</v>
      </c>
      <c r="AA1916">
        <v>0</v>
      </c>
      <c r="AB1916">
        <v>0</v>
      </c>
      <c r="AC1916">
        <v>0</v>
      </c>
      <c r="AD1916" t="s">
        <v>3663</v>
      </c>
    </row>
    <row r="1917" spans="1:30" x14ac:dyDescent="0.25">
      <c r="H1917" t="s">
        <v>1229</v>
      </c>
    </row>
    <row r="1918" spans="1:30" x14ac:dyDescent="0.25">
      <c r="A1918">
        <v>956</v>
      </c>
      <c r="B1918">
        <v>3869</v>
      </c>
      <c r="C1918" t="s">
        <v>1936</v>
      </c>
      <c r="D1918" t="s">
        <v>3664</v>
      </c>
      <c r="E1918" t="s">
        <v>47</v>
      </c>
      <c r="F1918" t="s">
        <v>3665</v>
      </c>
      <c r="G1918" t="str">
        <f>"00362138"</f>
        <v>00362138</v>
      </c>
      <c r="H1918" t="s">
        <v>3482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30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78</v>
      </c>
      <c r="W1918">
        <v>546</v>
      </c>
      <c r="X1918">
        <v>0</v>
      </c>
      <c r="Z1918">
        <v>0</v>
      </c>
      <c r="AA1918">
        <v>0</v>
      </c>
      <c r="AB1918">
        <v>0</v>
      </c>
      <c r="AC1918">
        <v>0</v>
      </c>
      <c r="AD1918" t="s">
        <v>3666</v>
      </c>
    </row>
    <row r="1919" spans="1:30" x14ac:dyDescent="0.25">
      <c r="H1919" t="s">
        <v>3667</v>
      </c>
    </row>
    <row r="1920" spans="1:30" x14ac:dyDescent="0.25">
      <c r="A1920">
        <v>957</v>
      </c>
      <c r="B1920">
        <v>5867</v>
      </c>
      <c r="C1920" t="s">
        <v>3668</v>
      </c>
      <c r="D1920" t="s">
        <v>3669</v>
      </c>
      <c r="E1920" t="s">
        <v>39</v>
      </c>
      <c r="F1920" t="s">
        <v>3670</v>
      </c>
      <c r="G1920" t="str">
        <f>"00345609"</f>
        <v>00345609</v>
      </c>
      <c r="H1920" t="s">
        <v>1850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84</v>
      </c>
      <c r="W1920">
        <v>588</v>
      </c>
      <c r="X1920">
        <v>0</v>
      </c>
      <c r="Z1920">
        <v>0</v>
      </c>
      <c r="AA1920">
        <v>0</v>
      </c>
      <c r="AB1920">
        <v>0</v>
      </c>
      <c r="AC1920">
        <v>0</v>
      </c>
      <c r="AD1920" t="s">
        <v>3671</v>
      </c>
    </row>
    <row r="1921" spans="1:30" x14ac:dyDescent="0.25">
      <c r="H1921">
        <v>1248</v>
      </c>
    </row>
    <row r="1922" spans="1:30" x14ac:dyDescent="0.25">
      <c r="A1922">
        <v>958</v>
      </c>
      <c r="B1922">
        <v>14</v>
      </c>
      <c r="C1922" t="s">
        <v>3672</v>
      </c>
      <c r="D1922" t="s">
        <v>599</v>
      </c>
      <c r="E1922" t="s">
        <v>107</v>
      </c>
      <c r="F1922" t="s">
        <v>3673</v>
      </c>
      <c r="G1922" t="str">
        <f>"201412001832"</f>
        <v>201412001832</v>
      </c>
      <c r="H1922" t="s">
        <v>1850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0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84</v>
      </c>
      <c r="W1922">
        <v>588</v>
      </c>
      <c r="X1922">
        <v>0</v>
      </c>
      <c r="Z1922">
        <v>0</v>
      </c>
      <c r="AA1922">
        <v>0</v>
      </c>
      <c r="AB1922">
        <v>0</v>
      </c>
      <c r="AC1922">
        <v>0</v>
      </c>
      <c r="AD1922" t="s">
        <v>3671</v>
      </c>
    </row>
    <row r="1923" spans="1:30" x14ac:dyDescent="0.25">
      <c r="H1923" t="s">
        <v>1213</v>
      </c>
    </row>
    <row r="1924" spans="1:30" x14ac:dyDescent="0.25">
      <c r="A1924">
        <v>959</v>
      </c>
      <c r="B1924">
        <v>758</v>
      </c>
      <c r="C1924" t="s">
        <v>3674</v>
      </c>
      <c r="D1924" t="s">
        <v>134</v>
      </c>
      <c r="E1924" t="s">
        <v>140</v>
      </c>
      <c r="F1924" t="s">
        <v>3675</v>
      </c>
      <c r="G1924" t="str">
        <f>"00228793"</f>
        <v>00228793</v>
      </c>
      <c r="H1924">
        <v>781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0</v>
      </c>
      <c r="P1924">
        <v>50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66</v>
      </c>
      <c r="W1924">
        <v>462</v>
      </c>
      <c r="X1924">
        <v>0</v>
      </c>
      <c r="Z1924">
        <v>0</v>
      </c>
      <c r="AA1924">
        <v>0</v>
      </c>
      <c r="AB1924">
        <v>0</v>
      </c>
      <c r="AC1924">
        <v>0</v>
      </c>
      <c r="AD1924">
        <v>1293</v>
      </c>
    </row>
    <row r="1925" spans="1:30" x14ac:dyDescent="0.25">
      <c r="H1925" t="s">
        <v>3676</v>
      </c>
    </row>
    <row r="1926" spans="1:30" x14ac:dyDescent="0.25">
      <c r="A1926">
        <v>960</v>
      </c>
      <c r="B1926">
        <v>6131</v>
      </c>
      <c r="C1926" t="s">
        <v>3677</v>
      </c>
      <c r="D1926" t="s">
        <v>144</v>
      </c>
      <c r="E1926" t="s">
        <v>87</v>
      </c>
      <c r="F1926" t="s">
        <v>3678</v>
      </c>
      <c r="G1926" t="str">
        <f>"00369835"</f>
        <v>00369835</v>
      </c>
      <c r="H1926">
        <v>737</v>
      </c>
      <c r="I1926">
        <v>150</v>
      </c>
      <c r="J1926">
        <v>0</v>
      </c>
      <c r="K1926">
        <v>0</v>
      </c>
      <c r="L1926">
        <v>200</v>
      </c>
      <c r="M1926">
        <v>0</v>
      </c>
      <c r="N1926">
        <v>70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0</v>
      </c>
      <c r="W1926">
        <v>0</v>
      </c>
      <c r="X1926">
        <v>0</v>
      </c>
      <c r="Z1926">
        <v>0</v>
      </c>
      <c r="AA1926">
        <v>0</v>
      </c>
      <c r="AB1926">
        <v>8</v>
      </c>
      <c r="AC1926">
        <v>136</v>
      </c>
      <c r="AD1926">
        <v>1293</v>
      </c>
    </row>
    <row r="1927" spans="1:30" x14ac:dyDescent="0.25">
      <c r="H1927" t="s">
        <v>3679</v>
      </c>
    </row>
    <row r="1928" spans="1:30" x14ac:dyDescent="0.25">
      <c r="A1928">
        <v>961</v>
      </c>
      <c r="B1928">
        <v>866</v>
      </c>
      <c r="C1928" t="s">
        <v>365</v>
      </c>
      <c r="D1928" t="s">
        <v>40</v>
      </c>
      <c r="E1928" t="s">
        <v>162</v>
      </c>
      <c r="F1928" t="s">
        <v>3680</v>
      </c>
      <c r="G1928" t="str">
        <f>"00297730"</f>
        <v>00297730</v>
      </c>
      <c r="H1928" t="s">
        <v>642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50</v>
      </c>
      <c r="O1928">
        <v>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83</v>
      </c>
      <c r="W1928">
        <v>581</v>
      </c>
      <c r="X1928">
        <v>0</v>
      </c>
      <c r="Z1928">
        <v>0</v>
      </c>
      <c r="AA1928">
        <v>0</v>
      </c>
      <c r="AB1928">
        <v>0</v>
      </c>
      <c r="AC1928">
        <v>0</v>
      </c>
      <c r="AD1928" t="s">
        <v>3681</v>
      </c>
    </row>
    <row r="1929" spans="1:30" x14ac:dyDescent="0.25">
      <c r="H1929" t="s">
        <v>3682</v>
      </c>
    </row>
    <row r="1930" spans="1:30" x14ac:dyDescent="0.25">
      <c r="A1930">
        <v>962</v>
      </c>
      <c r="B1930">
        <v>1274</v>
      </c>
      <c r="C1930" t="s">
        <v>3683</v>
      </c>
      <c r="D1930" t="s">
        <v>3684</v>
      </c>
      <c r="E1930" t="s">
        <v>40</v>
      </c>
      <c r="F1930" t="s">
        <v>3685</v>
      </c>
      <c r="G1930" t="str">
        <f>"00088751"</f>
        <v>00088751</v>
      </c>
      <c r="H1930">
        <v>770</v>
      </c>
      <c r="I1930">
        <v>0</v>
      </c>
      <c r="J1930">
        <v>0</v>
      </c>
      <c r="K1930">
        <v>0</v>
      </c>
      <c r="L1930">
        <v>200</v>
      </c>
      <c r="M1930">
        <v>0</v>
      </c>
      <c r="N1930">
        <v>50</v>
      </c>
      <c r="O1930">
        <v>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0</v>
      </c>
      <c r="W1930">
        <v>0</v>
      </c>
      <c r="X1930">
        <v>0</v>
      </c>
      <c r="Z1930">
        <v>2</v>
      </c>
      <c r="AA1930">
        <v>0</v>
      </c>
      <c r="AB1930">
        <v>16</v>
      </c>
      <c r="AC1930">
        <v>272</v>
      </c>
      <c r="AD1930">
        <v>1292</v>
      </c>
    </row>
    <row r="1931" spans="1:30" x14ac:dyDescent="0.25">
      <c r="H1931" t="s">
        <v>3686</v>
      </c>
    </row>
    <row r="1932" spans="1:30" x14ac:dyDescent="0.25">
      <c r="A1932">
        <v>963</v>
      </c>
      <c r="B1932">
        <v>2795</v>
      </c>
      <c r="C1932" t="s">
        <v>3687</v>
      </c>
      <c r="D1932" t="s">
        <v>182</v>
      </c>
      <c r="E1932" t="s">
        <v>140</v>
      </c>
      <c r="F1932" t="s">
        <v>3688</v>
      </c>
      <c r="G1932" t="str">
        <f>"201412005542"</f>
        <v>201412005542</v>
      </c>
      <c r="H1932">
        <v>704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84</v>
      </c>
      <c r="W1932">
        <v>588</v>
      </c>
      <c r="X1932">
        <v>0</v>
      </c>
      <c r="Z1932">
        <v>0</v>
      </c>
      <c r="AA1932">
        <v>0</v>
      </c>
      <c r="AB1932">
        <v>0</v>
      </c>
      <c r="AC1932">
        <v>0</v>
      </c>
      <c r="AD1932">
        <v>1292</v>
      </c>
    </row>
    <row r="1933" spans="1:30" x14ac:dyDescent="0.25">
      <c r="H1933" t="s">
        <v>3689</v>
      </c>
    </row>
    <row r="1934" spans="1:30" x14ac:dyDescent="0.25">
      <c r="A1934">
        <v>964</v>
      </c>
      <c r="B1934">
        <v>4273</v>
      </c>
      <c r="C1934" t="s">
        <v>3690</v>
      </c>
      <c r="D1934" t="s">
        <v>3691</v>
      </c>
      <c r="E1934" t="s">
        <v>40</v>
      </c>
      <c r="F1934" t="s">
        <v>3692</v>
      </c>
      <c r="G1934" t="str">
        <f>"201511030580"</f>
        <v>201511030580</v>
      </c>
      <c r="H1934">
        <v>704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0</v>
      </c>
      <c r="O1934">
        <v>0</v>
      </c>
      <c r="P1934">
        <v>0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84</v>
      </c>
      <c r="W1934">
        <v>588</v>
      </c>
      <c r="X1934">
        <v>0</v>
      </c>
      <c r="Z1934">
        <v>0</v>
      </c>
      <c r="AA1934">
        <v>0</v>
      </c>
      <c r="AB1934">
        <v>0</v>
      </c>
      <c r="AC1934">
        <v>0</v>
      </c>
      <c r="AD1934">
        <v>1292</v>
      </c>
    </row>
    <row r="1935" spans="1:30" x14ac:dyDescent="0.25">
      <c r="H1935" t="s">
        <v>3693</v>
      </c>
    </row>
    <row r="1936" spans="1:30" x14ac:dyDescent="0.25">
      <c r="A1936">
        <v>965</v>
      </c>
      <c r="B1936">
        <v>2085</v>
      </c>
      <c r="C1936" t="s">
        <v>3694</v>
      </c>
      <c r="D1936" t="s">
        <v>162</v>
      </c>
      <c r="E1936" t="s">
        <v>176</v>
      </c>
      <c r="F1936" t="s">
        <v>3695</v>
      </c>
      <c r="G1936" t="str">
        <f>"201406004952"</f>
        <v>201406004952</v>
      </c>
      <c r="H1936" t="s">
        <v>1101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70</v>
      </c>
      <c r="O1936">
        <v>0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18</v>
      </c>
      <c r="W1936">
        <v>126</v>
      </c>
      <c r="X1936">
        <v>0</v>
      </c>
      <c r="Z1936">
        <v>0</v>
      </c>
      <c r="AA1936">
        <v>0</v>
      </c>
      <c r="AB1936">
        <v>24</v>
      </c>
      <c r="AC1936">
        <v>408</v>
      </c>
      <c r="AD1936" t="s">
        <v>3696</v>
      </c>
    </row>
    <row r="1937" spans="1:30" x14ac:dyDescent="0.25">
      <c r="H1937" t="s">
        <v>3697</v>
      </c>
    </row>
    <row r="1938" spans="1:30" x14ac:dyDescent="0.25">
      <c r="A1938">
        <v>966</v>
      </c>
      <c r="B1938">
        <v>4226</v>
      </c>
      <c r="C1938" t="s">
        <v>3698</v>
      </c>
      <c r="D1938" t="s">
        <v>238</v>
      </c>
      <c r="E1938" t="s">
        <v>239</v>
      </c>
      <c r="F1938" t="s">
        <v>3699</v>
      </c>
      <c r="G1938" t="str">
        <f>"00228317"</f>
        <v>00228317</v>
      </c>
      <c r="H1938" t="s">
        <v>2866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30</v>
      </c>
      <c r="O1938">
        <v>0</v>
      </c>
      <c r="P1938">
        <v>70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77</v>
      </c>
      <c r="W1938">
        <v>539</v>
      </c>
      <c r="X1938">
        <v>0</v>
      </c>
      <c r="Z1938">
        <v>0</v>
      </c>
      <c r="AA1938">
        <v>0</v>
      </c>
      <c r="AB1938">
        <v>0</v>
      </c>
      <c r="AC1938">
        <v>0</v>
      </c>
      <c r="AD1938" t="s">
        <v>3700</v>
      </c>
    </row>
    <row r="1939" spans="1:30" x14ac:dyDescent="0.25">
      <c r="H1939" t="s">
        <v>3701</v>
      </c>
    </row>
    <row r="1940" spans="1:30" x14ac:dyDescent="0.25">
      <c r="A1940">
        <v>967</v>
      </c>
      <c r="B1940">
        <v>281</v>
      </c>
      <c r="C1940" t="s">
        <v>3702</v>
      </c>
      <c r="D1940" t="s">
        <v>3292</v>
      </c>
      <c r="E1940" t="s">
        <v>99</v>
      </c>
      <c r="F1940" t="s">
        <v>3703</v>
      </c>
      <c r="G1940" t="str">
        <f>"200806000604"</f>
        <v>200806000604</v>
      </c>
      <c r="H1940" t="s">
        <v>1339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30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84</v>
      </c>
      <c r="W1940">
        <v>588</v>
      </c>
      <c r="X1940">
        <v>0</v>
      </c>
      <c r="Z1940">
        <v>0</v>
      </c>
      <c r="AA1940">
        <v>0</v>
      </c>
      <c r="AB1940">
        <v>0</v>
      </c>
      <c r="AC1940">
        <v>0</v>
      </c>
      <c r="AD1940" t="s">
        <v>3704</v>
      </c>
    </row>
    <row r="1941" spans="1:30" x14ac:dyDescent="0.25">
      <c r="H1941" t="s">
        <v>3705</v>
      </c>
    </row>
    <row r="1942" spans="1:30" x14ac:dyDescent="0.25">
      <c r="A1942">
        <v>968</v>
      </c>
      <c r="B1942">
        <v>2886</v>
      </c>
      <c r="C1942" t="s">
        <v>3706</v>
      </c>
      <c r="D1942" t="s">
        <v>544</v>
      </c>
      <c r="E1942" t="s">
        <v>99</v>
      </c>
      <c r="F1942" t="s">
        <v>3707</v>
      </c>
      <c r="G1942" t="str">
        <f>"201510002460"</f>
        <v>201510002460</v>
      </c>
      <c r="H1942">
        <v>759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70</v>
      </c>
      <c r="O1942">
        <v>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66</v>
      </c>
      <c r="W1942">
        <v>462</v>
      </c>
      <c r="X1942">
        <v>0</v>
      </c>
      <c r="Z1942">
        <v>2</v>
      </c>
      <c r="AA1942">
        <v>0</v>
      </c>
      <c r="AB1942">
        <v>0</v>
      </c>
      <c r="AC1942">
        <v>0</v>
      </c>
      <c r="AD1942">
        <v>1291</v>
      </c>
    </row>
    <row r="1943" spans="1:30" x14ac:dyDescent="0.25">
      <c r="H1943" t="s">
        <v>3708</v>
      </c>
    </row>
    <row r="1944" spans="1:30" x14ac:dyDescent="0.25">
      <c r="A1944">
        <v>969</v>
      </c>
      <c r="B1944">
        <v>5246</v>
      </c>
      <c r="C1944" t="s">
        <v>3709</v>
      </c>
      <c r="D1944" t="s">
        <v>47</v>
      </c>
      <c r="E1944" t="s">
        <v>224</v>
      </c>
      <c r="F1944" t="s">
        <v>3710</v>
      </c>
      <c r="G1944" t="str">
        <f>"00340736"</f>
        <v>00340736</v>
      </c>
      <c r="H1944" t="s">
        <v>1131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84</v>
      </c>
      <c r="W1944">
        <v>588</v>
      </c>
      <c r="X1944">
        <v>0</v>
      </c>
      <c r="Z1944">
        <v>2</v>
      </c>
      <c r="AA1944">
        <v>0</v>
      </c>
      <c r="AB1944">
        <v>0</v>
      </c>
      <c r="AC1944">
        <v>0</v>
      </c>
      <c r="AD1944" t="s">
        <v>3711</v>
      </c>
    </row>
    <row r="1945" spans="1:30" x14ac:dyDescent="0.25">
      <c r="H1945" t="s">
        <v>1213</v>
      </c>
    </row>
    <row r="1946" spans="1:30" x14ac:dyDescent="0.25">
      <c r="A1946">
        <v>970</v>
      </c>
      <c r="B1946">
        <v>3825</v>
      </c>
      <c r="C1946" t="s">
        <v>3712</v>
      </c>
      <c r="D1946" t="s">
        <v>420</v>
      </c>
      <c r="E1946" t="s">
        <v>47</v>
      </c>
      <c r="F1946" t="s">
        <v>3713</v>
      </c>
      <c r="G1946" t="str">
        <f>"201402001950"</f>
        <v>201402001950</v>
      </c>
      <c r="H1946" t="s">
        <v>3714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34</v>
      </c>
      <c r="W1946">
        <v>238</v>
      </c>
      <c r="X1946">
        <v>0</v>
      </c>
      <c r="Z1946">
        <v>0</v>
      </c>
      <c r="AA1946">
        <v>0</v>
      </c>
      <c r="AB1946">
        <v>24</v>
      </c>
      <c r="AC1946">
        <v>408</v>
      </c>
      <c r="AD1946" t="s">
        <v>3715</v>
      </c>
    </row>
    <row r="1947" spans="1:30" x14ac:dyDescent="0.25">
      <c r="H1947" t="s">
        <v>3716</v>
      </c>
    </row>
    <row r="1948" spans="1:30" x14ac:dyDescent="0.25">
      <c r="A1948">
        <v>971</v>
      </c>
      <c r="B1948">
        <v>976</v>
      </c>
      <c r="C1948" t="s">
        <v>3717</v>
      </c>
      <c r="D1948" t="s">
        <v>14</v>
      </c>
      <c r="E1948" t="s">
        <v>495</v>
      </c>
      <c r="F1948" t="s">
        <v>3718</v>
      </c>
      <c r="G1948" t="str">
        <f>"00195820"</f>
        <v>00195820</v>
      </c>
      <c r="H1948" t="s">
        <v>1150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84</v>
      </c>
      <c r="W1948">
        <v>588</v>
      </c>
      <c r="X1948">
        <v>0</v>
      </c>
      <c r="Z1948">
        <v>1</v>
      </c>
      <c r="AA1948">
        <v>0</v>
      </c>
      <c r="AB1948">
        <v>0</v>
      </c>
      <c r="AC1948">
        <v>0</v>
      </c>
      <c r="AD1948" t="s">
        <v>3719</v>
      </c>
    </row>
    <row r="1949" spans="1:30" x14ac:dyDescent="0.25">
      <c r="H1949" t="s">
        <v>3720</v>
      </c>
    </row>
    <row r="1950" spans="1:30" x14ac:dyDescent="0.25">
      <c r="A1950">
        <v>972</v>
      </c>
      <c r="B1950">
        <v>1262</v>
      </c>
      <c r="C1950" t="s">
        <v>3721</v>
      </c>
      <c r="D1950" t="s">
        <v>681</v>
      </c>
      <c r="E1950" t="s">
        <v>1081</v>
      </c>
      <c r="F1950" t="s">
        <v>3722</v>
      </c>
      <c r="G1950" t="str">
        <f>"201412002960"</f>
        <v>201412002960</v>
      </c>
      <c r="H1950" t="s">
        <v>311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80</v>
      </c>
      <c r="W1950">
        <v>560</v>
      </c>
      <c r="X1950">
        <v>0</v>
      </c>
      <c r="Z1950">
        <v>0</v>
      </c>
      <c r="AA1950">
        <v>0</v>
      </c>
      <c r="AB1950">
        <v>0</v>
      </c>
      <c r="AC1950">
        <v>0</v>
      </c>
      <c r="AD1950" t="s">
        <v>3723</v>
      </c>
    </row>
    <row r="1951" spans="1:30" x14ac:dyDescent="0.25">
      <c r="H1951" t="s">
        <v>3724</v>
      </c>
    </row>
    <row r="1952" spans="1:30" x14ac:dyDescent="0.25">
      <c r="A1952">
        <v>973</v>
      </c>
      <c r="B1952">
        <v>2506</v>
      </c>
      <c r="C1952" t="s">
        <v>3725</v>
      </c>
      <c r="D1952" t="s">
        <v>134</v>
      </c>
      <c r="E1952" t="s">
        <v>595</v>
      </c>
      <c r="F1952" t="s">
        <v>3726</v>
      </c>
      <c r="G1952" t="str">
        <f>"200810000728"</f>
        <v>200810000728</v>
      </c>
      <c r="H1952" t="s">
        <v>94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77</v>
      </c>
      <c r="W1952">
        <v>539</v>
      </c>
      <c r="X1952">
        <v>0</v>
      </c>
      <c r="Z1952">
        <v>3</v>
      </c>
      <c r="AA1952">
        <v>0</v>
      </c>
      <c r="AB1952">
        <v>0</v>
      </c>
      <c r="AC1952">
        <v>0</v>
      </c>
      <c r="AD1952" t="s">
        <v>3727</v>
      </c>
    </row>
    <row r="1953" spans="1:30" x14ac:dyDescent="0.25">
      <c r="H1953">
        <v>1247</v>
      </c>
    </row>
    <row r="1954" spans="1:30" x14ac:dyDescent="0.25">
      <c r="A1954">
        <v>974</v>
      </c>
      <c r="B1954">
        <v>2992</v>
      </c>
      <c r="C1954" t="s">
        <v>3728</v>
      </c>
      <c r="D1954" t="s">
        <v>134</v>
      </c>
      <c r="E1954" t="s">
        <v>40</v>
      </c>
      <c r="F1954" t="s">
        <v>3729</v>
      </c>
      <c r="G1954" t="str">
        <f>"200802002364"</f>
        <v>200802002364</v>
      </c>
      <c r="H1954">
        <v>671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30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84</v>
      </c>
      <c r="W1954">
        <v>588</v>
      </c>
      <c r="X1954">
        <v>0</v>
      </c>
      <c r="Z1954">
        <v>1</v>
      </c>
      <c r="AA1954">
        <v>0</v>
      </c>
      <c r="AB1954">
        <v>0</v>
      </c>
      <c r="AC1954">
        <v>0</v>
      </c>
      <c r="AD1954">
        <v>1289</v>
      </c>
    </row>
    <row r="1955" spans="1:30" x14ac:dyDescent="0.25">
      <c r="H1955" t="s">
        <v>3730</v>
      </c>
    </row>
    <row r="1956" spans="1:30" x14ac:dyDescent="0.25">
      <c r="A1956">
        <v>975</v>
      </c>
      <c r="B1956">
        <v>815</v>
      </c>
      <c r="C1956" t="s">
        <v>3731</v>
      </c>
      <c r="D1956" t="s">
        <v>3732</v>
      </c>
      <c r="E1956" t="s">
        <v>92</v>
      </c>
      <c r="F1956" t="s">
        <v>3733</v>
      </c>
      <c r="G1956" t="str">
        <f>"201402007188"</f>
        <v>201402007188</v>
      </c>
      <c r="H1956">
        <v>671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30</v>
      </c>
      <c r="O1956">
        <v>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84</v>
      </c>
      <c r="W1956">
        <v>588</v>
      </c>
      <c r="X1956">
        <v>0</v>
      </c>
      <c r="Z1956">
        <v>0</v>
      </c>
      <c r="AA1956">
        <v>0</v>
      </c>
      <c r="AB1956">
        <v>0</v>
      </c>
      <c r="AC1956">
        <v>0</v>
      </c>
      <c r="AD1956">
        <v>1289</v>
      </c>
    </row>
    <row r="1957" spans="1:30" x14ac:dyDescent="0.25">
      <c r="H1957" t="s">
        <v>3734</v>
      </c>
    </row>
    <row r="1958" spans="1:30" x14ac:dyDescent="0.25">
      <c r="A1958">
        <v>976</v>
      </c>
      <c r="B1958">
        <v>3715</v>
      </c>
      <c r="C1958" t="s">
        <v>3735</v>
      </c>
      <c r="D1958" t="s">
        <v>176</v>
      </c>
      <c r="E1958" t="s">
        <v>47</v>
      </c>
      <c r="F1958" t="s">
        <v>3736</v>
      </c>
      <c r="G1958" t="str">
        <f>"201401000491"</f>
        <v>201401000491</v>
      </c>
      <c r="H1958">
        <v>671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30</v>
      </c>
      <c r="O1958">
        <v>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84</v>
      </c>
      <c r="W1958">
        <v>588</v>
      </c>
      <c r="X1958">
        <v>0</v>
      </c>
      <c r="Z1958">
        <v>0</v>
      </c>
      <c r="AA1958">
        <v>0</v>
      </c>
      <c r="AB1958">
        <v>0</v>
      </c>
      <c r="AC1958">
        <v>0</v>
      </c>
      <c r="AD1958">
        <v>1289</v>
      </c>
    </row>
    <row r="1959" spans="1:30" x14ac:dyDescent="0.25">
      <c r="H1959" t="s">
        <v>3737</v>
      </c>
    </row>
    <row r="1960" spans="1:30" x14ac:dyDescent="0.25">
      <c r="A1960">
        <v>977</v>
      </c>
      <c r="B1960">
        <v>606</v>
      </c>
      <c r="C1960" t="s">
        <v>394</v>
      </c>
      <c r="D1960" t="s">
        <v>40</v>
      </c>
      <c r="E1960" t="s">
        <v>509</v>
      </c>
      <c r="F1960" t="s">
        <v>3738</v>
      </c>
      <c r="G1960" t="str">
        <f>"201410012054"</f>
        <v>201410012054</v>
      </c>
      <c r="H1960">
        <v>671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30</v>
      </c>
      <c r="O1960">
        <v>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84</v>
      </c>
      <c r="W1960">
        <v>588</v>
      </c>
      <c r="X1960">
        <v>0</v>
      </c>
      <c r="Z1960">
        <v>0</v>
      </c>
      <c r="AA1960">
        <v>0</v>
      </c>
      <c r="AB1960">
        <v>0</v>
      </c>
      <c r="AC1960">
        <v>0</v>
      </c>
      <c r="AD1960">
        <v>1289</v>
      </c>
    </row>
    <row r="1961" spans="1:30" x14ac:dyDescent="0.25">
      <c r="H1961" t="s">
        <v>746</v>
      </c>
    </row>
    <row r="1962" spans="1:30" x14ac:dyDescent="0.25">
      <c r="A1962">
        <v>978</v>
      </c>
      <c r="B1962">
        <v>755</v>
      </c>
      <c r="C1962" t="s">
        <v>3739</v>
      </c>
      <c r="D1962" t="s">
        <v>3740</v>
      </c>
      <c r="E1962" t="s">
        <v>202</v>
      </c>
      <c r="F1962" t="s">
        <v>3741</v>
      </c>
      <c r="G1962" t="str">
        <f>"200908000307"</f>
        <v>200908000307</v>
      </c>
      <c r="H1962" t="s">
        <v>514</v>
      </c>
      <c r="I1962">
        <v>0</v>
      </c>
      <c r="J1962">
        <v>0</v>
      </c>
      <c r="K1962">
        <v>0</v>
      </c>
      <c r="L1962">
        <v>200</v>
      </c>
      <c r="M1962">
        <v>0</v>
      </c>
      <c r="N1962">
        <v>0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  <c r="V1962">
        <v>48</v>
      </c>
      <c r="W1962">
        <v>336</v>
      </c>
      <c r="X1962">
        <v>0</v>
      </c>
      <c r="Z1962">
        <v>0</v>
      </c>
      <c r="AA1962">
        <v>0</v>
      </c>
      <c r="AB1962">
        <v>0</v>
      </c>
      <c r="AC1962">
        <v>0</v>
      </c>
      <c r="AD1962" t="s">
        <v>3742</v>
      </c>
    </row>
    <row r="1963" spans="1:30" x14ac:dyDescent="0.25">
      <c r="H1963" t="s">
        <v>3743</v>
      </c>
    </row>
    <row r="1964" spans="1:30" x14ac:dyDescent="0.25">
      <c r="A1964">
        <v>979</v>
      </c>
      <c r="B1964">
        <v>3647</v>
      </c>
      <c r="C1964" t="s">
        <v>3744</v>
      </c>
      <c r="D1964" t="s">
        <v>3745</v>
      </c>
      <c r="E1964" t="s">
        <v>509</v>
      </c>
      <c r="F1964" t="s">
        <v>3746</v>
      </c>
      <c r="G1964" t="str">
        <f>"201406001654"</f>
        <v>201406001654</v>
      </c>
      <c r="H1964" t="s">
        <v>1850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30</v>
      </c>
      <c r="O1964">
        <v>0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79</v>
      </c>
      <c r="W1964">
        <v>553</v>
      </c>
      <c r="X1964">
        <v>0</v>
      </c>
      <c r="Z1964">
        <v>2</v>
      </c>
      <c r="AA1964">
        <v>0</v>
      </c>
      <c r="AB1964">
        <v>0</v>
      </c>
      <c r="AC1964">
        <v>0</v>
      </c>
      <c r="AD1964" t="s">
        <v>3747</v>
      </c>
    </row>
    <row r="1965" spans="1:30" x14ac:dyDescent="0.25">
      <c r="H1965" t="s">
        <v>3748</v>
      </c>
    </row>
    <row r="1966" spans="1:30" x14ac:dyDescent="0.25">
      <c r="A1966">
        <v>980</v>
      </c>
      <c r="B1966">
        <v>5879</v>
      </c>
      <c r="C1966" t="s">
        <v>3749</v>
      </c>
      <c r="D1966" t="s">
        <v>223</v>
      </c>
      <c r="E1966" t="s">
        <v>107</v>
      </c>
      <c r="F1966" t="s">
        <v>3750</v>
      </c>
      <c r="G1966" t="str">
        <f>"00349623"</f>
        <v>00349623</v>
      </c>
      <c r="H1966">
        <v>649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50</v>
      </c>
      <c r="O1966">
        <v>0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84</v>
      </c>
      <c r="W1966">
        <v>588</v>
      </c>
      <c r="X1966">
        <v>0</v>
      </c>
      <c r="Z1966">
        <v>0</v>
      </c>
      <c r="AA1966">
        <v>0</v>
      </c>
      <c r="AB1966">
        <v>0</v>
      </c>
      <c r="AC1966">
        <v>0</v>
      </c>
      <c r="AD1966">
        <v>1287</v>
      </c>
    </row>
    <row r="1967" spans="1:30" x14ac:dyDescent="0.25">
      <c r="H1967" t="s">
        <v>1852</v>
      </c>
    </row>
    <row r="1968" spans="1:30" x14ac:dyDescent="0.25">
      <c r="A1968">
        <v>981</v>
      </c>
      <c r="B1968">
        <v>2523</v>
      </c>
      <c r="C1968" t="s">
        <v>3320</v>
      </c>
      <c r="D1968" t="s">
        <v>47</v>
      </c>
      <c r="E1968" t="s">
        <v>378</v>
      </c>
      <c r="F1968" t="s">
        <v>3751</v>
      </c>
      <c r="G1968" t="str">
        <f>"201305000017"</f>
        <v>201305000017</v>
      </c>
      <c r="H1968">
        <v>649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50</v>
      </c>
      <c r="O1968">
        <v>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84</v>
      </c>
      <c r="W1968">
        <v>588</v>
      </c>
      <c r="X1968">
        <v>0</v>
      </c>
      <c r="Z1968">
        <v>2</v>
      </c>
      <c r="AA1968">
        <v>0</v>
      </c>
      <c r="AB1968">
        <v>0</v>
      </c>
      <c r="AC1968">
        <v>0</v>
      </c>
      <c r="AD1968">
        <v>1287</v>
      </c>
    </row>
    <row r="1969" spans="1:30" x14ac:dyDescent="0.25">
      <c r="H1969" t="s">
        <v>3752</v>
      </c>
    </row>
    <row r="1970" spans="1:30" x14ac:dyDescent="0.25">
      <c r="A1970">
        <v>982</v>
      </c>
      <c r="B1970">
        <v>5282</v>
      </c>
      <c r="C1970" t="s">
        <v>3753</v>
      </c>
      <c r="D1970" t="s">
        <v>335</v>
      </c>
      <c r="E1970" t="s">
        <v>39</v>
      </c>
      <c r="F1970" t="s">
        <v>3754</v>
      </c>
      <c r="G1970" t="str">
        <f>"201511034768"</f>
        <v>201511034768</v>
      </c>
      <c r="H1970">
        <v>649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79</v>
      </c>
      <c r="W1970">
        <v>553</v>
      </c>
      <c r="X1970">
        <v>0</v>
      </c>
      <c r="Z1970">
        <v>0</v>
      </c>
      <c r="AA1970">
        <v>0</v>
      </c>
      <c r="AB1970">
        <v>5</v>
      </c>
      <c r="AC1970">
        <v>85</v>
      </c>
      <c r="AD1970">
        <v>1287</v>
      </c>
    </row>
    <row r="1971" spans="1:30" x14ac:dyDescent="0.25">
      <c r="H1971" t="s">
        <v>3755</v>
      </c>
    </row>
    <row r="1972" spans="1:30" x14ac:dyDescent="0.25">
      <c r="A1972">
        <v>983</v>
      </c>
      <c r="B1972">
        <v>2726</v>
      </c>
      <c r="C1972" t="s">
        <v>3756</v>
      </c>
      <c r="D1972" t="s">
        <v>590</v>
      </c>
      <c r="E1972" t="s">
        <v>40</v>
      </c>
      <c r="F1972" t="s">
        <v>3757</v>
      </c>
      <c r="G1972" t="str">
        <f>"00347427"</f>
        <v>00347427</v>
      </c>
      <c r="H1972" t="s">
        <v>1235</v>
      </c>
      <c r="I1972">
        <v>0</v>
      </c>
      <c r="J1972">
        <v>0</v>
      </c>
      <c r="K1972">
        <v>0</v>
      </c>
      <c r="L1972">
        <v>0</v>
      </c>
      <c r="M1972">
        <v>0</v>
      </c>
      <c r="N1972">
        <v>30</v>
      </c>
      <c r="O1972">
        <v>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84</v>
      </c>
      <c r="W1972">
        <v>588</v>
      </c>
      <c r="X1972">
        <v>0</v>
      </c>
      <c r="Z1972">
        <v>0</v>
      </c>
      <c r="AA1972">
        <v>0</v>
      </c>
      <c r="AB1972">
        <v>0</v>
      </c>
      <c r="AC1972">
        <v>0</v>
      </c>
      <c r="AD1972" t="s">
        <v>3758</v>
      </c>
    </row>
    <row r="1973" spans="1:30" x14ac:dyDescent="0.25">
      <c r="H1973" t="s">
        <v>3759</v>
      </c>
    </row>
    <row r="1974" spans="1:30" x14ac:dyDescent="0.25">
      <c r="A1974">
        <v>984</v>
      </c>
      <c r="B1974">
        <v>917</v>
      </c>
      <c r="C1974" t="s">
        <v>3760</v>
      </c>
      <c r="D1974" t="s">
        <v>3761</v>
      </c>
      <c r="E1974" t="s">
        <v>47</v>
      </c>
      <c r="F1974" t="s">
        <v>3762</v>
      </c>
      <c r="G1974" t="str">
        <f>"200801006564"</f>
        <v>200801006564</v>
      </c>
      <c r="H1974" t="s">
        <v>1315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84</v>
      </c>
      <c r="W1974">
        <v>588</v>
      </c>
      <c r="X1974">
        <v>0</v>
      </c>
      <c r="Z1974">
        <v>2</v>
      </c>
      <c r="AA1974">
        <v>0</v>
      </c>
      <c r="AB1974">
        <v>0</v>
      </c>
      <c r="AC1974">
        <v>0</v>
      </c>
      <c r="AD1974" t="s">
        <v>3763</v>
      </c>
    </row>
    <row r="1975" spans="1:30" x14ac:dyDescent="0.25">
      <c r="H1975" t="s">
        <v>3764</v>
      </c>
    </row>
    <row r="1976" spans="1:30" x14ac:dyDescent="0.25">
      <c r="A1976">
        <v>985</v>
      </c>
      <c r="B1976">
        <v>6125</v>
      </c>
      <c r="C1976" t="s">
        <v>102</v>
      </c>
      <c r="D1976" t="s">
        <v>346</v>
      </c>
      <c r="E1976" t="s">
        <v>968</v>
      </c>
      <c r="F1976" t="s">
        <v>3765</v>
      </c>
      <c r="G1976" t="str">
        <f>"00184116"</f>
        <v>00184116</v>
      </c>
      <c r="H1976" t="s">
        <v>2577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30</v>
      </c>
      <c r="O1976">
        <v>0</v>
      </c>
      <c r="P1976">
        <v>0</v>
      </c>
      <c r="Q1976">
        <v>0</v>
      </c>
      <c r="R1976">
        <v>0</v>
      </c>
      <c r="S1976">
        <v>0</v>
      </c>
      <c r="T1976">
        <v>0</v>
      </c>
      <c r="U1976">
        <v>0</v>
      </c>
      <c r="V1976">
        <v>84</v>
      </c>
      <c r="W1976">
        <v>588</v>
      </c>
      <c r="X1976">
        <v>0</v>
      </c>
      <c r="Z1976">
        <v>2</v>
      </c>
      <c r="AA1976">
        <v>0</v>
      </c>
      <c r="AB1976">
        <v>0</v>
      </c>
      <c r="AC1976">
        <v>0</v>
      </c>
      <c r="AD1976" t="s">
        <v>3766</v>
      </c>
    </row>
    <row r="1977" spans="1:30" x14ac:dyDescent="0.25">
      <c r="H1977" t="s">
        <v>3767</v>
      </c>
    </row>
    <row r="1978" spans="1:30" x14ac:dyDescent="0.25">
      <c r="A1978">
        <v>986</v>
      </c>
      <c r="B1978">
        <v>3822</v>
      </c>
      <c r="C1978" t="s">
        <v>3768</v>
      </c>
      <c r="D1978" t="s">
        <v>595</v>
      </c>
      <c r="E1978" t="s">
        <v>974</v>
      </c>
      <c r="F1978" t="s">
        <v>3769</v>
      </c>
      <c r="G1978" t="str">
        <f>"00294947"</f>
        <v>00294947</v>
      </c>
      <c r="H1978" t="s">
        <v>3212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0</v>
      </c>
      <c r="P1978">
        <v>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30</v>
      </c>
      <c r="W1978">
        <v>210</v>
      </c>
      <c r="X1978">
        <v>0</v>
      </c>
      <c r="Z1978">
        <v>0</v>
      </c>
      <c r="AA1978">
        <v>0</v>
      </c>
      <c r="AB1978">
        <v>24</v>
      </c>
      <c r="AC1978">
        <v>408</v>
      </c>
      <c r="AD1978" t="s">
        <v>3770</v>
      </c>
    </row>
    <row r="1979" spans="1:30" x14ac:dyDescent="0.25">
      <c r="H1979" t="s">
        <v>3771</v>
      </c>
    </row>
    <row r="1980" spans="1:30" x14ac:dyDescent="0.25">
      <c r="A1980">
        <v>987</v>
      </c>
      <c r="B1980">
        <v>719</v>
      </c>
      <c r="C1980" t="s">
        <v>62</v>
      </c>
      <c r="D1980" t="s">
        <v>3772</v>
      </c>
      <c r="E1980" t="s">
        <v>40</v>
      </c>
      <c r="F1980" t="s">
        <v>3773</v>
      </c>
      <c r="G1980" t="str">
        <f>"201410012708"</f>
        <v>201410012708</v>
      </c>
      <c r="H1980" t="s">
        <v>3774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0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84</v>
      </c>
      <c r="W1980">
        <v>588</v>
      </c>
      <c r="X1980">
        <v>0</v>
      </c>
      <c r="Z1980">
        <v>0</v>
      </c>
      <c r="AA1980">
        <v>0</v>
      </c>
      <c r="AB1980">
        <v>0</v>
      </c>
      <c r="AC1980">
        <v>0</v>
      </c>
      <c r="AD1980" t="s">
        <v>3775</v>
      </c>
    </row>
    <row r="1981" spans="1:30" x14ac:dyDescent="0.25">
      <c r="H1981">
        <v>1247</v>
      </c>
    </row>
    <row r="1982" spans="1:30" x14ac:dyDescent="0.25">
      <c r="A1982">
        <v>988</v>
      </c>
      <c r="B1982">
        <v>1785</v>
      </c>
      <c r="C1982" t="s">
        <v>3776</v>
      </c>
      <c r="D1982" t="s">
        <v>3777</v>
      </c>
      <c r="E1982" t="s">
        <v>595</v>
      </c>
      <c r="F1982" t="s">
        <v>3778</v>
      </c>
      <c r="G1982" t="str">
        <f>"201511036003"</f>
        <v>201511036003</v>
      </c>
      <c r="H1982" t="s">
        <v>1949</v>
      </c>
      <c r="I1982">
        <v>0</v>
      </c>
      <c r="J1982">
        <v>0</v>
      </c>
      <c r="K1982">
        <v>0</v>
      </c>
      <c r="L1982">
        <v>200</v>
      </c>
      <c r="M1982">
        <v>0</v>
      </c>
      <c r="N1982">
        <v>30</v>
      </c>
      <c r="O1982">
        <v>0</v>
      </c>
      <c r="P1982">
        <v>0</v>
      </c>
      <c r="Q1982">
        <v>0</v>
      </c>
      <c r="R1982">
        <v>0</v>
      </c>
      <c r="S1982">
        <v>0</v>
      </c>
      <c r="T1982">
        <v>0</v>
      </c>
      <c r="U1982">
        <v>0</v>
      </c>
      <c r="V1982">
        <v>47</v>
      </c>
      <c r="W1982">
        <v>329</v>
      </c>
      <c r="X1982">
        <v>0</v>
      </c>
      <c r="Z1982">
        <v>0</v>
      </c>
      <c r="AA1982">
        <v>0</v>
      </c>
      <c r="AB1982">
        <v>0</v>
      </c>
      <c r="AC1982">
        <v>0</v>
      </c>
      <c r="AD1982" t="s">
        <v>3779</v>
      </c>
    </row>
    <row r="1983" spans="1:30" x14ac:dyDescent="0.25">
      <c r="H1983" t="s">
        <v>3780</v>
      </c>
    </row>
    <row r="1984" spans="1:30" x14ac:dyDescent="0.25">
      <c r="A1984">
        <v>989</v>
      </c>
      <c r="B1984">
        <v>649</v>
      </c>
      <c r="C1984" t="s">
        <v>3781</v>
      </c>
      <c r="D1984" t="s">
        <v>3782</v>
      </c>
      <c r="E1984" t="s">
        <v>40</v>
      </c>
      <c r="F1984" t="s">
        <v>3783</v>
      </c>
      <c r="G1984" t="str">
        <f>"00007114"</f>
        <v>00007114</v>
      </c>
      <c r="H1984" t="s">
        <v>760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30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>
        <v>66</v>
      </c>
      <c r="W1984">
        <v>462</v>
      </c>
      <c r="X1984">
        <v>0</v>
      </c>
      <c r="Z1984">
        <v>0</v>
      </c>
      <c r="AA1984">
        <v>0</v>
      </c>
      <c r="AB1984">
        <v>4</v>
      </c>
      <c r="AC1984">
        <v>68</v>
      </c>
      <c r="AD1984" t="s">
        <v>3784</v>
      </c>
    </row>
    <row r="1985" spans="1:30" x14ac:dyDescent="0.25">
      <c r="H1985" t="s">
        <v>3785</v>
      </c>
    </row>
    <row r="1986" spans="1:30" x14ac:dyDescent="0.25">
      <c r="A1986">
        <v>990</v>
      </c>
      <c r="B1986">
        <v>5262</v>
      </c>
      <c r="C1986" t="s">
        <v>3786</v>
      </c>
      <c r="D1986" t="s">
        <v>14</v>
      </c>
      <c r="E1986" t="s">
        <v>47</v>
      </c>
      <c r="F1986" t="s">
        <v>3787</v>
      </c>
      <c r="G1986" t="str">
        <f>"00229647"</f>
        <v>00229647</v>
      </c>
      <c r="H1986" t="s">
        <v>1256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30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84</v>
      </c>
      <c r="W1986">
        <v>588</v>
      </c>
      <c r="X1986">
        <v>0</v>
      </c>
      <c r="Z1986">
        <v>0</v>
      </c>
      <c r="AA1986">
        <v>0</v>
      </c>
      <c r="AB1986">
        <v>0</v>
      </c>
      <c r="AC1986">
        <v>0</v>
      </c>
      <c r="AD1986" t="s">
        <v>3788</v>
      </c>
    </row>
    <row r="1987" spans="1:30" x14ac:dyDescent="0.25">
      <c r="H1987" t="s">
        <v>3789</v>
      </c>
    </row>
    <row r="1988" spans="1:30" x14ac:dyDescent="0.25">
      <c r="A1988">
        <v>991</v>
      </c>
      <c r="B1988">
        <v>2365</v>
      </c>
      <c r="C1988" t="s">
        <v>3790</v>
      </c>
      <c r="D1988" t="s">
        <v>86</v>
      </c>
      <c r="E1988" t="s">
        <v>1620</v>
      </c>
      <c r="F1988" t="s">
        <v>3791</v>
      </c>
      <c r="G1988" t="str">
        <f>"201406007154"</f>
        <v>201406007154</v>
      </c>
      <c r="H1988">
        <v>693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70</v>
      </c>
      <c r="O1988">
        <v>50</v>
      </c>
      <c r="P1988">
        <v>0</v>
      </c>
      <c r="Q1988">
        <v>0</v>
      </c>
      <c r="R1988">
        <v>0</v>
      </c>
      <c r="S1988">
        <v>0</v>
      </c>
      <c r="T1988">
        <v>0</v>
      </c>
      <c r="U1988">
        <v>0</v>
      </c>
      <c r="V1988">
        <v>67</v>
      </c>
      <c r="W1988">
        <v>469</v>
      </c>
      <c r="X1988">
        <v>0</v>
      </c>
      <c r="Z1988">
        <v>0</v>
      </c>
      <c r="AA1988">
        <v>0</v>
      </c>
      <c r="AB1988">
        <v>0</v>
      </c>
      <c r="AC1988">
        <v>0</v>
      </c>
      <c r="AD1988">
        <v>1282</v>
      </c>
    </row>
    <row r="1989" spans="1:30" x14ac:dyDescent="0.25">
      <c r="H1989" t="s">
        <v>3792</v>
      </c>
    </row>
    <row r="1990" spans="1:30" x14ac:dyDescent="0.25">
      <c r="A1990">
        <v>992</v>
      </c>
      <c r="B1990">
        <v>5419</v>
      </c>
      <c r="C1990" t="s">
        <v>3793</v>
      </c>
      <c r="D1990" t="s">
        <v>420</v>
      </c>
      <c r="E1990" t="s">
        <v>1215</v>
      </c>
      <c r="F1990" t="s">
        <v>3794</v>
      </c>
      <c r="G1990" t="str">
        <f>"201504005226"</f>
        <v>201504005226</v>
      </c>
      <c r="H1990" t="s">
        <v>988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0</v>
      </c>
      <c r="O1990">
        <v>0</v>
      </c>
      <c r="P1990">
        <v>0</v>
      </c>
      <c r="Q1990">
        <v>0</v>
      </c>
      <c r="R1990">
        <v>0</v>
      </c>
      <c r="S1990">
        <v>0</v>
      </c>
      <c r="T1990">
        <v>0</v>
      </c>
      <c r="U1990">
        <v>0</v>
      </c>
      <c r="V1990">
        <v>72</v>
      </c>
      <c r="W1990">
        <v>504</v>
      </c>
      <c r="X1990">
        <v>0</v>
      </c>
      <c r="Z1990">
        <v>0</v>
      </c>
      <c r="AA1990">
        <v>0</v>
      </c>
      <c r="AB1990">
        <v>0</v>
      </c>
      <c r="AC1990">
        <v>0</v>
      </c>
      <c r="AD1990" t="s">
        <v>3795</v>
      </c>
    </row>
    <row r="1991" spans="1:30" x14ac:dyDescent="0.25">
      <c r="H1991">
        <v>1247</v>
      </c>
    </row>
    <row r="1992" spans="1:30" x14ac:dyDescent="0.25">
      <c r="A1992">
        <v>993</v>
      </c>
      <c r="B1992">
        <v>143</v>
      </c>
      <c r="C1992" t="s">
        <v>3796</v>
      </c>
      <c r="D1992" t="s">
        <v>134</v>
      </c>
      <c r="E1992" t="s">
        <v>3797</v>
      </c>
      <c r="F1992" t="s">
        <v>3798</v>
      </c>
      <c r="G1992" t="str">
        <f>"00293713"</f>
        <v>00293713</v>
      </c>
      <c r="H1992" t="s">
        <v>1261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30</v>
      </c>
      <c r="O1992">
        <v>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84</v>
      </c>
      <c r="W1992">
        <v>588</v>
      </c>
      <c r="X1992">
        <v>0</v>
      </c>
      <c r="Z1992">
        <v>0</v>
      </c>
      <c r="AA1992">
        <v>0</v>
      </c>
      <c r="AB1992">
        <v>0</v>
      </c>
      <c r="AC1992">
        <v>0</v>
      </c>
      <c r="AD1992" t="s">
        <v>3799</v>
      </c>
    </row>
    <row r="1993" spans="1:30" x14ac:dyDescent="0.25">
      <c r="H1993" t="s">
        <v>3800</v>
      </c>
    </row>
    <row r="1994" spans="1:30" x14ac:dyDescent="0.25">
      <c r="A1994">
        <v>994</v>
      </c>
      <c r="B1994">
        <v>4610</v>
      </c>
      <c r="C1994" t="s">
        <v>3801</v>
      </c>
      <c r="D1994" t="s">
        <v>599</v>
      </c>
      <c r="E1994" t="s">
        <v>1544</v>
      </c>
      <c r="F1994" t="s">
        <v>3802</v>
      </c>
      <c r="G1994" t="str">
        <f>"200803000350"</f>
        <v>200803000350</v>
      </c>
      <c r="H1994">
        <v>770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0</v>
      </c>
      <c r="O1994">
        <v>0</v>
      </c>
      <c r="P1994">
        <v>0</v>
      </c>
      <c r="Q1994">
        <v>0</v>
      </c>
      <c r="R1994">
        <v>0</v>
      </c>
      <c r="S1994">
        <v>0</v>
      </c>
      <c r="T1994">
        <v>0</v>
      </c>
      <c r="U1994">
        <v>0</v>
      </c>
      <c r="V1994">
        <v>73</v>
      </c>
      <c r="W1994">
        <v>511</v>
      </c>
      <c r="X1994">
        <v>0</v>
      </c>
      <c r="Z1994">
        <v>0</v>
      </c>
      <c r="AA1994">
        <v>0</v>
      </c>
      <c r="AB1994">
        <v>0</v>
      </c>
      <c r="AC1994">
        <v>0</v>
      </c>
      <c r="AD1994">
        <v>1281</v>
      </c>
    </row>
    <row r="1995" spans="1:30" x14ac:dyDescent="0.25">
      <c r="H1995" t="s">
        <v>3803</v>
      </c>
    </row>
    <row r="1996" spans="1:30" x14ac:dyDescent="0.25">
      <c r="A1996">
        <v>995</v>
      </c>
      <c r="B1996">
        <v>4479</v>
      </c>
      <c r="C1996" t="s">
        <v>3804</v>
      </c>
      <c r="D1996" t="s">
        <v>162</v>
      </c>
      <c r="E1996" t="s">
        <v>290</v>
      </c>
      <c r="F1996" t="s">
        <v>3805</v>
      </c>
      <c r="G1996" t="str">
        <f>"00338453"</f>
        <v>00338453</v>
      </c>
      <c r="H1996">
        <v>693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84</v>
      </c>
      <c r="W1996">
        <v>588</v>
      </c>
      <c r="X1996">
        <v>0</v>
      </c>
      <c r="Z1996">
        <v>2</v>
      </c>
      <c r="AA1996">
        <v>0</v>
      </c>
      <c r="AB1996">
        <v>0</v>
      </c>
      <c r="AC1996">
        <v>0</v>
      </c>
      <c r="AD1996">
        <v>1281</v>
      </c>
    </row>
    <row r="1997" spans="1:30" x14ac:dyDescent="0.25">
      <c r="H1997" t="s">
        <v>3806</v>
      </c>
    </row>
    <row r="1998" spans="1:30" x14ac:dyDescent="0.25">
      <c r="A1998">
        <v>996</v>
      </c>
      <c r="B1998">
        <v>3069</v>
      </c>
      <c r="C1998" t="s">
        <v>3807</v>
      </c>
      <c r="D1998" t="s">
        <v>151</v>
      </c>
      <c r="E1998" t="s">
        <v>47</v>
      </c>
      <c r="F1998" t="s">
        <v>3808</v>
      </c>
      <c r="G1998" t="str">
        <f>"201402005994"</f>
        <v>201402005994</v>
      </c>
      <c r="H1998">
        <v>693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  <c r="V1998">
        <v>84</v>
      </c>
      <c r="W1998">
        <v>588</v>
      </c>
      <c r="X1998">
        <v>0</v>
      </c>
      <c r="Z1998">
        <v>0</v>
      </c>
      <c r="AA1998">
        <v>0</v>
      </c>
      <c r="AB1998">
        <v>0</v>
      </c>
      <c r="AC1998">
        <v>0</v>
      </c>
      <c r="AD1998">
        <v>1281</v>
      </c>
    </row>
    <row r="1999" spans="1:30" x14ac:dyDescent="0.25">
      <c r="H1999" t="s">
        <v>3809</v>
      </c>
    </row>
    <row r="2000" spans="1:30" x14ac:dyDescent="0.25">
      <c r="A2000">
        <v>997</v>
      </c>
      <c r="B2000">
        <v>5087</v>
      </c>
      <c r="C2000" t="s">
        <v>3810</v>
      </c>
      <c r="D2000" t="s">
        <v>15</v>
      </c>
      <c r="E2000" t="s">
        <v>140</v>
      </c>
      <c r="F2000" t="s">
        <v>3811</v>
      </c>
      <c r="G2000" t="str">
        <f>"00154903"</f>
        <v>00154903</v>
      </c>
      <c r="H2000" t="s">
        <v>2682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30</v>
      </c>
      <c r="O2000">
        <v>0</v>
      </c>
      <c r="P2000">
        <v>0</v>
      </c>
      <c r="Q2000">
        <v>0</v>
      </c>
      <c r="R2000">
        <v>0</v>
      </c>
      <c r="S2000">
        <v>0</v>
      </c>
      <c r="T2000">
        <v>0</v>
      </c>
      <c r="U2000">
        <v>0</v>
      </c>
      <c r="V2000">
        <v>14</v>
      </c>
      <c r="W2000">
        <v>98</v>
      </c>
      <c r="X2000">
        <v>0</v>
      </c>
      <c r="Z2000">
        <v>0</v>
      </c>
      <c r="AA2000">
        <v>0</v>
      </c>
      <c r="AB2000">
        <v>24</v>
      </c>
      <c r="AC2000">
        <v>408</v>
      </c>
      <c r="AD2000" t="s">
        <v>3812</v>
      </c>
    </row>
    <row r="2001" spans="1:30" x14ac:dyDescent="0.25">
      <c r="H2001" t="s">
        <v>3813</v>
      </c>
    </row>
    <row r="2002" spans="1:30" x14ac:dyDescent="0.25">
      <c r="A2002">
        <v>998</v>
      </c>
      <c r="B2002">
        <v>2254</v>
      </c>
      <c r="C2002" t="s">
        <v>3814</v>
      </c>
      <c r="D2002" t="s">
        <v>3732</v>
      </c>
      <c r="E2002" t="s">
        <v>162</v>
      </c>
      <c r="F2002" t="s">
        <v>3815</v>
      </c>
      <c r="G2002" t="str">
        <f>"00248389"</f>
        <v>00248389</v>
      </c>
      <c r="H2002" t="s">
        <v>514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30</v>
      </c>
      <c r="O2002">
        <v>0</v>
      </c>
      <c r="P2002">
        <v>0</v>
      </c>
      <c r="Q2002">
        <v>0</v>
      </c>
      <c r="R2002">
        <v>0</v>
      </c>
      <c r="S2002">
        <v>0</v>
      </c>
      <c r="T2002">
        <v>0</v>
      </c>
      <c r="U2002">
        <v>0</v>
      </c>
      <c r="V2002">
        <v>71</v>
      </c>
      <c r="W2002">
        <v>497</v>
      </c>
      <c r="X2002">
        <v>0</v>
      </c>
      <c r="Z2002">
        <v>0</v>
      </c>
      <c r="AA2002">
        <v>0</v>
      </c>
      <c r="AB2002">
        <v>0</v>
      </c>
      <c r="AC2002">
        <v>0</v>
      </c>
      <c r="AD2002" t="s">
        <v>3816</v>
      </c>
    </row>
    <row r="2003" spans="1:30" x14ac:dyDescent="0.25">
      <c r="H2003">
        <v>1249</v>
      </c>
    </row>
    <row r="2004" spans="1:30" x14ac:dyDescent="0.25">
      <c r="A2004">
        <v>999</v>
      </c>
      <c r="B2004">
        <v>3185</v>
      </c>
      <c r="C2004" t="s">
        <v>3817</v>
      </c>
      <c r="D2004" t="s">
        <v>107</v>
      </c>
      <c r="E2004" t="s">
        <v>140</v>
      </c>
      <c r="F2004" t="s">
        <v>3818</v>
      </c>
      <c r="G2004" t="str">
        <f>"201411000839"</f>
        <v>201411000839</v>
      </c>
      <c r="H2004" t="s">
        <v>813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30</v>
      </c>
      <c r="O2004">
        <v>0</v>
      </c>
      <c r="P2004">
        <v>0</v>
      </c>
      <c r="Q2004">
        <v>0</v>
      </c>
      <c r="R2004">
        <v>0</v>
      </c>
      <c r="S2004">
        <v>0</v>
      </c>
      <c r="T2004">
        <v>0</v>
      </c>
      <c r="U2004">
        <v>0</v>
      </c>
      <c r="V2004">
        <v>73</v>
      </c>
      <c r="W2004">
        <v>511</v>
      </c>
      <c r="X2004">
        <v>0</v>
      </c>
      <c r="Z2004">
        <v>0</v>
      </c>
      <c r="AA2004">
        <v>0</v>
      </c>
      <c r="AB2004">
        <v>0</v>
      </c>
      <c r="AC2004">
        <v>0</v>
      </c>
      <c r="AD2004" t="s">
        <v>3819</v>
      </c>
    </row>
    <row r="2005" spans="1:30" x14ac:dyDescent="0.25">
      <c r="H2005" t="s">
        <v>3820</v>
      </c>
    </row>
    <row r="2006" spans="1:30" x14ac:dyDescent="0.25">
      <c r="A2006">
        <v>1000</v>
      </c>
      <c r="B2006">
        <v>1314</v>
      </c>
      <c r="C2006" t="s">
        <v>3821</v>
      </c>
      <c r="D2006" t="s">
        <v>3822</v>
      </c>
      <c r="E2006" t="s">
        <v>40</v>
      </c>
      <c r="F2006" t="s">
        <v>3823</v>
      </c>
      <c r="G2006" t="str">
        <f>"00154945"</f>
        <v>00154945</v>
      </c>
      <c r="H2006" t="s">
        <v>642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30</v>
      </c>
      <c r="O2006">
        <v>0</v>
      </c>
      <c r="P2006">
        <v>0</v>
      </c>
      <c r="Q2006">
        <v>0</v>
      </c>
      <c r="R2006">
        <v>0</v>
      </c>
      <c r="S2006">
        <v>0</v>
      </c>
      <c r="T2006">
        <v>0</v>
      </c>
      <c r="U2006">
        <v>0</v>
      </c>
      <c r="V2006">
        <v>84</v>
      </c>
      <c r="W2006">
        <v>588</v>
      </c>
      <c r="X2006">
        <v>0</v>
      </c>
      <c r="Z2006">
        <v>0</v>
      </c>
      <c r="AA2006">
        <v>0</v>
      </c>
      <c r="AB2006">
        <v>0</v>
      </c>
      <c r="AC2006">
        <v>0</v>
      </c>
      <c r="AD2006" t="s">
        <v>3819</v>
      </c>
    </row>
    <row r="2007" spans="1:30" x14ac:dyDescent="0.25">
      <c r="H2007" t="s">
        <v>3824</v>
      </c>
    </row>
    <row r="2008" spans="1:30" x14ac:dyDescent="0.25">
      <c r="A2008">
        <v>1001</v>
      </c>
      <c r="B2008">
        <v>4474</v>
      </c>
      <c r="C2008" t="s">
        <v>3825</v>
      </c>
      <c r="D2008" t="s">
        <v>335</v>
      </c>
      <c r="E2008" t="s">
        <v>39</v>
      </c>
      <c r="F2008" t="s">
        <v>3826</v>
      </c>
      <c r="G2008" t="str">
        <f>"200811000381"</f>
        <v>200811000381</v>
      </c>
      <c r="H2008" t="s">
        <v>3441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0</v>
      </c>
      <c r="O2008">
        <v>0</v>
      </c>
      <c r="P2008">
        <v>0</v>
      </c>
      <c r="Q2008">
        <v>0</v>
      </c>
      <c r="R2008">
        <v>0</v>
      </c>
      <c r="S2008">
        <v>0</v>
      </c>
      <c r="T2008">
        <v>0</v>
      </c>
      <c r="U2008">
        <v>0</v>
      </c>
      <c r="V2008">
        <v>84</v>
      </c>
      <c r="W2008">
        <v>588</v>
      </c>
      <c r="X2008">
        <v>0</v>
      </c>
      <c r="Z2008">
        <v>0</v>
      </c>
      <c r="AA2008">
        <v>0</v>
      </c>
      <c r="AB2008">
        <v>0</v>
      </c>
      <c r="AC2008">
        <v>0</v>
      </c>
      <c r="AD2008" t="s">
        <v>3827</v>
      </c>
    </row>
    <row r="2009" spans="1:30" x14ac:dyDescent="0.25">
      <c r="H2009">
        <v>1247</v>
      </c>
    </row>
    <row r="2010" spans="1:30" x14ac:dyDescent="0.25">
      <c r="A2010">
        <v>1002</v>
      </c>
      <c r="B2010">
        <v>1864</v>
      </c>
      <c r="C2010" t="s">
        <v>3828</v>
      </c>
      <c r="D2010" t="s">
        <v>39</v>
      </c>
      <c r="E2010" t="s">
        <v>15</v>
      </c>
      <c r="F2010" t="s">
        <v>3829</v>
      </c>
      <c r="G2010" t="str">
        <f>"201411001925"</f>
        <v>201411001925</v>
      </c>
      <c r="H2010">
        <v>693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30</v>
      </c>
      <c r="O2010">
        <v>0</v>
      </c>
      <c r="P2010">
        <v>0</v>
      </c>
      <c r="Q2010">
        <v>0</v>
      </c>
      <c r="R2010">
        <v>30</v>
      </c>
      <c r="S2010">
        <v>0</v>
      </c>
      <c r="T2010">
        <v>0</v>
      </c>
      <c r="U2010">
        <v>0</v>
      </c>
      <c r="V2010">
        <v>75</v>
      </c>
      <c r="W2010">
        <v>525</v>
      </c>
      <c r="X2010">
        <v>0</v>
      </c>
      <c r="Z2010">
        <v>0</v>
      </c>
      <c r="AA2010">
        <v>0</v>
      </c>
      <c r="AB2010">
        <v>0</v>
      </c>
      <c r="AC2010">
        <v>0</v>
      </c>
      <c r="AD2010">
        <v>1278</v>
      </c>
    </row>
    <row r="2011" spans="1:30" x14ac:dyDescent="0.25">
      <c r="H2011" t="s">
        <v>3830</v>
      </c>
    </row>
    <row r="2012" spans="1:30" x14ac:dyDescent="0.25">
      <c r="A2012">
        <v>1003</v>
      </c>
      <c r="B2012">
        <v>2687</v>
      </c>
      <c r="C2012" t="s">
        <v>899</v>
      </c>
      <c r="D2012" t="s">
        <v>526</v>
      </c>
      <c r="E2012" t="s">
        <v>40</v>
      </c>
      <c r="F2012" t="s">
        <v>3831</v>
      </c>
      <c r="G2012" t="str">
        <f>"00333490"</f>
        <v>00333490</v>
      </c>
      <c r="H2012">
        <v>660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30</v>
      </c>
      <c r="O2012">
        <v>0</v>
      </c>
      <c r="P2012">
        <v>0</v>
      </c>
      <c r="Q2012">
        <v>0</v>
      </c>
      <c r="R2012">
        <v>0</v>
      </c>
      <c r="S2012">
        <v>0</v>
      </c>
      <c r="T2012">
        <v>0</v>
      </c>
      <c r="U2012">
        <v>0</v>
      </c>
      <c r="V2012">
        <v>84</v>
      </c>
      <c r="W2012">
        <v>588</v>
      </c>
      <c r="X2012">
        <v>0</v>
      </c>
      <c r="Z2012">
        <v>0</v>
      </c>
      <c r="AA2012">
        <v>0</v>
      </c>
      <c r="AB2012">
        <v>0</v>
      </c>
      <c r="AC2012">
        <v>0</v>
      </c>
      <c r="AD2012">
        <v>1278</v>
      </c>
    </row>
    <row r="2013" spans="1:30" x14ac:dyDescent="0.25">
      <c r="H2013" t="s">
        <v>3832</v>
      </c>
    </row>
    <row r="2014" spans="1:30" x14ac:dyDescent="0.25">
      <c r="A2014">
        <v>1004</v>
      </c>
      <c r="B2014">
        <v>1702</v>
      </c>
      <c r="C2014" t="s">
        <v>3833</v>
      </c>
      <c r="D2014" t="s">
        <v>599</v>
      </c>
      <c r="E2014" t="s">
        <v>176</v>
      </c>
      <c r="F2014" t="s">
        <v>3834</v>
      </c>
      <c r="G2014" t="str">
        <f>"00199703"</f>
        <v>00199703</v>
      </c>
      <c r="H2014">
        <v>660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30</v>
      </c>
      <c r="O2014">
        <v>0</v>
      </c>
      <c r="P2014">
        <v>0</v>
      </c>
      <c r="Q2014">
        <v>0</v>
      </c>
      <c r="R2014">
        <v>0</v>
      </c>
      <c r="S2014">
        <v>0</v>
      </c>
      <c r="T2014">
        <v>0</v>
      </c>
      <c r="U2014">
        <v>0</v>
      </c>
      <c r="V2014">
        <v>84</v>
      </c>
      <c r="W2014">
        <v>588</v>
      </c>
      <c r="X2014">
        <v>0</v>
      </c>
      <c r="Z2014">
        <v>0</v>
      </c>
      <c r="AA2014">
        <v>0</v>
      </c>
      <c r="AB2014">
        <v>0</v>
      </c>
      <c r="AC2014">
        <v>0</v>
      </c>
      <c r="AD2014">
        <v>1278</v>
      </c>
    </row>
    <row r="2015" spans="1:30" x14ac:dyDescent="0.25">
      <c r="H2015" t="s">
        <v>3835</v>
      </c>
    </row>
    <row r="2016" spans="1:30" x14ac:dyDescent="0.25">
      <c r="A2016">
        <v>1005</v>
      </c>
      <c r="B2016">
        <v>4420</v>
      </c>
      <c r="C2016" t="s">
        <v>3836</v>
      </c>
      <c r="D2016" t="s">
        <v>1772</v>
      </c>
      <c r="E2016" t="s">
        <v>162</v>
      </c>
      <c r="F2016" t="s">
        <v>3837</v>
      </c>
      <c r="G2016" t="str">
        <f>"00229220"</f>
        <v>00229220</v>
      </c>
      <c r="H2016">
        <v>660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30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  <c r="V2016">
        <v>84</v>
      </c>
      <c r="W2016">
        <v>588</v>
      </c>
      <c r="X2016">
        <v>0</v>
      </c>
      <c r="Z2016">
        <v>0</v>
      </c>
      <c r="AA2016">
        <v>0</v>
      </c>
      <c r="AB2016">
        <v>0</v>
      </c>
      <c r="AC2016">
        <v>0</v>
      </c>
      <c r="AD2016">
        <v>1278</v>
      </c>
    </row>
    <row r="2017" spans="1:30" x14ac:dyDescent="0.25">
      <c r="H2017" t="s">
        <v>3838</v>
      </c>
    </row>
    <row r="2018" spans="1:30" x14ac:dyDescent="0.25">
      <c r="A2018">
        <v>1006</v>
      </c>
      <c r="B2018">
        <v>5790</v>
      </c>
      <c r="C2018" t="s">
        <v>3839</v>
      </c>
      <c r="D2018" t="s">
        <v>3840</v>
      </c>
      <c r="E2018" t="s">
        <v>400</v>
      </c>
      <c r="F2018" t="s">
        <v>3841</v>
      </c>
      <c r="G2018" t="str">
        <f>"00253199"</f>
        <v>00253199</v>
      </c>
      <c r="H2018" t="s">
        <v>1101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0</v>
      </c>
      <c r="O2018">
        <v>0</v>
      </c>
      <c r="P2018">
        <v>0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84</v>
      </c>
      <c r="W2018">
        <v>588</v>
      </c>
      <c r="X2018">
        <v>0</v>
      </c>
      <c r="Z2018">
        <v>0</v>
      </c>
      <c r="AA2018">
        <v>0</v>
      </c>
      <c r="AB2018">
        <v>0</v>
      </c>
      <c r="AC2018">
        <v>0</v>
      </c>
      <c r="AD2018" t="s">
        <v>3842</v>
      </c>
    </row>
    <row r="2019" spans="1:30" x14ac:dyDescent="0.25">
      <c r="H2019" t="s">
        <v>3843</v>
      </c>
    </row>
    <row r="2020" spans="1:30" x14ac:dyDescent="0.25">
      <c r="A2020">
        <v>1007</v>
      </c>
      <c r="B2020">
        <v>2018</v>
      </c>
      <c r="C2020" t="s">
        <v>3844</v>
      </c>
      <c r="D2020" t="s">
        <v>3845</v>
      </c>
      <c r="E2020" t="s">
        <v>190</v>
      </c>
      <c r="F2020" t="s">
        <v>3846</v>
      </c>
      <c r="G2020" t="str">
        <f>"201511024303"</f>
        <v>201511024303</v>
      </c>
      <c r="H2020" t="s">
        <v>311</v>
      </c>
      <c r="I2020">
        <v>0</v>
      </c>
      <c r="J2020">
        <v>0</v>
      </c>
      <c r="K2020">
        <v>0</v>
      </c>
      <c r="L2020">
        <v>0</v>
      </c>
      <c r="M2020">
        <v>0</v>
      </c>
      <c r="N2020">
        <v>0</v>
      </c>
      <c r="O2020">
        <v>0</v>
      </c>
      <c r="P2020">
        <v>0</v>
      </c>
      <c r="Q2020">
        <v>0</v>
      </c>
      <c r="R2020">
        <v>0</v>
      </c>
      <c r="S2020">
        <v>0</v>
      </c>
      <c r="T2020">
        <v>0</v>
      </c>
      <c r="U2020">
        <v>0</v>
      </c>
      <c r="V2020">
        <v>78</v>
      </c>
      <c r="W2020">
        <v>546</v>
      </c>
      <c r="X2020">
        <v>0</v>
      </c>
      <c r="Z2020">
        <v>0</v>
      </c>
      <c r="AA2020">
        <v>0</v>
      </c>
      <c r="AB2020">
        <v>0</v>
      </c>
      <c r="AC2020">
        <v>0</v>
      </c>
      <c r="AD2020" t="s">
        <v>3847</v>
      </c>
    </row>
    <row r="2021" spans="1:30" x14ac:dyDescent="0.25">
      <c r="H2021" t="s">
        <v>3848</v>
      </c>
    </row>
    <row r="2022" spans="1:30" x14ac:dyDescent="0.25">
      <c r="A2022">
        <v>1008</v>
      </c>
      <c r="B2022">
        <v>2270</v>
      </c>
      <c r="C2022" t="s">
        <v>3849</v>
      </c>
      <c r="D2022" t="s">
        <v>162</v>
      </c>
      <c r="E2022" t="s">
        <v>107</v>
      </c>
      <c r="F2022" t="s">
        <v>3850</v>
      </c>
      <c r="G2022" t="str">
        <f>"00325554"</f>
        <v>00325554</v>
      </c>
      <c r="H2022">
        <v>759</v>
      </c>
      <c r="I2022">
        <v>0</v>
      </c>
      <c r="J2022">
        <v>0</v>
      </c>
      <c r="K2022">
        <v>0</v>
      </c>
      <c r="L2022">
        <v>200</v>
      </c>
      <c r="M2022">
        <v>0</v>
      </c>
      <c r="N2022">
        <v>50</v>
      </c>
      <c r="O2022">
        <v>0</v>
      </c>
      <c r="P2022">
        <v>0</v>
      </c>
      <c r="Q2022">
        <v>0</v>
      </c>
      <c r="R2022">
        <v>0</v>
      </c>
      <c r="S2022">
        <v>0</v>
      </c>
      <c r="T2022">
        <v>0</v>
      </c>
      <c r="U2022">
        <v>0</v>
      </c>
      <c r="V2022">
        <v>38</v>
      </c>
      <c r="W2022">
        <v>266</v>
      </c>
      <c r="X2022">
        <v>0</v>
      </c>
      <c r="Z2022">
        <v>0</v>
      </c>
      <c r="AA2022">
        <v>0</v>
      </c>
      <c r="AB2022">
        <v>0</v>
      </c>
      <c r="AC2022">
        <v>0</v>
      </c>
      <c r="AD2022">
        <v>1275</v>
      </c>
    </row>
    <row r="2023" spans="1:30" x14ac:dyDescent="0.25">
      <c r="H2023" t="s">
        <v>3851</v>
      </c>
    </row>
    <row r="2024" spans="1:30" x14ac:dyDescent="0.25">
      <c r="A2024">
        <v>1009</v>
      </c>
      <c r="B2024">
        <v>5499</v>
      </c>
      <c r="C2024" t="s">
        <v>3852</v>
      </c>
      <c r="D2024" t="s">
        <v>87</v>
      </c>
      <c r="E2024" t="s">
        <v>239</v>
      </c>
      <c r="F2024" t="s">
        <v>3853</v>
      </c>
      <c r="G2024" t="str">
        <f>"201412005714"</f>
        <v>201412005714</v>
      </c>
      <c r="H2024" t="s">
        <v>1235</v>
      </c>
      <c r="I2024">
        <v>0</v>
      </c>
      <c r="J2024">
        <v>0</v>
      </c>
      <c r="K2024">
        <v>0</v>
      </c>
      <c r="L2024">
        <v>200</v>
      </c>
      <c r="M2024">
        <v>0</v>
      </c>
      <c r="N2024">
        <v>0</v>
      </c>
      <c r="O2024">
        <v>0</v>
      </c>
      <c r="P2024">
        <v>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58</v>
      </c>
      <c r="W2024">
        <v>406</v>
      </c>
      <c r="X2024">
        <v>0</v>
      </c>
      <c r="Z2024">
        <v>0</v>
      </c>
      <c r="AA2024">
        <v>0</v>
      </c>
      <c r="AB2024">
        <v>0</v>
      </c>
      <c r="AC2024">
        <v>0</v>
      </c>
      <c r="AD2024" t="s">
        <v>3854</v>
      </c>
    </row>
    <row r="2025" spans="1:30" x14ac:dyDescent="0.25">
      <c r="H2025" t="s">
        <v>3855</v>
      </c>
    </row>
    <row r="2026" spans="1:30" x14ac:dyDescent="0.25">
      <c r="A2026">
        <v>1010</v>
      </c>
      <c r="B2026">
        <v>993</v>
      </c>
      <c r="C2026" t="s">
        <v>3856</v>
      </c>
      <c r="D2026" t="s">
        <v>335</v>
      </c>
      <c r="E2026" t="s">
        <v>2797</v>
      </c>
      <c r="F2026" t="s">
        <v>3857</v>
      </c>
      <c r="G2026" t="str">
        <f>"201406004251"</f>
        <v>201406004251</v>
      </c>
      <c r="H2026" t="s">
        <v>1063</v>
      </c>
      <c r="I2026">
        <v>0</v>
      </c>
      <c r="J2026">
        <v>0</v>
      </c>
      <c r="K2026">
        <v>0</v>
      </c>
      <c r="L2026">
        <v>200</v>
      </c>
      <c r="M2026">
        <v>0</v>
      </c>
      <c r="N2026">
        <v>50</v>
      </c>
      <c r="O2026">
        <v>0</v>
      </c>
      <c r="P2026">
        <v>0</v>
      </c>
      <c r="Q2026">
        <v>0</v>
      </c>
      <c r="R2026">
        <v>0</v>
      </c>
      <c r="S2026">
        <v>0</v>
      </c>
      <c r="T2026">
        <v>0</v>
      </c>
      <c r="U2026">
        <v>0</v>
      </c>
      <c r="V2026">
        <v>40</v>
      </c>
      <c r="W2026">
        <v>280</v>
      </c>
      <c r="X2026">
        <v>0</v>
      </c>
      <c r="Z2026">
        <v>0</v>
      </c>
      <c r="AA2026">
        <v>0</v>
      </c>
      <c r="AB2026">
        <v>0</v>
      </c>
      <c r="AC2026">
        <v>0</v>
      </c>
      <c r="AD2026" t="s">
        <v>3858</v>
      </c>
    </row>
    <row r="2027" spans="1:30" x14ac:dyDescent="0.25">
      <c r="H2027" t="s">
        <v>3859</v>
      </c>
    </row>
    <row r="2028" spans="1:30" x14ac:dyDescent="0.25">
      <c r="A2028">
        <v>1011</v>
      </c>
      <c r="B2028">
        <v>5570</v>
      </c>
      <c r="C2028" t="s">
        <v>3860</v>
      </c>
      <c r="D2028" t="s">
        <v>335</v>
      </c>
      <c r="E2028" t="s">
        <v>595</v>
      </c>
      <c r="F2028" t="s">
        <v>3861</v>
      </c>
      <c r="G2028" t="str">
        <f>"201412005812"</f>
        <v>201412005812</v>
      </c>
      <c r="H2028" t="s">
        <v>3862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0</v>
      </c>
      <c r="P2028">
        <v>0</v>
      </c>
      <c r="Q2028">
        <v>0</v>
      </c>
      <c r="R2028">
        <v>0</v>
      </c>
      <c r="S2028">
        <v>0</v>
      </c>
      <c r="T2028">
        <v>0</v>
      </c>
      <c r="U2028">
        <v>0</v>
      </c>
      <c r="V2028">
        <v>84</v>
      </c>
      <c r="W2028">
        <v>588</v>
      </c>
      <c r="X2028">
        <v>0</v>
      </c>
      <c r="Z2028">
        <v>0</v>
      </c>
      <c r="AA2028">
        <v>0</v>
      </c>
      <c r="AB2028">
        <v>0</v>
      </c>
      <c r="AC2028">
        <v>0</v>
      </c>
      <c r="AD2028" t="s">
        <v>3863</v>
      </c>
    </row>
    <row r="2029" spans="1:30" x14ac:dyDescent="0.25">
      <c r="H2029" t="s">
        <v>3864</v>
      </c>
    </row>
    <row r="2030" spans="1:30" x14ac:dyDescent="0.25">
      <c r="A2030">
        <v>1012</v>
      </c>
      <c r="B2030">
        <v>2680</v>
      </c>
      <c r="C2030" t="s">
        <v>3865</v>
      </c>
      <c r="D2030" t="s">
        <v>869</v>
      </c>
      <c r="E2030" t="s">
        <v>190</v>
      </c>
      <c r="F2030" t="s">
        <v>3866</v>
      </c>
      <c r="G2030" t="str">
        <f>"00220528"</f>
        <v>00220528</v>
      </c>
      <c r="H2030" t="s">
        <v>638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0</v>
      </c>
      <c r="O2030">
        <v>0</v>
      </c>
      <c r="P2030">
        <v>0</v>
      </c>
      <c r="Q2030">
        <v>0</v>
      </c>
      <c r="R2030">
        <v>0</v>
      </c>
      <c r="S2030">
        <v>0</v>
      </c>
      <c r="T2030">
        <v>0</v>
      </c>
      <c r="U2030">
        <v>0</v>
      </c>
      <c r="V2030">
        <v>81</v>
      </c>
      <c r="W2030">
        <v>567</v>
      </c>
      <c r="X2030">
        <v>0</v>
      </c>
      <c r="Z2030">
        <v>0</v>
      </c>
      <c r="AA2030">
        <v>0</v>
      </c>
      <c r="AB2030">
        <v>0</v>
      </c>
      <c r="AC2030">
        <v>0</v>
      </c>
      <c r="AD2030" t="s">
        <v>3867</v>
      </c>
    </row>
    <row r="2031" spans="1:30" x14ac:dyDescent="0.25">
      <c r="H2031" t="s">
        <v>3868</v>
      </c>
    </row>
    <row r="2032" spans="1:30" x14ac:dyDescent="0.25">
      <c r="A2032">
        <v>1013</v>
      </c>
      <c r="B2032">
        <v>4668</v>
      </c>
      <c r="C2032" t="s">
        <v>3869</v>
      </c>
      <c r="D2032" t="s">
        <v>661</v>
      </c>
      <c r="E2032" t="s">
        <v>547</v>
      </c>
      <c r="F2032" t="s">
        <v>3870</v>
      </c>
      <c r="G2032" t="str">
        <f>"201601001326"</f>
        <v>201601001326</v>
      </c>
      <c r="H2032" t="s">
        <v>470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30</v>
      </c>
      <c r="O2032">
        <v>0</v>
      </c>
      <c r="P2032">
        <v>0</v>
      </c>
      <c r="Q2032">
        <v>0</v>
      </c>
      <c r="R2032">
        <v>0</v>
      </c>
      <c r="S2032">
        <v>0</v>
      </c>
      <c r="T2032">
        <v>0</v>
      </c>
      <c r="U2032">
        <v>0</v>
      </c>
      <c r="V2032">
        <v>66</v>
      </c>
      <c r="W2032">
        <v>462</v>
      </c>
      <c r="X2032">
        <v>0</v>
      </c>
      <c r="Z2032">
        <v>0</v>
      </c>
      <c r="AA2032">
        <v>0</v>
      </c>
      <c r="AB2032">
        <v>0</v>
      </c>
      <c r="AC2032">
        <v>0</v>
      </c>
      <c r="AD2032" t="s">
        <v>3871</v>
      </c>
    </row>
    <row r="2033" spans="1:30" x14ac:dyDescent="0.25">
      <c r="H2033">
        <v>1247</v>
      </c>
    </row>
    <row r="2034" spans="1:30" x14ac:dyDescent="0.25">
      <c r="A2034">
        <v>1014</v>
      </c>
      <c r="B2034">
        <v>1299</v>
      </c>
      <c r="C2034" t="s">
        <v>1015</v>
      </c>
      <c r="D2034" t="s">
        <v>3872</v>
      </c>
      <c r="E2034" t="s">
        <v>1660</v>
      </c>
      <c r="F2034" t="s">
        <v>3873</v>
      </c>
      <c r="G2034" t="str">
        <f>"00173771"</f>
        <v>00173771</v>
      </c>
      <c r="H2034" t="s">
        <v>2325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70</v>
      </c>
      <c r="O2034">
        <v>30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  <c r="V2034">
        <v>60</v>
      </c>
      <c r="W2034">
        <v>420</v>
      </c>
      <c r="X2034">
        <v>6</v>
      </c>
      <c r="Y2034">
        <v>1251</v>
      </c>
      <c r="Z2034">
        <v>0</v>
      </c>
      <c r="AA2034">
        <v>0</v>
      </c>
      <c r="AB2034">
        <v>0</v>
      </c>
      <c r="AC2034">
        <v>0</v>
      </c>
      <c r="AD2034" t="s">
        <v>3874</v>
      </c>
    </row>
    <row r="2035" spans="1:30" x14ac:dyDescent="0.25">
      <c r="H2035">
        <v>1251</v>
      </c>
    </row>
    <row r="2036" spans="1:30" x14ac:dyDescent="0.25">
      <c r="A2036">
        <v>1015</v>
      </c>
      <c r="B2036">
        <v>1085</v>
      </c>
      <c r="C2036" t="s">
        <v>3875</v>
      </c>
      <c r="D2036" t="s">
        <v>140</v>
      </c>
      <c r="E2036" t="s">
        <v>151</v>
      </c>
      <c r="F2036" t="s">
        <v>3876</v>
      </c>
      <c r="G2036" t="str">
        <f>"201412000088"</f>
        <v>201412000088</v>
      </c>
      <c r="H2036" t="s">
        <v>1850</v>
      </c>
      <c r="I2036">
        <v>0</v>
      </c>
      <c r="J2036">
        <v>0</v>
      </c>
      <c r="K2036">
        <v>0</v>
      </c>
      <c r="L2036">
        <v>0</v>
      </c>
      <c r="M2036">
        <v>0</v>
      </c>
      <c r="N2036">
        <v>50</v>
      </c>
      <c r="O2036">
        <v>0</v>
      </c>
      <c r="P2036">
        <v>0</v>
      </c>
      <c r="Q2036">
        <v>0</v>
      </c>
      <c r="R2036">
        <v>0</v>
      </c>
      <c r="S2036">
        <v>0</v>
      </c>
      <c r="T2036">
        <v>0</v>
      </c>
      <c r="U2036">
        <v>0</v>
      </c>
      <c r="V2036">
        <v>74</v>
      </c>
      <c r="W2036">
        <v>518</v>
      </c>
      <c r="X2036">
        <v>0</v>
      </c>
      <c r="Z2036">
        <v>0</v>
      </c>
      <c r="AA2036">
        <v>0</v>
      </c>
      <c r="AB2036">
        <v>0</v>
      </c>
      <c r="AC2036">
        <v>0</v>
      </c>
      <c r="AD2036" t="s">
        <v>3877</v>
      </c>
    </row>
    <row r="2037" spans="1:30" x14ac:dyDescent="0.25">
      <c r="H2037" t="s">
        <v>3878</v>
      </c>
    </row>
    <row r="2038" spans="1:30" x14ac:dyDescent="0.25">
      <c r="A2038">
        <v>1016</v>
      </c>
      <c r="B2038">
        <v>5046</v>
      </c>
      <c r="C2038" t="s">
        <v>3879</v>
      </c>
      <c r="D2038" t="s">
        <v>40</v>
      </c>
      <c r="E2038" t="s">
        <v>47</v>
      </c>
      <c r="F2038" t="s">
        <v>3880</v>
      </c>
      <c r="G2038" t="str">
        <f>"201402011507"</f>
        <v>201402011507</v>
      </c>
      <c r="H2038">
        <v>737</v>
      </c>
      <c r="I2038">
        <v>0</v>
      </c>
      <c r="J2038">
        <v>0</v>
      </c>
      <c r="K2038">
        <v>0</v>
      </c>
      <c r="L2038">
        <v>200</v>
      </c>
      <c r="M2038">
        <v>0</v>
      </c>
      <c r="N2038">
        <v>0</v>
      </c>
      <c r="O2038">
        <v>0</v>
      </c>
      <c r="P2038">
        <v>0</v>
      </c>
      <c r="Q2038">
        <v>0</v>
      </c>
      <c r="R2038">
        <v>0</v>
      </c>
      <c r="S2038">
        <v>0</v>
      </c>
      <c r="T2038">
        <v>0</v>
      </c>
      <c r="U2038">
        <v>0</v>
      </c>
      <c r="V2038">
        <v>48</v>
      </c>
      <c r="W2038">
        <v>336</v>
      </c>
      <c r="X2038">
        <v>0</v>
      </c>
      <c r="Z2038">
        <v>0</v>
      </c>
      <c r="AA2038">
        <v>0</v>
      </c>
      <c r="AB2038">
        <v>0</v>
      </c>
      <c r="AC2038">
        <v>0</v>
      </c>
      <c r="AD2038">
        <v>1273</v>
      </c>
    </row>
    <row r="2039" spans="1:30" x14ac:dyDescent="0.25">
      <c r="H2039" t="s">
        <v>3881</v>
      </c>
    </row>
    <row r="2040" spans="1:30" x14ac:dyDescent="0.25">
      <c r="A2040">
        <v>1017</v>
      </c>
      <c r="B2040">
        <v>2058</v>
      </c>
      <c r="C2040" t="s">
        <v>3882</v>
      </c>
      <c r="D2040" t="s">
        <v>1465</v>
      </c>
      <c r="E2040" t="s">
        <v>99</v>
      </c>
      <c r="F2040" t="s">
        <v>3883</v>
      </c>
      <c r="G2040" t="str">
        <f>"00022337"</f>
        <v>00022337</v>
      </c>
      <c r="H2040">
        <v>704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30</v>
      </c>
      <c r="O2040">
        <v>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  <c r="V2040">
        <v>77</v>
      </c>
      <c r="W2040">
        <v>539</v>
      </c>
      <c r="X2040">
        <v>0</v>
      </c>
      <c r="Z2040">
        <v>2</v>
      </c>
      <c r="AA2040">
        <v>0</v>
      </c>
      <c r="AB2040">
        <v>0</v>
      </c>
      <c r="AC2040">
        <v>0</v>
      </c>
      <c r="AD2040">
        <v>1273</v>
      </c>
    </row>
    <row r="2041" spans="1:30" x14ac:dyDescent="0.25">
      <c r="H2041" t="s">
        <v>132</v>
      </c>
    </row>
    <row r="2042" spans="1:30" x14ac:dyDescent="0.25">
      <c r="A2042">
        <v>1018</v>
      </c>
      <c r="B2042">
        <v>603</v>
      </c>
      <c r="C2042" t="s">
        <v>3884</v>
      </c>
      <c r="D2042" t="s">
        <v>151</v>
      </c>
      <c r="E2042" t="s">
        <v>1265</v>
      </c>
      <c r="F2042" t="s">
        <v>3885</v>
      </c>
      <c r="G2042" t="str">
        <f>"201406008982"</f>
        <v>201406008982</v>
      </c>
      <c r="H2042">
        <v>671</v>
      </c>
      <c r="I2042">
        <v>0</v>
      </c>
      <c r="J2042">
        <v>0</v>
      </c>
      <c r="K2042">
        <v>0</v>
      </c>
      <c r="L2042">
        <v>0</v>
      </c>
      <c r="M2042">
        <v>0</v>
      </c>
      <c r="N2042">
        <v>70</v>
      </c>
      <c r="O2042">
        <v>0</v>
      </c>
      <c r="P2042">
        <v>0</v>
      </c>
      <c r="Q2042">
        <v>0</v>
      </c>
      <c r="R2042">
        <v>0</v>
      </c>
      <c r="S2042">
        <v>0</v>
      </c>
      <c r="T2042">
        <v>0</v>
      </c>
      <c r="U2042">
        <v>0</v>
      </c>
      <c r="V2042">
        <v>76</v>
      </c>
      <c r="W2042">
        <v>532</v>
      </c>
      <c r="X2042">
        <v>0</v>
      </c>
      <c r="Z2042">
        <v>0</v>
      </c>
      <c r="AA2042">
        <v>0</v>
      </c>
      <c r="AB2042">
        <v>0</v>
      </c>
      <c r="AC2042">
        <v>0</v>
      </c>
      <c r="AD2042">
        <v>1273</v>
      </c>
    </row>
    <row r="2043" spans="1:30" x14ac:dyDescent="0.25">
      <c r="H2043" t="s">
        <v>3886</v>
      </c>
    </row>
    <row r="2044" spans="1:30" x14ac:dyDescent="0.25">
      <c r="A2044">
        <v>1019</v>
      </c>
      <c r="B2044">
        <v>4593</v>
      </c>
      <c r="C2044" t="s">
        <v>3887</v>
      </c>
      <c r="D2044" t="s">
        <v>494</v>
      </c>
      <c r="E2044" t="s">
        <v>1081</v>
      </c>
      <c r="F2044" t="s">
        <v>3888</v>
      </c>
      <c r="G2044" t="str">
        <f>"00298055"</f>
        <v>00298055</v>
      </c>
      <c r="H2044" t="s">
        <v>1726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30</v>
      </c>
      <c r="O2044">
        <v>0</v>
      </c>
      <c r="P2044">
        <v>0</v>
      </c>
      <c r="Q2044">
        <v>0</v>
      </c>
      <c r="R2044">
        <v>0</v>
      </c>
      <c r="S2044">
        <v>0</v>
      </c>
      <c r="T2044">
        <v>0</v>
      </c>
      <c r="U2044">
        <v>0</v>
      </c>
      <c r="V2044">
        <v>63</v>
      </c>
      <c r="W2044">
        <v>441</v>
      </c>
      <c r="X2044">
        <v>0</v>
      </c>
      <c r="Z2044">
        <v>1</v>
      </c>
      <c r="AA2044">
        <v>0</v>
      </c>
      <c r="AB2044">
        <v>0</v>
      </c>
      <c r="AC2044">
        <v>0</v>
      </c>
      <c r="AD2044" t="s">
        <v>3889</v>
      </c>
    </row>
    <row r="2045" spans="1:30" x14ac:dyDescent="0.25">
      <c r="H2045" t="s">
        <v>3890</v>
      </c>
    </row>
    <row r="2046" spans="1:30" x14ac:dyDescent="0.25">
      <c r="A2046">
        <v>1020</v>
      </c>
      <c r="B2046">
        <v>261</v>
      </c>
      <c r="C2046" t="s">
        <v>3891</v>
      </c>
      <c r="D2046" t="s">
        <v>39</v>
      </c>
      <c r="E2046" t="s">
        <v>162</v>
      </c>
      <c r="F2046" t="s">
        <v>3892</v>
      </c>
      <c r="G2046" t="str">
        <f>"00269051"</f>
        <v>00269051</v>
      </c>
      <c r="H2046" t="s">
        <v>3893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30</v>
      </c>
      <c r="O2046">
        <v>0</v>
      </c>
      <c r="P2046">
        <v>0</v>
      </c>
      <c r="Q2046">
        <v>0</v>
      </c>
      <c r="R2046">
        <v>0</v>
      </c>
      <c r="S2046">
        <v>0</v>
      </c>
      <c r="T2046">
        <v>0</v>
      </c>
      <c r="U2046">
        <v>0</v>
      </c>
      <c r="V2046">
        <v>80</v>
      </c>
      <c r="W2046">
        <v>560</v>
      </c>
      <c r="X2046">
        <v>0</v>
      </c>
      <c r="Z2046">
        <v>0</v>
      </c>
      <c r="AA2046">
        <v>0</v>
      </c>
      <c r="AB2046">
        <v>4</v>
      </c>
      <c r="AC2046">
        <v>68</v>
      </c>
      <c r="AD2046" t="s">
        <v>3889</v>
      </c>
    </row>
    <row r="2047" spans="1:30" x14ac:dyDescent="0.25">
      <c r="H2047" t="s">
        <v>3894</v>
      </c>
    </row>
    <row r="2048" spans="1:30" x14ac:dyDescent="0.25">
      <c r="A2048">
        <v>1021</v>
      </c>
      <c r="B2048">
        <v>1776</v>
      </c>
      <c r="C2048" t="s">
        <v>3895</v>
      </c>
      <c r="D2048" t="s">
        <v>526</v>
      </c>
      <c r="E2048" t="s">
        <v>3896</v>
      </c>
      <c r="F2048" t="s">
        <v>3897</v>
      </c>
      <c r="G2048" t="str">
        <f>"00311817"</f>
        <v>00311817</v>
      </c>
      <c r="H2048" t="s">
        <v>3132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0</v>
      </c>
      <c r="O2048">
        <v>0</v>
      </c>
      <c r="P2048">
        <v>0</v>
      </c>
      <c r="Q2048">
        <v>0</v>
      </c>
      <c r="R2048">
        <v>0</v>
      </c>
      <c r="S2048">
        <v>0</v>
      </c>
      <c r="T2048">
        <v>0</v>
      </c>
      <c r="U2048">
        <v>0</v>
      </c>
      <c r="V2048">
        <v>84</v>
      </c>
      <c r="W2048">
        <v>588</v>
      </c>
      <c r="X2048">
        <v>0</v>
      </c>
      <c r="Z2048">
        <v>0</v>
      </c>
      <c r="AA2048">
        <v>0</v>
      </c>
      <c r="AB2048">
        <v>0</v>
      </c>
      <c r="AC2048">
        <v>0</v>
      </c>
      <c r="AD2048" t="s">
        <v>3898</v>
      </c>
    </row>
    <row r="2049" spans="1:30" x14ac:dyDescent="0.25">
      <c r="H2049" t="s">
        <v>3899</v>
      </c>
    </row>
    <row r="2050" spans="1:30" x14ac:dyDescent="0.25">
      <c r="A2050">
        <v>1022</v>
      </c>
      <c r="B2050">
        <v>3800</v>
      </c>
      <c r="C2050" t="s">
        <v>3900</v>
      </c>
      <c r="D2050" t="s">
        <v>3901</v>
      </c>
      <c r="E2050" t="s">
        <v>47</v>
      </c>
      <c r="F2050" t="s">
        <v>3902</v>
      </c>
      <c r="G2050" t="str">
        <f>"201410002532"</f>
        <v>201410002532</v>
      </c>
      <c r="H2050" t="s">
        <v>146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30</v>
      </c>
      <c r="O2050">
        <v>0</v>
      </c>
      <c r="P2050">
        <v>0</v>
      </c>
      <c r="Q2050">
        <v>0</v>
      </c>
      <c r="R2050">
        <v>0</v>
      </c>
      <c r="S2050">
        <v>0</v>
      </c>
      <c r="T2050">
        <v>0</v>
      </c>
      <c r="U2050">
        <v>0</v>
      </c>
      <c r="V2050">
        <v>11</v>
      </c>
      <c r="W2050">
        <v>77</v>
      </c>
      <c r="X2050">
        <v>0</v>
      </c>
      <c r="Z2050">
        <v>0</v>
      </c>
      <c r="AA2050">
        <v>0</v>
      </c>
      <c r="AB2050">
        <v>24</v>
      </c>
      <c r="AC2050">
        <v>408</v>
      </c>
      <c r="AD2050" t="s">
        <v>3903</v>
      </c>
    </row>
    <row r="2051" spans="1:30" x14ac:dyDescent="0.25">
      <c r="H2051">
        <v>1247</v>
      </c>
    </row>
    <row r="2052" spans="1:30" x14ac:dyDescent="0.25">
      <c r="A2052">
        <v>1023</v>
      </c>
      <c r="B2052">
        <v>611</v>
      </c>
      <c r="C2052" t="s">
        <v>3904</v>
      </c>
      <c r="D2052" t="s">
        <v>1269</v>
      </c>
      <c r="E2052" t="s">
        <v>51</v>
      </c>
      <c r="F2052" t="s">
        <v>3905</v>
      </c>
      <c r="G2052" t="str">
        <f>"200812000797"</f>
        <v>200812000797</v>
      </c>
      <c r="H2052" t="s">
        <v>3906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70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  <c r="V2052">
        <v>23</v>
      </c>
      <c r="W2052">
        <v>161</v>
      </c>
      <c r="X2052">
        <v>0</v>
      </c>
      <c r="Z2052">
        <v>0</v>
      </c>
      <c r="AA2052">
        <v>0</v>
      </c>
      <c r="AB2052">
        <v>24</v>
      </c>
      <c r="AC2052">
        <v>408</v>
      </c>
      <c r="AD2052" t="s">
        <v>3907</v>
      </c>
    </row>
    <row r="2053" spans="1:30" x14ac:dyDescent="0.25">
      <c r="H2053" t="s">
        <v>3908</v>
      </c>
    </row>
    <row r="2054" spans="1:30" x14ac:dyDescent="0.25">
      <c r="A2054">
        <v>1024</v>
      </c>
      <c r="B2054">
        <v>4515</v>
      </c>
      <c r="C2054" t="s">
        <v>1971</v>
      </c>
      <c r="D2054" t="s">
        <v>162</v>
      </c>
      <c r="E2054" t="s">
        <v>140</v>
      </c>
      <c r="F2054" t="s">
        <v>3909</v>
      </c>
      <c r="G2054" t="str">
        <f>"201406004390"</f>
        <v>201406004390</v>
      </c>
      <c r="H2054" t="s">
        <v>3910</v>
      </c>
      <c r="I2054">
        <v>0</v>
      </c>
      <c r="J2054">
        <v>0</v>
      </c>
      <c r="K2054">
        <v>0</v>
      </c>
      <c r="L2054">
        <v>200</v>
      </c>
      <c r="M2054">
        <v>0</v>
      </c>
      <c r="N2054">
        <v>30</v>
      </c>
      <c r="O2054">
        <v>0</v>
      </c>
      <c r="P2054">
        <v>0</v>
      </c>
      <c r="Q2054">
        <v>0</v>
      </c>
      <c r="R2054">
        <v>0</v>
      </c>
      <c r="S2054">
        <v>0</v>
      </c>
      <c r="T2054">
        <v>0</v>
      </c>
      <c r="U2054">
        <v>0</v>
      </c>
      <c r="V2054">
        <v>19</v>
      </c>
      <c r="W2054">
        <v>133</v>
      </c>
      <c r="X2054">
        <v>0</v>
      </c>
      <c r="Z2054">
        <v>0</v>
      </c>
      <c r="AA2054">
        <v>0</v>
      </c>
      <c r="AB2054">
        <v>0</v>
      </c>
      <c r="AC2054">
        <v>0</v>
      </c>
      <c r="AD2054" t="s">
        <v>3911</v>
      </c>
    </row>
    <row r="2055" spans="1:30" x14ac:dyDescent="0.25">
      <c r="H2055" t="s">
        <v>3912</v>
      </c>
    </row>
    <row r="2056" spans="1:30" x14ac:dyDescent="0.25">
      <c r="A2056">
        <v>1025</v>
      </c>
      <c r="B2056">
        <v>5617</v>
      </c>
      <c r="C2056" t="s">
        <v>3913</v>
      </c>
      <c r="D2056" t="s">
        <v>183</v>
      </c>
      <c r="E2056" t="s">
        <v>162</v>
      </c>
      <c r="F2056" t="s">
        <v>3914</v>
      </c>
      <c r="G2056" t="str">
        <f>"201511038208"</f>
        <v>201511038208</v>
      </c>
      <c r="H2056">
        <v>682</v>
      </c>
      <c r="I2056">
        <v>0</v>
      </c>
      <c r="J2056">
        <v>0</v>
      </c>
      <c r="K2056">
        <v>0</v>
      </c>
      <c r="L2056">
        <v>0</v>
      </c>
      <c r="M2056">
        <v>0</v>
      </c>
      <c r="N2056">
        <v>0</v>
      </c>
      <c r="O2056">
        <v>0</v>
      </c>
      <c r="P2056">
        <v>0</v>
      </c>
      <c r="Q2056">
        <v>0</v>
      </c>
      <c r="R2056">
        <v>0</v>
      </c>
      <c r="S2056">
        <v>0</v>
      </c>
      <c r="T2056">
        <v>0</v>
      </c>
      <c r="U2056">
        <v>0</v>
      </c>
      <c r="V2056">
        <v>84</v>
      </c>
      <c r="W2056">
        <v>588</v>
      </c>
      <c r="X2056">
        <v>0</v>
      </c>
      <c r="Z2056">
        <v>0</v>
      </c>
      <c r="AA2056">
        <v>0</v>
      </c>
      <c r="AB2056">
        <v>0</v>
      </c>
      <c r="AC2056">
        <v>0</v>
      </c>
      <c r="AD2056">
        <v>1270</v>
      </c>
    </row>
    <row r="2057" spans="1:30" x14ac:dyDescent="0.25">
      <c r="H2057" t="s">
        <v>3915</v>
      </c>
    </row>
    <row r="2058" spans="1:30" x14ac:dyDescent="0.25">
      <c r="A2058">
        <v>1026</v>
      </c>
      <c r="B2058">
        <v>4810</v>
      </c>
      <c r="C2058" t="s">
        <v>2737</v>
      </c>
      <c r="D2058" t="s">
        <v>40</v>
      </c>
      <c r="E2058" t="s">
        <v>39</v>
      </c>
      <c r="F2058" t="s">
        <v>3916</v>
      </c>
      <c r="G2058" t="str">
        <f>"200802011824"</f>
        <v>200802011824</v>
      </c>
      <c r="H2058">
        <v>682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0</v>
      </c>
      <c r="O2058">
        <v>0</v>
      </c>
      <c r="P2058">
        <v>0</v>
      </c>
      <c r="Q2058">
        <v>0</v>
      </c>
      <c r="R2058">
        <v>0</v>
      </c>
      <c r="S2058">
        <v>0</v>
      </c>
      <c r="T2058">
        <v>0</v>
      </c>
      <c r="U2058">
        <v>0</v>
      </c>
      <c r="V2058">
        <v>84</v>
      </c>
      <c r="W2058">
        <v>588</v>
      </c>
      <c r="X2058">
        <v>0</v>
      </c>
      <c r="Z2058">
        <v>0</v>
      </c>
      <c r="AA2058">
        <v>0</v>
      </c>
      <c r="AB2058">
        <v>0</v>
      </c>
      <c r="AC2058">
        <v>0</v>
      </c>
      <c r="AD2058">
        <v>1270</v>
      </c>
    </row>
    <row r="2059" spans="1:30" x14ac:dyDescent="0.25">
      <c r="H2059" t="s">
        <v>3917</v>
      </c>
    </row>
    <row r="2060" spans="1:30" x14ac:dyDescent="0.25">
      <c r="A2060">
        <v>1027</v>
      </c>
      <c r="B2060">
        <v>3301</v>
      </c>
      <c r="C2060" t="s">
        <v>3918</v>
      </c>
      <c r="D2060" t="s">
        <v>262</v>
      </c>
      <c r="E2060" t="s">
        <v>176</v>
      </c>
      <c r="F2060" t="s">
        <v>3919</v>
      </c>
      <c r="G2060" t="str">
        <f>"201511014724"</f>
        <v>201511014724</v>
      </c>
      <c r="H2060">
        <v>682</v>
      </c>
      <c r="I2060">
        <v>0</v>
      </c>
      <c r="J2060">
        <v>0</v>
      </c>
      <c r="K2060">
        <v>0</v>
      </c>
      <c r="L2060">
        <v>0</v>
      </c>
      <c r="M2060">
        <v>0</v>
      </c>
      <c r="N2060">
        <v>0</v>
      </c>
      <c r="O2060">
        <v>0</v>
      </c>
      <c r="P2060">
        <v>0</v>
      </c>
      <c r="Q2060">
        <v>0</v>
      </c>
      <c r="R2060">
        <v>0</v>
      </c>
      <c r="S2060">
        <v>0</v>
      </c>
      <c r="T2060">
        <v>0</v>
      </c>
      <c r="U2060">
        <v>0</v>
      </c>
      <c r="V2060">
        <v>84</v>
      </c>
      <c r="W2060">
        <v>588</v>
      </c>
      <c r="X2060">
        <v>0</v>
      </c>
      <c r="Z2060">
        <v>0</v>
      </c>
      <c r="AA2060">
        <v>0</v>
      </c>
      <c r="AB2060">
        <v>0</v>
      </c>
      <c r="AC2060">
        <v>0</v>
      </c>
      <c r="AD2060">
        <v>1270</v>
      </c>
    </row>
    <row r="2061" spans="1:30" x14ac:dyDescent="0.25">
      <c r="H2061" t="s">
        <v>3920</v>
      </c>
    </row>
    <row r="2062" spans="1:30" x14ac:dyDescent="0.25">
      <c r="A2062">
        <v>1028</v>
      </c>
      <c r="B2062">
        <v>6056</v>
      </c>
      <c r="C2062" t="s">
        <v>3921</v>
      </c>
      <c r="D2062" t="s">
        <v>335</v>
      </c>
      <c r="E2062" t="s">
        <v>39</v>
      </c>
      <c r="F2062" t="s">
        <v>3922</v>
      </c>
      <c r="G2062" t="str">
        <f>"201406001167"</f>
        <v>201406001167</v>
      </c>
      <c r="H2062" t="s">
        <v>818</v>
      </c>
      <c r="I2062">
        <v>0</v>
      </c>
      <c r="J2062">
        <v>0</v>
      </c>
      <c r="K2062">
        <v>0</v>
      </c>
      <c r="L2062">
        <v>200</v>
      </c>
      <c r="M2062">
        <v>0</v>
      </c>
      <c r="N2062">
        <v>30</v>
      </c>
      <c r="O2062">
        <v>0</v>
      </c>
      <c r="P2062">
        <v>0</v>
      </c>
      <c r="Q2062">
        <v>0</v>
      </c>
      <c r="R2062">
        <v>0</v>
      </c>
      <c r="S2062">
        <v>0</v>
      </c>
      <c r="T2062">
        <v>0</v>
      </c>
      <c r="U2062">
        <v>0</v>
      </c>
      <c r="V2062">
        <v>39</v>
      </c>
      <c r="W2062">
        <v>273</v>
      </c>
      <c r="X2062">
        <v>0</v>
      </c>
      <c r="Z2062">
        <v>1</v>
      </c>
      <c r="AA2062">
        <v>0</v>
      </c>
      <c r="AB2062">
        <v>0</v>
      </c>
      <c r="AC2062">
        <v>0</v>
      </c>
      <c r="AD2062" t="s">
        <v>3923</v>
      </c>
    </row>
    <row r="2063" spans="1:30" x14ac:dyDescent="0.25">
      <c r="H2063" t="s">
        <v>3924</v>
      </c>
    </row>
    <row r="2064" spans="1:30" x14ac:dyDescent="0.25">
      <c r="A2064">
        <v>1029</v>
      </c>
      <c r="B2064">
        <v>5724</v>
      </c>
      <c r="C2064" t="s">
        <v>3925</v>
      </c>
      <c r="D2064" t="s">
        <v>335</v>
      </c>
      <c r="E2064" t="s">
        <v>1603</v>
      </c>
      <c r="F2064" t="s">
        <v>3926</v>
      </c>
      <c r="G2064" t="str">
        <f>"00327706"</f>
        <v>00327706</v>
      </c>
      <c r="H2064" t="s">
        <v>2705</v>
      </c>
      <c r="I2064">
        <v>0</v>
      </c>
      <c r="J2064">
        <v>0</v>
      </c>
      <c r="K2064">
        <v>0</v>
      </c>
      <c r="L2064">
        <v>0</v>
      </c>
      <c r="M2064">
        <v>0</v>
      </c>
      <c r="N2064">
        <v>0</v>
      </c>
      <c r="O2064">
        <v>0</v>
      </c>
      <c r="P2064">
        <v>0</v>
      </c>
      <c r="Q2064">
        <v>0</v>
      </c>
      <c r="R2064">
        <v>0</v>
      </c>
      <c r="S2064">
        <v>0</v>
      </c>
      <c r="T2064">
        <v>0</v>
      </c>
      <c r="U2064">
        <v>0</v>
      </c>
      <c r="V2064">
        <v>84</v>
      </c>
      <c r="W2064">
        <v>588</v>
      </c>
      <c r="X2064">
        <v>0</v>
      </c>
      <c r="Z2064">
        <v>0</v>
      </c>
      <c r="AA2064">
        <v>0</v>
      </c>
      <c r="AB2064">
        <v>0</v>
      </c>
      <c r="AC2064">
        <v>0</v>
      </c>
      <c r="AD2064" t="s">
        <v>3927</v>
      </c>
    </row>
    <row r="2065" spans="1:30" x14ac:dyDescent="0.25">
      <c r="H2065" t="s">
        <v>3928</v>
      </c>
    </row>
    <row r="2066" spans="1:30" x14ac:dyDescent="0.25">
      <c r="A2066">
        <v>1030</v>
      </c>
      <c r="B2066">
        <v>110</v>
      </c>
      <c r="C2066" t="s">
        <v>3929</v>
      </c>
      <c r="D2066" t="s">
        <v>223</v>
      </c>
      <c r="E2066" t="s">
        <v>290</v>
      </c>
      <c r="F2066" t="s">
        <v>3930</v>
      </c>
      <c r="G2066" t="str">
        <f>"200906000109"</f>
        <v>200906000109</v>
      </c>
      <c r="H2066" t="s">
        <v>740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30</v>
      </c>
      <c r="O2066">
        <v>0</v>
      </c>
      <c r="P2066">
        <v>0</v>
      </c>
      <c r="Q2066">
        <v>0</v>
      </c>
      <c r="R2066">
        <v>0</v>
      </c>
      <c r="S2066">
        <v>0</v>
      </c>
      <c r="T2066">
        <v>0</v>
      </c>
      <c r="U2066">
        <v>0</v>
      </c>
      <c r="V2066">
        <v>79</v>
      </c>
      <c r="W2066">
        <v>553</v>
      </c>
      <c r="X2066">
        <v>0</v>
      </c>
      <c r="Z2066">
        <v>0</v>
      </c>
      <c r="AA2066">
        <v>0</v>
      </c>
      <c r="AB2066">
        <v>0</v>
      </c>
      <c r="AC2066">
        <v>0</v>
      </c>
      <c r="AD2066" t="s">
        <v>3931</v>
      </c>
    </row>
    <row r="2067" spans="1:30" x14ac:dyDescent="0.25">
      <c r="H2067">
        <v>1247</v>
      </c>
    </row>
    <row r="2068" spans="1:30" x14ac:dyDescent="0.25">
      <c r="A2068">
        <v>1031</v>
      </c>
      <c r="B2068">
        <v>1599</v>
      </c>
      <c r="C2068" t="s">
        <v>1230</v>
      </c>
      <c r="D2068" t="s">
        <v>151</v>
      </c>
      <c r="E2068" t="s">
        <v>39</v>
      </c>
      <c r="F2068" t="s">
        <v>3932</v>
      </c>
      <c r="G2068" t="str">
        <f>"201412004150"</f>
        <v>201412004150</v>
      </c>
      <c r="H2068" t="s">
        <v>1303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30</v>
      </c>
      <c r="O2068">
        <v>0</v>
      </c>
      <c r="P2068">
        <v>0</v>
      </c>
      <c r="Q2068">
        <v>0</v>
      </c>
      <c r="R2068">
        <v>0</v>
      </c>
      <c r="S2068">
        <v>0</v>
      </c>
      <c r="T2068">
        <v>0</v>
      </c>
      <c r="U2068">
        <v>0</v>
      </c>
      <c r="V2068">
        <v>76</v>
      </c>
      <c r="W2068">
        <v>532</v>
      </c>
      <c r="X2068">
        <v>0</v>
      </c>
      <c r="Z2068">
        <v>0</v>
      </c>
      <c r="AA2068">
        <v>0</v>
      </c>
      <c r="AB2068">
        <v>0</v>
      </c>
      <c r="AC2068">
        <v>0</v>
      </c>
      <c r="AD2068" t="s">
        <v>3933</v>
      </c>
    </row>
    <row r="2069" spans="1:30" x14ac:dyDescent="0.25">
      <c r="H2069" t="s">
        <v>3934</v>
      </c>
    </row>
    <row r="2070" spans="1:30" x14ac:dyDescent="0.25">
      <c r="A2070">
        <v>1032</v>
      </c>
      <c r="B2070">
        <v>2174</v>
      </c>
      <c r="C2070" t="s">
        <v>3935</v>
      </c>
      <c r="D2070" t="s">
        <v>335</v>
      </c>
      <c r="E2070" t="s">
        <v>87</v>
      </c>
      <c r="F2070" t="s">
        <v>3936</v>
      </c>
      <c r="G2070" t="str">
        <f>"00271064"</f>
        <v>00271064</v>
      </c>
      <c r="H2070">
        <v>825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30</v>
      </c>
      <c r="O2070">
        <v>0</v>
      </c>
      <c r="P2070">
        <v>0</v>
      </c>
      <c r="Q2070">
        <v>0</v>
      </c>
      <c r="R2070">
        <v>0</v>
      </c>
      <c r="S2070">
        <v>0</v>
      </c>
      <c r="T2070">
        <v>0</v>
      </c>
      <c r="U2070">
        <v>0</v>
      </c>
      <c r="V2070">
        <v>59</v>
      </c>
      <c r="W2070">
        <v>413</v>
      </c>
      <c r="X2070">
        <v>0</v>
      </c>
      <c r="Z2070">
        <v>2</v>
      </c>
      <c r="AA2070">
        <v>0</v>
      </c>
      <c r="AB2070">
        <v>0</v>
      </c>
      <c r="AC2070">
        <v>0</v>
      </c>
      <c r="AD2070">
        <v>1268</v>
      </c>
    </row>
    <row r="2071" spans="1:30" x14ac:dyDescent="0.25">
      <c r="H2071" t="s">
        <v>3937</v>
      </c>
    </row>
    <row r="2072" spans="1:30" x14ac:dyDescent="0.25">
      <c r="A2072">
        <v>1033</v>
      </c>
      <c r="B2072">
        <v>3889</v>
      </c>
      <c r="C2072" t="s">
        <v>3938</v>
      </c>
      <c r="D2072" t="s">
        <v>15</v>
      </c>
      <c r="E2072" t="s">
        <v>290</v>
      </c>
      <c r="F2072" t="s">
        <v>3939</v>
      </c>
      <c r="G2072" t="str">
        <f>"00361018"</f>
        <v>00361018</v>
      </c>
      <c r="H2072">
        <v>649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30</v>
      </c>
      <c r="O2072">
        <v>0</v>
      </c>
      <c r="P2072">
        <v>0</v>
      </c>
      <c r="Q2072">
        <v>0</v>
      </c>
      <c r="R2072">
        <v>0</v>
      </c>
      <c r="S2072">
        <v>0</v>
      </c>
      <c r="T2072">
        <v>0</v>
      </c>
      <c r="U2072">
        <v>0</v>
      </c>
      <c r="V2072">
        <v>84</v>
      </c>
      <c r="W2072">
        <v>588</v>
      </c>
      <c r="X2072">
        <v>0</v>
      </c>
      <c r="Z2072">
        <v>0</v>
      </c>
      <c r="AA2072">
        <v>0</v>
      </c>
      <c r="AB2072">
        <v>0</v>
      </c>
      <c r="AC2072">
        <v>0</v>
      </c>
      <c r="AD2072">
        <v>1267</v>
      </c>
    </row>
    <row r="2073" spans="1:30" x14ac:dyDescent="0.25">
      <c r="H2073">
        <v>1247</v>
      </c>
    </row>
    <row r="2074" spans="1:30" x14ac:dyDescent="0.25">
      <c r="A2074">
        <v>1034</v>
      </c>
      <c r="B2074">
        <v>1405</v>
      </c>
      <c r="C2074" t="s">
        <v>3940</v>
      </c>
      <c r="D2074" t="s">
        <v>3941</v>
      </c>
      <c r="E2074" t="s">
        <v>1620</v>
      </c>
      <c r="F2074" t="s">
        <v>3942</v>
      </c>
      <c r="G2074" t="str">
        <f>"201511013032"</f>
        <v>201511013032</v>
      </c>
      <c r="H2074">
        <v>649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30</v>
      </c>
      <c r="O2074">
        <v>0</v>
      </c>
      <c r="P2074">
        <v>0</v>
      </c>
      <c r="Q2074">
        <v>0</v>
      </c>
      <c r="R2074">
        <v>0</v>
      </c>
      <c r="S2074">
        <v>0</v>
      </c>
      <c r="T2074">
        <v>0</v>
      </c>
      <c r="U2074">
        <v>0</v>
      </c>
      <c r="V2074">
        <v>84</v>
      </c>
      <c r="W2074">
        <v>588</v>
      </c>
      <c r="X2074">
        <v>0</v>
      </c>
      <c r="Z2074">
        <v>0</v>
      </c>
      <c r="AA2074">
        <v>0</v>
      </c>
      <c r="AB2074">
        <v>0</v>
      </c>
      <c r="AC2074">
        <v>0</v>
      </c>
      <c r="AD2074">
        <v>1267</v>
      </c>
    </row>
    <row r="2075" spans="1:30" x14ac:dyDescent="0.25">
      <c r="H2075" t="s">
        <v>3943</v>
      </c>
    </row>
    <row r="2076" spans="1:30" x14ac:dyDescent="0.25">
      <c r="A2076">
        <v>1035</v>
      </c>
      <c r="B2076">
        <v>5595</v>
      </c>
      <c r="C2076" t="s">
        <v>3944</v>
      </c>
      <c r="D2076" t="s">
        <v>474</v>
      </c>
      <c r="E2076" t="s">
        <v>183</v>
      </c>
      <c r="F2076" t="s">
        <v>3945</v>
      </c>
      <c r="G2076" t="str">
        <f>"00264326"</f>
        <v>00264326</v>
      </c>
      <c r="H2076">
        <v>649</v>
      </c>
      <c r="I2076">
        <v>0</v>
      </c>
      <c r="J2076">
        <v>0</v>
      </c>
      <c r="K2076">
        <v>0</v>
      </c>
      <c r="L2076">
        <v>0</v>
      </c>
      <c r="M2076">
        <v>0</v>
      </c>
      <c r="N2076">
        <v>30</v>
      </c>
      <c r="O2076">
        <v>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  <c r="V2076">
        <v>84</v>
      </c>
      <c r="W2076">
        <v>588</v>
      </c>
      <c r="X2076">
        <v>0</v>
      </c>
      <c r="Z2076">
        <v>2</v>
      </c>
      <c r="AA2076">
        <v>0</v>
      </c>
      <c r="AB2076">
        <v>0</v>
      </c>
      <c r="AC2076">
        <v>0</v>
      </c>
      <c r="AD2076">
        <v>1267</v>
      </c>
    </row>
    <row r="2077" spans="1:30" x14ac:dyDescent="0.25">
      <c r="H2077" t="s">
        <v>3946</v>
      </c>
    </row>
    <row r="2078" spans="1:30" x14ac:dyDescent="0.25">
      <c r="A2078">
        <v>1036</v>
      </c>
      <c r="B2078">
        <v>1096</v>
      </c>
      <c r="C2078" t="s">
        <v>3947</v>
      </c>
      <c r="D2078" t="s">
        <v>3948</v>
      </c>
      <c r="E2078" t="s">
        <v>51</v>
      </c>
      <c r="F2078" t="s">
        <v>3949</v>
      </c>
      <c r="G2078" t="str">
        <f>"00142532"</f>
        <v>00142532</v>
      </c>
      <c r="H2078" t="s">
        <v>2116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0</v>
      </c>
      <c r="O2078">
        <v>0</v>
      </c>
      <c r="P2078">
        <v>0</v>
      </c>
      <c r="Q2078">
        <v>0</v>
      </c>
      <c r="R2078">
        <v>0</v>
      </c>
      <c r="S2078">
        <v>0</v>
      </c>
      <c r="T2078">
        <v>0</v>
      </c>
      <c r="U2078">
        <v>0</v>
      </c>
      <c r="V2078">
        <v>84</v>
      </c>
      <c r="W2078">
        <v>588</v>
      </c>
      <c r="X2078">
        <v>0</v>
      </c>
      <c r="Z2078">
        <v>0</v>
      </c>
      <c r="AA2078">
        <v>0</v>
      </c>
      <c r="AB2078">
        <v>0</v>
      </c>
      <c r="AC2078">
        <v>0</v>
      </c>
      <c r="AD2078" t="s">
        <v>3950</v>
      </c>
    </row>
    <row r="2079" spans="1:30" x14ac:dyDescent="0.25">
      <c r="H2079" t="s">
        <v>3951</v>
      </c>
    </row>
    <row r="2080" spans="1:30" x14ac:dyDescent="0.25">
      <c r="A2080">
        <v>1037</v>
      </c>
      <c r="B2080">
        <v>5000</v>
      </c>
      <c r="C2080" t="s">
        <v>3952</v>
      </c>
      <c r="D2080" t="s">
        <v>40</v>
      </c>
      <c r="E2080" t="s">
        <v>107</v>
      </c>
      <c r="F2080" t="s">
        <v>3953</v>
      </c>
      <c r="G2080" t="str">
        <f>"201406012171"</f>
        <v>201406012171</v>
      </c>
      <c r="H2080" t="s">
        <v>514</v>
      </c>
      <c r="I2080">
        <v>150</v>
      </c>
      <c r="J2080">
        <v>0</v>
      </c>
      <c r="K2080">
        <v>0</v>
      </c>
      <c r="L2080">
        <v>0</v>
      </c>
      <c r="M2080">
        <v>0</v>
      </c>
      <c r="N2080">
        <v>0</v>
      </c>
      <c r="O2080">
        <v>0</v>
      </c>
      <c r="P2080">
        <v>0</v>
      </c>
      <c r="Q2080">
        <v>0</v>
      </c>
      <c r="R2080">
        <v>0</v>
      </c>
      <c r="S2080">
        <v>0</v>
      </c>
      <c r="T2080">
        <v>0</v>
      </c>
      <c r="U2080">
        <v>0</v>
      </c>
      <c r="V2080">
        <v>52</v>
      </c>
      <c r="W2080">
        <v>364</v>
      </c>
      <c r="X2080">
        <v>0</v>
      </c>
      <c r="Z2080">
        <v>1</v>
      </c>
      <c r="AA2080">
        <v>0</v>
      </c>
      <c r="AB2080">
        <v>0</v>
      </c>
      <c r="AC2080">
        <v>0</v>
      </c>
      <c r="AD2080" t="s">
        <v>3954</v>
      </c>
    </row>
    <row r="2081" spans="1:30" x14ac:dyDescent="0.25">
      <c r="H2081" t="s">
        <v>3955</v>
      </c>
    </row>
    <row r="2082" spans="1:30" x14ac:dyDescent="0.25">
      <c r="A2082">
        <v>1038</v>
      </c>
      <c r="B2082">
        <v>1263</v>
      </c>
      <c r="C2082" t="s">
        <v>3956</v>
      </c>
      <c r="D2082" t="s">
        <v>75</v>
      </c>
      <c r="E2082" t="s">
        <v>115</v>
      </c>
      <c r="F2082" t="s">
        <v>3957</v>
      </c>
      <c r="G2082" t="str">
        <f>"00230683"</f>
        <v>00230683</v>
      </c>
      <c r="H2082" t="s">
        <v>2082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30</v>
      </c>
      <c r="O2082">
        <v>0</v>
      </c>
      <c r="P2082">
        <v>0</v>
      </c>
      <c r="Q2082">
        <v>0</v>
      </c>
      <c r="R2082">
        <v>0</v>
      </c>
      <c r="S2082">
        <v>0</v>
      </c>
      <c r="T2082">
        <v>0</v>
      </c>
      <c r="U2082">
        <v>0</v>
      </c>
      <c r="V2082">
        <v>42</v>
      </c>
      <c r="W2082">
        <v>294</v>
      </c>
      <c r="X2082">
        <v>0</v>
      </c>
      <c r="Z2082">
        <v>0</v>
      </c>
      <c r="AA2082">
        <v>0</v>
      </c>
      <c r="AB2082">
        <v>8</v>
      </c>
      <c r="AC2082">
        <v>136</v>
      </c>
      <c r="AD2082" t="s">
        <v>3958</v>
      </c>
    </row>
    <row r="2083" spans="1:30" x14ac:dyDescent="0.25">
      <c r="H2083" t="s">
        <v>3959</v>
      </c>
    </row>
    <row r="2084" spans="1:30" x14ac:dyDescent="0.25">
      <c r="A2084">
        <v>1039</v>
      </c>
      <c r="B2084">
        <v>1340</v>
      </c>
      <c r="C2084" t="s">
        <v>3960</v>
      </c>
      <c r="D2084" t="s">
        <v>830</v>
      </c>
      <c r="E2084" t="s">
        <v>1039</v>
      </c>
      <c r="F2084" t="s">
        <v>3961</v>
      </c>
      <c r="G2084" t="str">
        <f>"201511007452"</f>
        <v>201511007452</v>
      </c>
      <c r="H2084">
        <v>814</v>
      </c>
      <c r="I2084">
        <v>0</v>
      </c>
      <c r="J2084">
        <v>0</v>
      </c>
      <c r="K2084">
        <v>0</v>
      </c>
      <c r="L2084">
        <v>0</v>
      </c>
      <c r="M2084">
        <v>0</v>
      </c>
      <c r="N2084">
        <v>30</v>
      </c>
      <c r="O2084">
        <v>0</v>
      </c>
      <c r="P2084">
        <v>0</v>
      </c>
      <c r="Q2084">
        <v>50</v>
      </c>
      <c r="R2084">
        <v>30</v>
      </c>
      <c r="S2084">
        <v>0</v>
      </c>
      <c r="T2084">
        <v>0</v>
      </c>
      <c r="U2084">
        <v>0</v>
      </c>
      <c r="V2084">
        <v>27</v>
      </c>
      <c r="W2084">
        <v>189</v>
      </c>
      <c r="X2084">
        <v>0</v>
      </c>
      <c r="Z2084">
        <v>0</v>
      </c>
      <c r="AA2084">
        <v>0</v>
      </c>
      <c r="AB2084">
        <v>9</v>
      </c>
      <c r="AC2084">
        <v>153</v>
      </c>
      <c r="AD2084">
        <v>1266</v>
      </c>
    </row>
    <row r="2085" spans="1:30" x14ac:dyDescent="0.25">
      <c r="H2085" t="s">
        <v>3962</v>
      </c>
    </row>
    <row r="2086" spans="1:30" x14ac:dyDescent="0.25">
      <c r="A2086">
        <v>1040</v>
      </c>
      <c r="B2086">
        <v>4147</v>
      </c>
      <c r="C2086" t="s">
        <v>3963</v>
      </c>
      <c r="D2086" t="s">
        <v>685</v>
      </c>
      <c r="E2086" t="s">
        <v>115</v>
      </c>
      <c r="F2086" t="s">
        <v>3964</v>
      </c>
      <c r="G2086" t="str">
        <f>"201406004754"</f>
        <v>201406004754</v>
      </c>
      <c r="H2086">
        <v>660</v>
      </c>
      <c r="I2086">
        <v>150</v>
      </c>
      <c r="J2086">
        <v>0</v>
      </c>
      <c r="K2086">
        <v>0</v>
      </c>
      <c r="L2086">
        <v>0</v>
      </c>
      <c r="M2086">
        <v>100</v>
      </c>
      <c r="N2086">
        <v>30</v>
      </c>
      <c r="O2086">
        <v>0</v>
      </c>
      <c r="P2086">
        <v>0</v>
      </c>
      <c r="Q2086">
        <v>0</v>
      </c>
      <c r="R2086">
        <v>0</v>
      </c>
      <c r="S2086">
        <v>0</v>
      </c>
      <c r="T2086">
        <v>0</v>
      </c>
      <c r="U2086">
        <v>0</v>
      </c>
      <c r="V2086">
        <v>27</v>
      </c>
      <c r="W2086">
        <v>189</v>
      </c>
      <c r="X2086">
        <v>0</v>
      </c>
      <c r="Z2086">
        <v>0</v>
      </c>
      <c r="AA2086">
        <v>0</v>
      </c>
      <c r="AB2086">
        <v>8</v>
      </c>
      <c r="AC2086">
        <v>136</v>
      </c>
      <c r="AD2086">
        <v>1265</v>
      </c>
    </row>
    <row r="2087" spans="1:30" x14ac:dyDescent="0.25">
      <c r="H2087" t="s">
        <v>3965</v>
      </c>
    </row>
    <row r="2088" spans="1:30" x14ac:dyDescent="0.25">
      <c r="A2088">
        <v>1041</v>
      </c>
      <c r="B2088">
        <v>936</v>
      </c>
      <c r="C2088" t="s">
        <v>3966</v>
      </c>
      <c r="D2088" t="s">
        <v>86</v>
      </c>
      <c r="E2088" t="s">
        <v>224</v>
      </c>
      <c r="F2088" t="s">
        <v>3967</v>
      </c>
      <c r="G2088" t="str">
        <f>"201402008298"</f>
        <v>201402008298</v>
      </c>
      <c r="H2088">
        <v>616</v>
      </c>
      <c r="I2088">
        <v>0</v>
      </c>
      <c r="J2088">
        <v>0</v>
      </c>
      <c r="K2088">
        <v>0</v>
      </c>
      <c r="L2088">
        <v>0</v>
      </c>
      <c r="M2088">
        <v>130</v>
      </c>
      <c r="N2088">
        <v>70</v>
      </c>
      <c r="O2088">
        <v>0</v>
      </c>
      <c r="P2088">
        <v>0</v>
      </c>
      <c r="Q2088">
        <v>0</v>
      </c>
      <c r="R2088">
        <v>0</v>
      </c>
      <c r="S2088">
        <v>0</v>
      </c>
      <c r="T2088">
        <v>0</v>
      </c>
      <c r="U2088">
        <v>0</v>
      </c>
      <c r="V2088">
        <v>64</v>
      </c>
      <c r="W2088">
        <v>448</v>
      </c>
      <c r="X2088">
        <v>0</v>
      </c>
      <c r="Z2088">
        <v>2</v>
      </c>
      <c r="AA2088">
        <v>0</v>
      </c>
      <c r="AB2088">
        <v>0</v>
      </c>
      <c r="AC2088">
        <v>0</v>
      </c>
      <c r="AD2088">
        <v>1264</v>
      </c>
    </row>
    <row r="2089" spans="1:30" x14ac:dyDescent="0.25">
      <c r="H2089" t="s">
        <v>3968</v>
      </c>
    </row>
    <row r="2090" spans="1:30" x14ac:dyDescent="0.25">
      <c r="A2090">
        <v>1042</v>
      </c>
      <c r="B2090">
        <v>2643</v>
      </c>
      <c r="C2090" t="s">
        <v>3969</v>
      </c>
      <c r="D2090" t="s">
        <v>51</v>
      </c>
      <c r="E2090" t="s">
        <v>183</v>
      </c>
      <c r="F2090" t="s">
        <v>3970</v>
      </c>
      <c r="G2090" t="str">
        <f>"00143462"</f>
        <v>00143462</v>
      </c>
      <c r="H2090" t="s">
        <v>2434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30</v>
      </c>
      <c r="O2090">
        <v>0</v>
      </c>
      <c r="P2090">
        <v>0</v>
      </c>
      <c r="Q2090">
        <v>0</v>
      </c>
      <c r="R2090">
        <v>0</v>
      </c>
      <c r="S2090">
        <v>0</v>
      </c>
      <c r="T2090">
        <v>0</v>
      </c>
      <c r="U2090">
        <v>0</v>
      </c>
      <c r="V2090">
        <v>16</v>
      </c>
      <c r="W2090">
        <v>112</v>
      </c>
      <c r="X2090">
        <v>0</v>
      </c>
      <c r="Z2090">
        <v>0</v>
      </c>
      <c r="AA2090">
        <v>0</v>
      </c>
      <c r="AB2090">
        <v>24</v>
      </c>
      <c r="AC2090">
        <v>408</v>
      </c>
      <c r="AD2090" t="s">
        <v>3971</v>
      </c>
    </row>
    <row r="2091" spans="1:30" x14ac:dyDescent="0.25">
      <c r="H2091" t="s">
        <v>3571</v>
      </c>
    </row>
    <row r="2092" spans="1:30" x14ac:dyDescent="0.25">
      <c r="A2092">
        <v>1043</v>
      </c>
      <c r="B2092">
        <v>3514</v>
      </c>
      <c r="C2092" t="s">
        <v>3972</v>
      </c>
      <c r="D2092" t="s">
        <v>229</v>
      </c>
      <c r="E2092" t="s">
        <v>162</v>
      </c>
      <c r="F2092" t="s">
        <v>3973</v>
      </c>
      <c r="G2092" t="str">
        <f>"00361421"</f>
        <v>00361421</v>
      </c>
      <c r="H2092">
        <v>792</v>
      </c>
      <c r="I2092">
        <v>0</v>
      </c>
      <c r="J2092">
        <v>0</v>
      </c>
      <c r="K2092">
        <v>0</v>
      </c>
      <c r="L2092">
        <v>0</v>
      </c>
      <c r="M2092">
        <v>0</v>
      </c>
      <c r="N2092">
        <v>30</v>
      </c>
      <c r="O2092">
        <v>0</v>
      </c>
      <c r="P2092">
        <v>0</v>
      </c>
      <c r="Q2092">
        <v>0</v>
      </c>
      <c r="R2092">
        <v>0</v>
      </c>
      <c r="S2092">
        <v>0</v>
      </c>
      <c r="T2092">
        <v>0</v>
      </c>
      <c r="U2092">
        <v>0</v>
      </c>
      <c r="V2092">
        <v>63</v>
      </c>
      <c r="W2092">
        <v>441</v>
      </c>
      <c r="X2092">
        <v>0</v>
      </c>
      <c r="Z2092">
        <v>0</v>
      </c>
      <c r="AA2092">
        <v>0</v>
      </c>
      <c r="AB2092">
        <v>0</v>
      </c>
      <c r="AC2092">
        <v>0</v>
      </c>
      <c r="AD2092">
        <v>1263</v>
      </c>
    </row>
    <row r="2093" spans="1:30" x14ac:dyDescent="0.25">
      <c r="H2093" t="s">
        <v>3974</v>
      </c>
    </row>
    <row r="2094" spans="1:30" x14ac:dyDescent="0.25">
      <c r="A2094">
        <v>1044</v>
      </c>
      <c r="B2094">
        <v>1793</v>
      </c>
      <c r="C2094" t="s">
        <v>3975</v>
      </c>
      <c r="D2094" t="s">
        <v>223</v>
      </c>
      <c r="E2094" t="s">
        <v>162</v>
      </c>
      <c r="F2094" t="s">
        <v>3976</v>
      </c>
      <c r="G2094" t="str">
        <f>"201406003321"</f>
        <v>201406003321</v>
      </c>
      <c r="H2094" t="s">
        <v>422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0</v>
      </c>
      <c r="O2094">
        <v>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82</v>
      </c>
      <c r="W2094">
        <v>574</v>
      </c>
      <c r="X2094">
        <v>0</v>
      </c>
      <c r="Z2094">
        <v>0</v>
      </c>
      <c r="AA2094">
        <v>0</v>
      </c>
      <c r="AB2094">
        <v>0</v>
      </c>
      <c r="AC2094">
        <v>0</v>
      </c>
      <c r="AD2094" t="s">
        <v>3977</v>
      </c>
    </row>
    <row r="2095" spans="1:30" x14ac:dyDescent="0.25">
      <c r="H2095" t="s">
        <v>3978</v>
      </c>
    </row>
    <row r="2096" spans="1:30" x14ac:dyDescent="0.25">
      <c r="A2096">
        <v>1045</v>
      </c>
      <c r="B2096">
        <v>3502</v>
      </c>
      <c r="C2096" t="s">
        <v>3979</v>
      </c>
      <c r="D2096" t="s">
        <v>183</v>
      </c>
      <c r="E2096" t="s">
        <v>15</v>
      </c>
      <c r="F2096" t="s">
        <v>3980</v>
      </c>
      <c r="G2096" t="str">
        <f>"200811000739"</f>
        <v>200811000739</v>
      </c>
      <c r="H2096" t="s">
        <v>3714</v>
      </c>
      <c r="I2096">
        <v>0</v>
      </c>
      <c r="J2096">
        <v>0</v>
      </c>
      <c r="K2096">
        <v>0</v>
      </c>
      <c r="L2096">
        <v>0</v>
      </c>
      <c r="M2096">
        <v>0</v>
      </c>
      <c r="N2096">
        <v>30</v>
      </c>
      <c r="O2096">
        <v>0</v>
      </c>
      <c r="P2096">
        <v>0</v>
      </c>
      <c r="Q2096">
        <v>0</v>
      </c>
      <c r="R2096">
        <v>0</v>
      </c>
      <c r="S2096">
        <v>0</v>
      </c>
      <c r="T2096">
        <v>0</v>
      </c>
      <c r="U2096">
        <v>0</v>
      </c>
      <c r="V2096">
        <v>84</v>
      </c>
      <c r="W2096">
        <v>588</v>
      </c>
      <c r="X2096">
        <v>0</v>
      </c>
      <c r="Z2096">
        <v>2</v>
      </c>
      <c r="AA2096">
        <v>0</v>
      </c>
      <c r="AB2096">
        <v>0</v>
      </c>
      <c r="AC2096">
        <v>0</v>
      </c>
      <c r="AD2096" t="s">
        <v>3977</v>
      </c>
    </row>
    <row r="2097" spans="1:30" x14ac:dyDescent="0.25">
      <c r="H2097" t="s">
        <v>3981</v>
      </c>
    </row>
    <row r="2098" spans="1:30" x14ac:dyDescent="0.25">
      <c r="A2098">
        <v>1046</v>
      </c>
      <c r="B2098">
        <v>324</v>
      </c>
      <c r="C2098" t="s">
        <v>3982</v>
      </c>
      <c r="D2098" t="s">
        <v>2922</v>
      </c>
      <c r="E2098" t="s">
        <v>551</v>
      </c>
      <c r="F2098" t="s">
        <v>3983</v>
      </c>
      <c r="G2098" t="str">
        <f>"00301004"</f>
        <v>00301004</v>
      </c>
      <c r="H2098" t="s">
        <v>2682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70</v>
      </c>
      <c r="O2098">
        <v>0</v>
      </c>
      <c r="P2098">
        <v>0</v>
      </c>
      <c r="Q2098">
        <v>0</v>
      </c>
      <c r="R2098">
        <v>0</v>
      </c>
      <c r="S2098">
        <v>0</v>
      </c>
      <c r="T2098">
        <v>0</v>
      </c>
      <c r="U2098">
        <v>0</v>
      </c>
      <c r="V2098">
        <v>64</v>
      </c>
      <c r="W2098">
        <v>448</v>
      </c>
      <c r="X2098">
        <v>0</v>
      </c>
      <c r="Z2098">
        <v>0</v>
      </c>
      <c r="AA2098">
        <v>0</v>
      </c>
      <c r="AB2098">
        <v>0</v>
      </c>
      <c r="AC2098">
        <v>0</v>
      </c>
      <c r="AD2098" t="s">
        <v>3984</v>
      </c>
    </row>
    <row r="2099" spans="1:30" x14ac:dyDescent="0.25">
      <c r="H2099" t="s">
        <v>3985</v>
      </c>
    </row>
    <row r="2100" spans="1:30" x14ac:dyDescent="0.25">
      <c r="A2100">
        <v>1047</v>
      </c>
      <c r="B2100">
        <v>1202</v>
      </c>
      <c r="C2100" t="s">
        <v>3986</v>
      </c>
      <c r="D2100" t="s">
        <v>47</v>
      </c>
      <c r="E2100" t="s">
        <v>39</v>
      </c>
      <c r="F2100" t="s">
        <v>3987</v>
      </c>
      <c r="G2100" t="str">
        <f>"00227624"</f>
        <v>00227624</v>
      </c>
      <c r="H2100" t="s">
        <v>1339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  <c r="V2100">
        <v>84</v>
      </c>
      <c r="W2100">
        <v>588</v>
      </c>
      <c r="X2100">
        <v>0</v>
      </c>
      <c r="Z2100">
        <v>0</v>
      </c>
      <c r="AA2100">
        <v>0</v>
      </c>
      <c r="AB2100">
        <v>0</v>
      </c>
      <c r="AC2100">
        <v>0</v>
      </c>
      <c r="AD2100" t="s">
        <v>3988</v>
      </c>
    </row>
    <row r="2101" spans="1:30" x14ac:dyDescent="0.25">
      <c r="H2101" t="s">
        <v>3989</v>
      </c>
    </row>
    <row r="2102" spans="1:30" x14ac:dyDescent="0.25">
      <c r="A2102">
        <v>1048</v>
      </c>
      <c r="B2102">
        <v>5361</v>
      </c>
      <c r="C2102" t="s">
        <v>467</v>
      </c>
      <c r="D2102" t="s">
        <v>830</v>
      </c>
      <c r="E2102" t="s">
        <v>107</v>
      </c>
      <c r="F2102" t="s">
        <v>3990</v>
      </c>
      <c r="G2102" t="str">
        <f>"201405001482"</f>
        <v>201405001482</v>
      </c>
      <c r="H2102" t="s">
        <v>502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0</v>
      </c>
      <c r="O2102">
        <v>0</v>
      </c>
      <c r="P2102">
        <v>0</v>
      </c>
      <c r="Q2102">
        <v>30</v>
      </c>
      <c r="R2102">
        <v>0</v>
      </c>
      <c r="S2102">
        <v>0</v>
      </c>
      <c r="T2102">
        <v>0</v>
      </c>
      <c r="U2102">
        <v>0</v>
      </c>
      <c r="V2102">
        <v>68</v>
      </c>
      <c r="W2102">
        <v>476</v>
      </c>
      <c r="X2102">
        <v>0</v>
      </c>
      <c r="Z2102">
        <v>0</v>
      </c>
      <c r="AA2102">
        <v>0</v>
      </c>
      <c r="AB2102">
        <v>0</v>
      </c>
      <c r="AC2102">
        <v>0</v>
      </c>
      <c r="AD2102" t="s">
        <v>3991</v>
      </c>
    </row>
    <row r="2103" spans="1:30" x14ac:dyDescent="0.25">
      <c r="H2103" t="s">
        <v>3992</v>
      </c>
    </row>
    <row r="2104" spans="1:30" x14ac:dyDescent="0.25">
      <c r="A2104">
        <v>1049</v>
      </c>
      <c r="B2104">
        <v>4337</v>
      </c>
      <c r="C2104" t="s">
        <v>907</v>
      </c>
      <c r="D2104" t="s">
        <v>223</v>
      </c>
      <c r="E2104" t="s">
        <v>47</v>
      </c>
      <c r="F2104" t="s">
        <v>3993</v>
      </c>
      <c r="G2104" t="str">
        <f>"201406005194"</f>
        <v>201406005194</v>
      </c>
      <c r="H2104" t="s">
        <v>3994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30</v>
      </c>
      <c r="O2104">
        <v>0</v>
      </c>
      <c r="P2104">
        <v>0</v>
      </c>
      <c r="Q2104">
        <v>0</v>
      </c>
      <c r="R2104">
        <v>0</v>
      </c>
      <c r="S2104">
        <v>0</v>
      </c>
      <c r="T2104">
        <v>0</v>
      </c>
      <c r="U2104">
        <v>0</v>
      </c>
      <c r="V2104">
        <v>84</v>
      </c>
      <c r="W2104">
        <v>588</v>
      </c>
      <c r="X2104">
        <v>0</v>
      </c>
      <c r="Z2104">
        <v>0</v>
      </c>
      <c r="AA2104">
        <v>0</v>
      </c>
      <c r="AB2104">
        <v>0</v>
      </c>
      <c r="AC2104">
        <v>0</v>
      </c>
      <c r="AD2104" t="s">
        <v>3995</v>
      </c>
    </row>
    <row r="2105" spans="1:30" x14ac:dyDescent="0.25">
      <c r="H2105" t="s">
        <v>3996</v>
      </c>
    </row>
    <row r="2106" spans="1:30" x14ac:dyDescent="0.25">
      <c r="A2106">
        <v>1050</v>
      </c>
      <c r="B2106">
        <v>5622</v>
      </c>
      <c r="C2106" t="s">
        <v>3997</v>
      </c>
      <c r="D2106" t="s">
        <v>468</v>
      </c>
      <c r="E2106" t="s">
        <v>47</v>
      </c>
      <c r="F2106" t="s">
        <v>3998</v>
      </c>
      <c r="G2106" t="str">
        <f>"00339596"</f>
        <v>00339596</v>
      </c>
      <c r="H2106" t="s">
        <v>3999</v>
      </c>
      <c r="I2106">
        <v>0</v>
      </c>
      <c r="J2106">
        <v>0</v>
      </c>
      <c r="K2106">
        <v>0</v>
      </c>
      <c r="L2106">
        <v>0</v>
      </c>
      <c r="M2106">
        <v>0</v>
      </c>
      <c r="N2106">
        <v>0</v>
      </c>
      <c r="O2106">
        <v>0</v>
      </c>
      <c r="P2106">
        <v>0</v>
      </c>
      <c r="Q2106">
        <v>0</v>
      </c>
      <c r="R2106">
        <v>0</v>
      </c>
      <c r="S2106">
        <v>0</v>
      </c>
      <c r="T2106">
        <v>0</v>
      </c>
      <c r="U2106">
        <v>0</v>
      </c>
      <c r="V2106">
        <v>84</v>
      </c>
      <c r="W2106">
        <v>588</v>
      </c>
      <c r="X2106">
        <v>0</v>
      </c>
      <c r="Z2106">
        <v>0</v>
      </c>
      <c r="AA2106">
        <v>0</v>
      </c>
      <c r="AB2106">
        <v>0</v>
      </c>
      <c r="AC2106">
        <v>0</v>
      </c>
      <c r="AD2106" t="s">
        <v>4000</v>
      </c>
    </row>
    <row r="2107" spans="1:30" x14ac:dyDescent="0.25">
      <c r="H2107" t="s">
        <v>4001</v>
      </c>
    </row>
    <row r="2108" spans="1:30" x14ac:dyDescent="0.25">
      <c r="A2108">
        <v>1051</v>
      </c>
      <c r="B2108">
        <v>4202</v>
      </c>
      <c r="C2108" t="s">
        <v>4002</v>
      </c>
      <c r="D2108" t="s">
        <v>14</v>
      </c>
      <c r="E2108" t="s">
        <v>40</v>
      </c>
      <c r="F2108" t="s">
        <v>4003</v>
      </c>
      <c r="G2108" t="str">
        <f>"201511041942"</f>
        <v>201511041942</v>
      </c>
      <c r="H2108" t="s">
        <v>1957</v>
      </c>
      <c r="I2108">
        <v>0</v>
      </c>
      <c r="J2108">
        <v>0</v>
      </c>
      <c r="K2108">
        <v>0</v>
      </c>
      <c r="L2108">
        <v>0</v>
      </c>
      <c r="M2108">
        <v>0</v>
      </c>
      <c r="N2108">
        <v>0</v>
      </c>
      <c r="O2108">
        <v>0</v>
      </c>
      <c r="P2108">
        <v>0</v>
      </c>
      <c r="Q2108">
        <v>0</v>
      </c>
      <c r="R2108">
        <v>0</v>
      </c>
      <c r="S2108">
        <v>0</v>
      </c>
      <c r="T2108">
        <v>0</v>
      </c>
      <c r="U2108">
        <v>0</v>
      </c>
      <c r="V2108">
        <v>64</v>
      </c>
      <c r="W2108">
        <v>448</v>
      </c>
      <c r="X2108">
        <v>0</v>
      </c>
      <c r="Z2108">
        <v>0</v>
      </c>
      <c r="AA2108">
        <v>0</v>
      </c>
      <c r="AB2108">
        <v>0</v>
      </c>
      <c r="AC2108">
        <v>0</v>
      </c>
      <c r="AD2108" t="s">
        <v>4004</v>
      </c>
    </row>
    <row r="2109" spans="1:30" x14ac:dyDescent="0.25">
      <c r="H2109" t="s">
        <v>4005</v>
      </c>
    </row>
    <row r="2110" spans="1:30" x14ac:dyDescent="0.25">
      <c r="A2110">
        <v>1052</v>
      </c>
      <c r="B2110">
        <v>523</v>
      </c>
      <c r="C2110" t="s">
        <v>3110</v>
      </c>
      <c r="D2110" t="s">
        <v>633</v>
      </c>
      <c r="E2110" t="s">
        <v>39</v>
      </c>
      <c r="F2110" t="s">
        <v>4006</v>
      </c>
      <c r="G2110" t="str">
        <f>"201601000096"</f>
        <v>201601000096</v>
      </c>
      <c r="H2110">
        <v>704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30</v>
      </c>
      <c r="O2110">
        <v>0</v>
      </c>
      <c r="P2110">
        <v>0</v>
      </c>
      <c r="Q2110">
        <v>0</v>
      </c>
      <c r="R2110">
        <v>0</v>
      </c>
      <c r="S2110">
        <v>0</v>
      </c>
      <c r="T2110">
        <v>0</v>
      </c>
      <c r="U2110">
        <v>0</v>
      </c>
      <c r="V2110">
        <v>75</v>
      </c>
      <c r="W2110">
        <v>525</v>
      </c>
      <c r="X2110">
        <v>0</v>
      </c>
      <c r="Z2110">
        <v>2</v>
      </c>
      <c r="AA2110">
        <v>0</v>
      </c>
      <c r="AB2110">
        <v>0</v>
      </c>
      <c r="AC2110">
        <v>0</v>
      </c>
      <c r="AD2110">
        <v>1259</v>
      </c>
    </row>
    <row r="2111" spans="1:30" x14ac:dyDescent="0.25">
      <c r="H2111">
        <v>1247</v>
      </c>
    </row>
    <row r="2112" spans="1:30" x14ac:dyDescent="0.25">
      <c r="A2112">
        <v>1053</v>
      </c>
      <c r="B2112">
        <v>4846</v>
      </c>
      <c r="C2112" t="s">
        <v>4007</v>
      </c>
      <c r="D2112" t="s">
        <v>114</v>
      </c>
      <c r="E2112" t="s">
        <v>140</v>
      </c>
      <c r="F2112" t="s">
        <v>4008</v>
      </c>
      <c r="G2112" t="str">
        <f>"200712004341"</f>
        <v>200712004341</v>
      </c>
      <c r="H2112">
        <v>671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0</v>
      </c>
      <c r="O2112">
        <v>0</v>
      </c>
      <c r="P2112">
        <v>0</v>
      </c>
      <c r="Q2112">
        <v>0</v>
      </c>
      <c r="R2112">
        <v>0</v>
      </c>
      <c r="S2112">
        <v>0</v>
      </c>
      <c r="T2112">
        <v>0</v>
      </c>
      <c r="U2112">
        <v>0</v>
      </c>
      <c r="V2112">
        <v>84</v>
      </c>
      <c r="W2112">
        <v>588</v>
      </c>
      <c r="X2112">
        <v>0</v>
      </c>
      <c r="Z2112">
        <v>0</v>
      </c>
      <c r="AA2112">
        <v>0</v>
      </c>
      <c r="AB2112">
        <v>0</v>
      </c>
      <c r="AC2112">
        <v>0</v>
      </c>
      <c r="AD2112">
        <v>1259</v>
      </c>
    </row>
    <row r="2113" spans="1:30" x14ac:dyDescent="0.25">
      <c r="H2113" t="s">
        <v>4009</v>
      </c>
    </row>
    <row r="2114" spans="1:30" x14ac:dyDescent="0.25">
      <c r="A2114">
        <v>1054</v>
      </c>
      <c r="B2114">
        <v>2542</v>
      </c>
      <c r="C2114" t="s">
        <v>4010</v>
      </c>
      <c r="D2114" t="s">
        <v>420</v>
      </c>
      <c r="E2114" t="s">
        <v>449</v>
      </c>
      <c r="F2114" t="s">
        <v>4011</v>
      </c>
      <c r="G2114" t="str">
        <f>"200807000961"</f>
        <v>200807000961</v>
      </c>
      <c r="H2114" t="s">
        <v>1949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30</v>
      </c>
      <c r="O2114">
        <v>0</v>
      </c>
      <c r="P2114">
        <v>0</v>
      </c>
      <c r="Q2114">
        <v>0</v>
      </c>
      <c r="R2114">
        <v>0</v>
      </c>
      <c r="S2114">
        <v>0</v>
      </c>
      <c r="T2114">
        <v>0</v>
      </c>
      <c r="U2114">
        <v>0</v>
      </c>
      <c r="V2114">
        <v>72</v>
      </c>
      <c r="W2114">
        <v>504</v>
      </c>
      <c r="X2114">
        <v>0</v>
      </c>
      <c r="Z2114">
        <v>0</v>
      </c>
      <c r="AA2114">
        <v>0</v>
      </c>
      <c r="AB2114">
        <v>0</v>
      </c>
      <c r="AC2114">
        <v>0</v>
      </c>
      <c r="AD2114" t="s">
        <v>4012</v>
      </c>
    </row>
    <row r="2115" spans="1:30" x14ac:dyDescent="0.25">
      <c r="H2115" t="s">
        <v>4013</v>
      </c>
    </row>
    <row r="2116" spans="1:30" x14ac:dyDescent="0.25">
      <c r="A2116">
        <v>1055</v>
      </c>
      <c r="B2116">
        <v>1618</v>
      </c>
      <c r="C2116" t="s">
        <v>4014</v>
      </c>
      <c r="D2116" t="s">
        <v>420</v>
      </c>
      <c r="E2116" t="s">
        <v>162</v>
      </c>
      <c r="F2116" t="s">
        <v>4015</v>
      </c>
      <c r="G2116" t="str">
        <f>"00226209"</f>
        <v>00226209</v>
      </c>
      <c r="H2116">
        <v>814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30</v>
      </c>
      <c r="O2116">
        <v>0</v>
      </c>
      <c r="P2116">
        <v>0</v>
      </c>
      <c r="Q2116">
        <v>0</v>
      </c>
      <c r="R2116">
        <v>0</v>
      </c>
      <c r="S2116">
        <v>0</v>
      </c>
      <c r="T2116">
        <v>0</v>
      </c>
      <c r="U2116">
        <v>0</v>
      </c>
      <c r="V2116">
        <v>59</v>
      </c>
      <c r="W2116">
        <v>413</v>
      </c>
      <c r="X2116">
        <v>0</v>
      </c>
      <c r="Z2116">
        <v>1</v>
      </c>
      <c r="AA2116">
        <v>0</v>
      </c>
      <c r="AB2116">
        <v>0</v>
      </c>
      <c r="AC2116">
        <v>0</v>
      </c>
      <c r="AD2116">
        <v>1257</v>
      </c>
    </row>
    <row r="2117" spans="1:30" x14ac:dyDescent="0.25">
      <c r="H2117" t="s">
        <v>4016</v>
      </c>
    </row>
    <row r="2118" spans="1:30" x14ac:dyDescent="0.25">
      <c r="A2118">
        <v>1056</v>
      </c>
      <c r="B2118">
        <v>2786</v>
      </c>
      <c r="C2118" t="s">
        <v>2216</v>
      </c>
      <c r="D2118" t="s">
        <v>4017</v>
      </c>
      <c r="E2118" t="s">
        <v>40</v>
      </c>
      <c r="F2118" t="s">
        <v>4018</v>
      </c>
      <c r="G2118" t="str">
        <f>"200802001170"</f>
        <v>200802001170</v>
      </c>
      <c r="H2118">
        <v>693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30</v>
      </c>
      <c r="O2118">
        <v>0</v>
      </c>
      <c r="P2118">
        <v>0</v>
      </c>
      <c r="Q2118">
        <v>30</v>
      </c>
      <c r="R2118">
        <v>0</v>
      </c>
      <c r="S2118">
        <v>0</v>
      </c>
      <c r="T2118">
        <v>0</v>
      </c>
      <c r="U2118">
        <v>0</v>
      </c>
      <c r="V2118">
        <v>72</v>
      </c>
      <c r="W2118">
        <v>504</v>
      </c>
      <c r="X2118">
        <v>0</v>
      </c>
      <c r="Z2118">
        <v>0</v>
      </c>
      <c r="AA2118">
        <v>0</v>
      </c>
      <c r="AB2118">
        <v>0</v>
      </c>
      <c r="AC2118">
        <v>0</v>
      </c>
      <c r="AD2118">
        <v>1257</v>
      </c>
    </row>
    <row r="2119" spans="1:30" x14ac:dyDescent="0.25">
      <c r="H2119" t="s">
        <v>4019</v>
      </c>
    </row>
    <row r="2120" spans="1:30" x14ac:dyDescent="0.25">
      <c r="A2120">
        <v>1057</v>
      </c>
      <c r="B2120">
        <v>278</v>
      </c>
      <c r="C2120" t="s">
        <v>4020</v>
      </c>
      <c r="D2120" t="s">
        <v>4021</v>
      </c>
      <c r="E2120" t="s">
        <v>4022</v>
      </c>
      <c r="F2120" t="s">
        <v>4023</v>
      </c>
      <c r="G2120" t="str">
        <f>"00262692"</f>
        <v>00262692</v>
      </c>
      <c r="H2120" t="s">
        <v>422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50</v>
      </c>
      <c r="O2120">
        <v>0</v>
      </c>
      <c r="P2120">
        <v>0</v>
      </c>
      <c r="Q2120">
        <v>0</v>
      </c>
      <c r="R2120">
        <v>0</v>
      </c>
      <c r="S2120">
        <v>0</v>
      </c>
      <c r="T2120">
        <v>0</v>
      </c>
      <c r="U2120">
        <v>0</v>
      </c>
      <c r="V2120">
        <v>74</v>
      </c>
      <c r="W2120">
        <v>518</v>
      </c>
      <c r="X2120">
        <v>0</v>
      </c>
      <c r="Z2120">
        <v>0</v>
      </c>
      <c r="AA2120">
        <v>0</v>
      </c>
      <c r="AB2120">
        <v>0</v>
      </c>
      <c r="AC2120">
        <v>0</v>
      </c>
      <c r="AD2120" t="s">
        <v>4024</v>
      </c>
    </row>
    <row r="2121" spans="1:30" x14ac:dyDescent="0.25">
      <c r="H2121" t="s">
        <v>4025</v>
      </c>
    </row>
    <row r="2122" spans="1:30" x14ac:dyDescent="0.25">
      <c r="A2122">
        <v>1058</v>
      </c>
      <c r="B2122">
        <v>4480</v>
      </c>
      <c r="C2122" t="s">
        <v>4026</v>
      </c>
      <c r="D2122" t="s">
        <v>182</v>
      </c>
      <c r="E2122" t="s">
        <v>108</v>
      </c>
      <c r="F2122" t="s">
        <v>4027</v>
      </c>
      <c r="G2122" t="str">
        <f>"201402000500"</f>
        <v>201402000500</v>
      </c>
      <c r="H2122">
        <v>836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0</v>
      </c>
      <c r="O2122">
        <v>0</v>
      </c>
      <c r="P2122">
        <v>0</v>
      </c>
      <c r="Q2122">
        <v>0</v>
      </c>
      <c r="R2122">
        <v>0</v>
      </c>
      <c r="S2122">
        <v>0</v>
      </c>
      <c r="T2122">
        <v>0</v>
      </c>
      <c r="U2122">
        <v>0</v>
      </c>
      <c r="V2122">
        <v>60</v>
      </c>
      <c r="W2122">
        <v>420</v>
      </c>
      <c r="X2122">
        <v>0</v>
      </c>
      <c r="Z2122">
        <v>0</v>
      </c>
      <c r="AA2122">
        <v>0</v>
      </c>
      <c r="AB2122">
        <v>0</v>
      </c>
      <c r="AC2122">
        <v>0</v>
      </c>
      <c r="AD2122">
        <v>1256</v>
      </c>
    </row>
    <row r="2123" spans="1:30" x14ac:dyDescent="0.25">
      <c r="H2123" t="s">
        <v>4028</v>
      </c>
    </row>
    <row r="2124" spans="1:30" x14ac:dyDescent="0.25">
      <c r="A2124">
        <v>1059</v>
      </c>
      <c r="B2124">
        <v>6069</v>
      </c>
      <c r="C2124" t="s">
        <v>894</v>
      </c>
      <c r="D2124" t="s">
        <v>335</v>
      </c>
      <c r="E2124" t="s">
        <v>107</v>
      </c>
      <c r="F2124" t="s">
        <v>4029</v>
      </c>
      <c r="G2124" t="str">
        <f>"00364350"</f>
        <v>00364350</v>
      </c>
      <c r="H2124">
        <v>638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30</v>
      </c>
      <c r="O2124">
        <v>0</v>
      </c>
      <c r="P2124">
        <v>0</v>
      </c>
      <c r="Q2124">
        <v>0</v>
      </c>
      <c r="R2124">
        <v>0</v>
      </c>
      <c r="S2124">
        <v>0</v>
      </c>
      <c r="T2124">
        <v>0</v>
      </c>
      <c r="U2124">
        <v>0</v>
      </c>
      <c r="V2124">
        <v>84</v>
      </c>
      <c r="W2124">
        <v>588</v>
      </c>
      <c r="X2124">
        <v>0</v>
      </c>
      <c r="Z2124">
        <v>0</v>
      </c>
      <c r="AA2124">
        <v>0</v>
      </c>
      <c r="AB2124">
        <v>0</v>
      </c>
      <c r="AC2124">
        <v>0</v>
      </c>
      <c r="AD2124">
        <v>1256</v>
      </c>
    </row>
    <row r="2125" spans="1:30" x14ac:dyDescent="0.25">
      <c r="H2125" t="s">
        <v>4030</v>
      </c>
    </row>
    <row r="2126" spans="1:30" x14ac:dyDescent="0.25">
      <c r="A2126">
        <v>1060</v>
      </c>
      <c r="B2126">
        <v>4978</v>
      </c>
      <c r="C2126" t="s">
        <v>4031</v>
      </c>
      <c r="D2126" t="s">
        <v>151</v>
      </c>
      <c r="E2126" t="s">
        <v>107</v>
      </c>
      <c r="F2126" t="s">
        <v>4032</v>
      </c>
      <c r="G2126" t="str">
        <f>"00114032"</f>
        <v>00114032</v>
      </c>
      <c r="H2126" t="s">
        <v>4033</v>
      </c>
      <c r="I2126">
        <v>0</v>
      </c>
      <c r="J2126">
        <v>0</v>
      </c>
      <c r="K2126">
        <v>0</v>
      </c>
      <c r="L2126">
        <v>200</v>
      </c>
      <c r="M2126">
        <v>0</v>
      </c>
      <c r="N2126">
        <v>0</v>
      </c>
      <c r="O2126">
        <v>0</v>
      </c>
      <c r="P2126">
        <v>30</v>
      </c>
      <c r="Q2126">
        <v>0</v>
      </c>
      <c r="R2126">
        <v>0</v>
      </c>
      <c r="S2126">
        <v>0</v>
      </c>
      <c r="T2126">
        <v>0</v>
      </c>
      <c r="U2126">
        <v>0</v>
      </c>
      <c r="V2126">
        <v>4</v>
      </c>
      <c r="W2126">
        <v>28</v>
      </c>
      <c r="X2126">
        <v>0</v>
      </c>
      <c r="Z2126">
        <v>0</v>
      </c>
      <c r="AA2126">
        <v>0</v>
      </c>
      <c r="AB2126">
        <v>9</v>
      </c>
      <c r="AC2126">
        <v>153</v>
      </c>
      <c r="AD2126" t="s">
        <v>4034</v>
      </c>
    </row>
    <row r="2127" spans="1:30" x14ac:dyDescent="0.25">
      <c r="H2127" t="s">
        <v>4035</v>
      </c>
    </row>
    <row r="2128" spans="1:30" x14ac:dyDescent="0.25">
      <c r="A2128">
        <v>1061</v>
      </c>
      <c r="B2128">
        <v>4910</v>
      </c>
      <c r="C2128" t="s">
        <v>4036</v>
      </c>
      <c r="D2128" t="s">
        <v>4037</v>
      </c>
      <c r="E2128" t="s">
        <v>107</v>
      </c>
      <c r="F2128" t="s">
        <v>4038</v>
      </c>
      <c r="G2128" t="str">
        <f>"00351099"</f>
        <v>00351099</v>
      </c>
      <c r="H2128" t="s">
        <v>2116</v>
      </c>
      <c r="I2128">
        <v>0</v>
      </c>
      <c r="J2128">
        <v>0</v>
      </c>
      <c r="K2128">
        <v>0</v>
      </c>
      <c r="L2128">
        <v>200</v>
      </c>
      <c r="M2128">
        <v>0</v>
      </c>
      <c r="N2128">
        <v>30</v>
      </c>
      <c r="O2128">
        <v>0</v>
      </c>
      <c r="P2128">
        <v>0</v>
      </c>
      <c r="Q2128">
        <v>0</v>
      </c>
      <c r="R2128">
        <v>0</v>
      </c>
      <c r="S2128">
        <v>0</v>
      </c>
      <c r="T2128">
        <v>0</v>
      </c>
      <c r="U2128">
        <v>0</v>
      </c>
      <c r="V2128">
        <v>18</v>
      </c>
      <c r="W2128">
        <v>126</v>
      </c>
      <c r="X2128">
        <v>0</v>
      </c>
      <c r="Z2128">
        <v>0</v>
      </c>
      <c r="AA2128">
        <v>0</v>
      </c>
      <c r="AB2128">
        <v>13</v>
      </c>
      <c r="AC2128">
        <v>221</v>
      </c>
      <c r="AD2128" t="s">
        <v>4039</v>
      </c>
    </row>
    <row r="2129" spans="1:30" x14ac:dyDescent="0.25">
      <c r="H2129" t="s">
        <v>4040</v>
      </c>
    </row>
    <row r="2130" spans="1:30" x14ac:dyDescent="0.25">
      <c r="A2130">
        <v>1062</v>
      </c>
      <c r="B2130">
        <v>4874</v>
      </c>
      <c r="C2130" t="s">
        <v>4041</v>
      </c>
      <c r="D2130" t="s">
        <v>4042</v>
      </c>
      <c r="E2130" t="s">
        <v>47</v>
      </c>
      <c r="F2130" t="s">
        <v>4043</v>
      </c>
      <c r="G2130" t="str">
        <f>"201406013797"</f>
        <v>201406013797</v>
      </c>
      <c r="H2130" t="s">
        <v>2313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70</v>
      </c>
      <c r="O2130">
        <v>0</v>
      </c>
      <c r="P2130">
        <v>0</v>
      </c>
      <c r="Q2130">
        <v>0</v>
      </c>
      <c r="R2130">
        <v>0</v>
      </c>
      <c r="S2130">
        <v>0</v>
      </c>
      <c r="T2130">
        <v>0</v>
      </c>
      <c r="U2130">
        <v>0</v>
      </c>
      <c r="V2130">
        <v>84</v>
      </c>
      <c r="W2130">
        <v>588</v>
      </c>
      <c r="X2130">
        <v>0</v>
      </c>
      <c r="Z2130">
        <v>0</v>
      </c>
      <c r="AA2130">
        <v>0</v>
      </c>
      <c r="AB2130">
        <v>0</v>
      </c>
      <c r="AC2130">
        <v>0</v>
      </c>
      <c r="AD2130" t="s">
        <v>4044</v>
      </c>
    </row>
    <row r="2131" spans="1:30" x14ac:dyDescent="0.25">
      <c r="H2131" t="s">
        <v>4045</v>
      </c>
    </row>
    <row r="2132" spans="1:30" x14ac:dyDescent="0.25">
      <c r="A2132">
        <v>1063</v>
      </c>
      <c r="B2132">
        <v>2479</v>
      </c>
      <c r="C2132" t="s">
        <v>4046</v>
      </c>
      <c r="D2132" t="s">
        <v>4047</v>
      </c>
      <c r="E2132" t="s">
        <v>115</v>
      </c>
      <c r="F2132" t="s">
        <v>4048</v>
      </c>
      <c r="G2132" t="str">
        <f>"201511006902"</f>
        <v>201511006902</v>
      </c>
      <c r="H2132" t="s">
        <v>3999</v>
      </c>
      <c r="I2132">
        <v>0</v>
      </c>
      <c r="J2132">
        <v>0</v>
      </c>
      <c r="K2132">
        <v>0</v>
      </c>
      <c r="L2132">
        <v>0</v>
      </c>
      <c r="M2132">
        <v>0</v>
      </c>
      <c r="N2132">
        <v>0</v>
      </c>
      <c r="O2132">
        <v>0</v>
      </c>
      <c r="P2132">
        <v>0</v>
      </c>
      <c r="Q2132">
        <v>0</v>
      </c>
      <c r="R2132">
        <v>0</v>
      </c>
      <c r="S2132">
        <v>0</v>
      </c>
      <c r="T2132">
        <v>0</v>
      </c>
      <c r="U2132">
        <v>0</v>
      </c>
      <c r="V2132">
        <v>25</v>
      </c>
      <c r="W2132">
        <v>175</v>
      </c>
      <c r="X2132">
        <v>0</v>
      </c>
      <c r="Z2132">
        <v>0</v>
      </c>
      <c r="AA2132">
        <v>0</v>
      </c>
      <c r="AB2132">
        <v>24</v>
      </c>
      <c r="AC2132">
        <v>408</v>
      </c>
      <c r="AD2132" t="s">
        <v>4049</v>
      </c>
    </row>
    <row r="2133" spans="1:30" x14ac:dyDescent="0.25">
      <c r="H2133" t="s">
        <v>4050</v>
      </c>
    </row>
    <row r="2134" spans="1:30" x14ac:dyDescent="0.25">
      <c r="A2134">
        <v>1064</v>
      </c>
      <c r="B2134">
        <v>3059</v>
      </c>
      <c r="C2134" t="s">
        <v>4051</v>
      </c>
      <c r="D2134" t="s">
        <v>526</v>
      </c>
      <c r="E2134" t="s">
        <v>51</v>
      </c>
      <c r="F2134" t="s">
        <v>4052</v>
      </c>
      <c r="G2134" t="str">
        <f>"00149148"</f>
        <v>00149148</v>
      </c>
      <c r="H2134">
        <v>693</v>
      </c>
      <c r="I2134">
        <v>0</v>
      </c>
      <c r="J2134">
        <v>0</v>
      </c>
      <c r="K2134">
        <v>0</v>
      </c>
      <c r="L2134">
        <v>0</v>
      </c>
      <c r="M2134">
        <v>0</v>
      </c>
      <c r="N2134">
        <v>0</v>
      </c>
      <c r="O2134">
        <v>0</v>
      </c>
      <c r="P2134">
        <v>0</v>
      </c>
      <c r="Q2134">
        <v>0</v>
      </c>
      <c r="R2134">
        <v>0</v>
      </c>
      <c r="S2134">
        <v>0</v>
      </c>
      <c r="T2134">
        <v>0</v>
      </c>
      <c r="U2134">
        <v>0</v>
      </c>
      <c r="V2134">
        <v>22</v>
      </c>
      <c r="W2134">
        <v>154</v>
      </c>
      <c r="X2134">
        <v>0</v>
      </c>
      <c r="Z2134">
        <v>0</v>
      </c>
      <c r="AA2134">
        <v>0</v>
      </c>
      <c r="AB2134">
        <v>24</v>
      </c>
      <c r="AC2134">
        <v>408</v>
      </c>
      <c r="AD2134">
        <v>1255</v>
      </c>
    </row>
    <row r="2135" spans="1:30" x14ac:dyDescent="0.25">
      <c r="H2135" t="s">
        <v>4053</v>
      </c>
    </row>
    <row r="2136" spans="1:30" x14ac:dyDescent="0.25">
      <c r="A2136">
        <v>1065</v>
      </c>
      <c r="B2136">
        <v>4806</v>
      </c>
      <c r="C2136" t="s">
        <v>4054</v>
      </c>
      <c r="D2136" t="s">
        <v>107</v>
      </c>
      <c r="E2136" t="s">
        <v>91</v>
      </c>
      <c r="F2136" t="s">
        <v>4055</v>
      </c>
      <c r="G2136" t="str">
        <f>"00215283"</f>
        <v>00215283</v>
      </c>
      <c r="H2136">
        <v>660</v>
      </c>
      <c r="I2136">
        <v>0</v>
      </c>
      <c r="J2136">
        <v>0</v>
      </c>
      <c r="K2136">
        <v>0</v>
      </c>
      <c r="L2136">
        <v>0</v>
      </c>
      <c r="M2136">
        <v>0</v>
      </c>
      <c r="N2136">
        <v>70</v>
      </c>
      <c r="O2136">
        <v>0</v>
      </c>
      <c r="P2136">
        <v>0</v>
      </c>
      <c r="Q2136">
        <v>0</v>
      </c>
      <c r="R2136">
        <v>0</v>
      </c>
      <c r="S2136">
        <v>0</v>
      </c>
      <c r="T2136">
        <v>0</v>
      </c>
      <c r="U2136">
        <v>0</v>
      </c>
      <c r="V2136">
        <v>75</v>
      </c>
      <c r="W2136">
        <v>525</v>
      </c>
      <c r="X2136">
        <v>0</v>
      </c>
      <c r="Z2136">
        <v>0</v>
      </c>
      <c r="AA2136">
        <v>0</v>
      </c>
      <c r="AB2136">
        <v>0</v>
      </c>
      <c r="AC2136">
        <v>0</v>
      </c>
      <c r="AD2136">
        <v>1255</v>
      </c>
    </row>
    <row r="2137" spans="1:30" x14ac:dyDescent="0.25">
      <c r="H2137" t="s">
        <v>4056</v>
      </c>
    </row>
    <row r="2138" spans="1:30" x14ac:dyDescent="0.25">
      <c r="A2138">
        <v>1066</v>
      </c>
      <c r="B2138">
        <v>5881</v>
      </c>
      <c r="C2138" t="s">
        <v>4057</v>
      </c>
      <c r="D2138" t="s">
        <v>335</v>
      </c>
      <c r="E2138" t="s">
        <v>162</v>
      </c>
      <c r="F2138" t="s">
        <v>4058</v>
      </c>
      <c r="G2138" t="str">
        <f>"201411000091"</f>
        <v>201411000091</v>
      </c>
      <c r="H2138" t="s">
        <v>754</v>
      </c>
      <c r="I2138">
        <v>0</v>
      </c>
      <c r="J2138">
        <v>0</v>
      </c>
      <c r="K2138">
        <v>0</v>
      </c>
      <c r="L2138">
        <v>200</v>
      </c>
      <c r="M2138">
        <v>0</v>
      </c>
      <c r="N2138">
        <v>30</v>
      </c>
      <c r="O2138">
        <v>0</v>
      </c>
      <c r="P2138">
        <v>0</v>
      </c>
      <c r="Q2138">
        <v>0</v>
      </c>
      <c r="R2138">
        <v>0</v>
      </c>
      <c r="S2138">
        <v>0</v>
      </c>
      <c r="T2138">
        <v>0</v>
      </c>
      <c r="U2138">
        <v>0</v>
      </c>
      <c r="V2138">
        <v>43</v>
      </c>
      <c r="W2138">
        <v>301</v>
      </c>
      <c r="X2138">
        <v>0</v>
      </c>
      <c r="Z2138">
        <v>0</v>
      </c>
      <c r="AA2138">
        <v>0</v>
      </c>
      <c r="AB2138">
        <v>0</v>
      </c>
      <c r="AC2138">
        <v>0</v>
      </c>
      <c r="AD2138" t="s">
        <v>4059</v>
      </c>
    </row>
    <row r="2139" spans="1:30" x14ac:dyDescent="0.25">
      <c r="H2139">
        <v>1249</v>
      </c>
    </row>
    <row r="2140" spans="1:30" x14ac:dyDescent="0.25">
      <c r="A2140">
        <v>1067</v>
      </c>
      <c r="B2140">
        <v>3403</v>
      </c>
      <c r="C2140" t="s">
        <v>4060</v>
      </c>
      <c r="D2140" t="s">
        <v>495</v>
      </c>
      <c r="E2140" t="s">
        <v>162</v>
      </c>
      <c r="F2140" t="s">
        <v>4061</v>
      </c>
      <c r="G2140" t="str">
        <f>"00012410"</f>
        <v>00012410</v>
      </c>
      <c r="H2140" t="s">
        <v>1150</v>
      </c>
      <c r="I2140">
        <v>0</v>
      </c>
      <c r="J2140">
        <v>0</v>
      </c>
      <c r="K2140">
        <v>0</v>
      </c>
      <c r="L2140">
        <v>0</v>
      </c>
      <c r="M2140">
        <v>0</v>
      </c>
      <c r="N2140">
        <v>70</v>
      </c>
      <c r="O2140">
        <v>0</v>
      </c>
      <c r="P2140">
        <v>0</v>
      </c>
      <c r="Q2140">
        <v>0</v>
      </c>
      <c r="R2140">
        <v>0</v>
      </c>
      <c r="S2140">
        <v>0</v>
      </c>
      <c r="T2140">
        <v>0</v>
      </c>
      <c r="U2140">
        <v>0</v>
      </c>
      <c r="V2140">
        <v>69</v>
      </c>
      <c r="W2140">
        <v>483</v>
      </c>
      <c r="X2140">
        <v>0</v>
      </c>
      <c r="Z2140">
        <v>1</v>
      </c>
      <c r="AA2140">
        <v>0</v>
      </c>
      <c r="AB2140">
        <v>0</v>
      </c>
      <c r="AC2140">
        <v>0</v>
      </c>
      <c r="AD2140" t="s">
        <v>4059</v>
      </c>
    </row>
    <row r="2141" spans="1:30" x14ac:dyDescent="0.25">
      <c r="H2141" t="s">
        <v>4062</v>
      </c>
    </row>
    <row r="2142" spans="1:30" x14ac:dyDescent="0.25">
      <c r="A2142">
        <v>1068</v>
      </c>
      <c r="B2142">
        <v>4955</v>
      </c>
      <c r="C2142" t="s">
        <v>4063</v>
      </c>
      <c r="D2142" t="s">
        <v>4064</v>
      </c>
      <c r="E2142" t="s">
        <v>224</v>
      </c>
      <c r="F2142" t="s">
        <v>4065</v>
      </c>
      <c r="G2142" t="str">
        <f>"200801009122"</f>
        <v>200801009122</v>
      </c>
      <c r="H2142">
        <v>825</v>
      </c>
      <c r="I2142">
        <v>0</v>
      </c>
      <c r="J2142">
        <v>0</v>
      </c>
      <c r="K2142">
        <v>0</v>
      </c>
      <c r="L2142">
        <v>0</v>
      </c>
      <c r="M2142">
        <v>0</v>
      </c>
      <c r="N2142">
        <v>30</v>
      </c>
      <c r="O2142">
        <v>0</v>
      </c>
      <c r="P2142">
        <v>0</v>
      </c>
      <c r="Q2142">
        <v>0</v>
      </c>
      <c r="R2142">
        <v>0</v>
      </c>
      <c r="S2142">
        <v>0</v>
      </c>
      <c r="T2142">
        <v>0</v>
      </c>
      <c r="U2142">
        <v>0</v>
      </c>
      <c r="V2142">
        <v>57</v>
      </c>
      <c r="W2142">
        <v>399</v>
      </c>
      <c r="X2142">
        <v>0</v>
      </c>
      <c r="Z2142">
        <v>0</v>
      </c>
      <c r="AA2142">
        <v>0</v>
      </c>
      <c r="AB2142">
        <v>0</v>
      </c>
      <c r="AC2142">
        <v>0</v>
      </c>
      <c r="AD2142">
        <v>1254</v>
      </c>
    </row>
    <row r="2143" spans="1:30" x14ac:dyDescent="0.25">
      <c r="H2143" t="s">
        <v>4066</v>
      </c>
    </row>
    <row r="2144" spans="1:30" x14ac:dyDescent="0.25">
      <c r="A2144">
        <v>1069</v>
      </c>
      <c r="B2144">
        <v>4780</v>
      </c>
      <c r="C2144" t="s">
        <v>4067</v>
      </c>
      <c r="D2144" t="s">
        <v>2438</v>
      </c>
      <c r="E2144" t="s">
        <v>140</v>
      </c>
      <c r="F2144" t="s">
        <v>4068</v>
      </c>
      <c r="G2144" t="str">
        <f>"00173621"</f>
        <v>00173621</v>
      </c>
      <c r="H2144">
        <v>616</v>
      </c>
      <c r="I2144">
        <v>0</v>
      </c>
      <c r="J2144">
        <v>0</v>
      </c>
      <c r="K2144">
        <v>0</v>
      </c>
      <c r="L2144">
        <v>0</v>
      </c>
      <c r="M2144">
        <v>0</v>
      </c>
      <c r="N2144">
        <v>50</v>
      </c>
      <c r="O2144">
        <v>0</v>
      </c>
      <c r="P2144">
        <v>0</v>
      </c>
      <c r="Q2144">
        <v>0</v>
      </c>
      <c r="R2144">
        <v>0</v>
      </c>
      <c r="S2144">
        <v>0</v>
      </c>
      <c r="T2144">
        <v>0</v>
      </c>
      <c r="U2144">
        <v>0</v>
      </c>
      <c r="V2144">
        <v>84</v>
      </c>
      <c r="W2144">
        <v>588</v>
      </c>
      <c r="X2144">
        <v>0</v>
      </c>
      <c r="Z2144">
        <v>0</v>
      </c>
      <c r="AA2144">
        <v>0</v>
      </c>
      <c r="AB2144">
        <v>0</v>
      </c>
      <c r="AC2144">
        <v>0</v>
      </c>
      <c r="AD2144">
        <v>1254</v>
      </c>
    </row>
    <row r="2145" spans="1:30" x14ac:dyDescent="0.25">
      <c r="H2145" t="s">
        <v>4069</v>
      </c>
    </row>
    <row r="2146" spans="1:30" x14ac:dyDescent="0.25">
      <c r="A2146">
        <v>1070</v>
      </c>
      <c r="B2146">
        <v>1395</v>
      </c>
      <c r="C2146" t="s">
        <v>2566</v>
      </c>
      <c r="D2146" t="s">
        <v>3292</v>
      </c>
      <c r="E2146" t="s">
        <v>40</v>
      </c>
      <c r="F2146" t="s">
        <v>4070</v>
      </c>
      <c r="G2146" t="str">
        <f>"00273210"</f>
        <v>00273210</v>
      </c>
      <c r="H2146" t="s">
        <v>436</v>
      </c>
      <c r="I2146">
        <v>0</v>
      </c>
      <c r="J2146">
        <v>0</v>
      </c>
      <c r="K2146">
        <v>0</v>
      </c>
      <c r="L2146">
        <v>0</v>
      </c>
      <c r="M2146">
        <v>0</v>
      </c>
      <c r="N2146">
        <v>0</v>
      </c>
      <c r="O2146">
        <v>0</v>
      </c>
      <c r="P2146">
        <v>0</v>
      </c>
      <c r="Q2146">
        <v>0</v>
      </c>
      <c r="R2146">
        <v>0</v>
      </c>
      <c r="S2146">
        <v>0</v>
      </c>
      <c r="T2146">
        <v>0</v>
      </c>
      <c r="U2146">
        <v>0</v>
      </c>
      <c r="V2146">
        <v>84</v>
      </c>
      <c r="W2146">
        <v>588</v>
      </c>
      <c r="X2146">
        <v>0</v>
      </c>
      <c r="Z2146">
        <v>3</v>
      </c>
      <c r="AA2146">
        <v>0</v>
      </c>
      <c r="AB2146">
        <v>0</v>
      </c>
      <c r="AC2146">
        <v>0</v>
      </c>
      <c r="AD2146" t="s">
        <v>4071</v>
      </c>
    </row>
    <row r="2147" spans="1:30" x14ac:dyDescent="0.25">
      <c r="H2147" t="s">
        <v>4072</v>
      </c>
    </row>
    <row r="2148" spans="1:30" x14ac:dyDescent="0.25">
      <c r="A2148">
        <v>1071</v>
      </c>
      <c r="B2148">
        <v>1149</v>
      </c>
      <c r="C2148" t="s">
        <v>4073</v>
      </c>
      <c r="D2148" t="s">
        <v>3085</v>
      </c>
      <c r="E2148" t="s">
        <v>238</v>
      </c>
      <c r="F2148" t="s">
        <v>4074</v>
      </c>
      <c r="G2148" t="str">
        <f>"201203000104"</f>
        <v>201203000104</v>
      </c>
      <c r="H2148" t="s">
        <v>514</v>
      </c>
      <c r="I2148">
        <v>0</v>
      </c>
      <c r="J2148">
        <v>0</v>
      </c>
      <c r="K2148">
        <v>0</v>
      </c>
      <c r="L2148">
        <v>0</v>
      </c>
      <c r="M2148">
        <v>0</v>
      </c>
      <c r="N2148">
        <v>30</v>
      </c>
      <c r="O2148">
        <v>0</v>
      </c>
      <c r="P2148">
        <v>0</v>
      </c>
      <c r="Q2148">
        <v>0</v>
      </c>
      <c r="R2148">
        <v>0</v>
      </c>
      <c r="S2148">
        <v>0</v>
      </c>
      <c r="T2148">
        <v>0</v>
      </c>
      <c r="U2148">
        <v>0</v>
      </c>
      <c r="V2148">
        <v>9</v>
      </c>
      <c r="W2148">
        <v>63</v>
      </c>
      <c r="X2148">
        <v>0</v>
      </c>
      <c r="Z2148">
        <v>0</v>
      </c>
      <c r="AA2148">
        <v>0</v>
      </c>
      <c r="AB2148">
        <v>24</v>
      </c>
      <c r="AC2148">
        <v>408</v>
      </c>
      <c r="AD2148" t="s">
        <v>4075</v>
      </c>
    </row>
    <row r="2149" spans="1:30" x14ac:dyDescent="0.25">
      <c r="H2149" t="s">
        <v>4076</v>
      </c>
    </row>
    <row r="2150" spans="1:30" x14ac:dyDescent="0.25">
      <c r="A2150">
        <v>1072</v>
      </c>
      <c r="B2150">
        <v>5130</v>
      </c>
      <c r="C2150" t="s">
        <v>4077</v>
      </c>
      <c r="D2150" t="s">
        <v>335</v>
      </c>
      <c r="E2150" t="s">
        <v>239</v>
      </c>
      <c r="F2150" t="s">
        <v>4078</v>
      </c>
      <c r="G2150" t="str">
        <f>"201506004217"</f>
        <v>201506004217</v>
      </c>
      <c r="H2150" t="s">
        <v>1825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30</v>
      </c>
      <c r="O2150">
        <v>0</v>
      </c>
      <c r="P2150">
        <v>0</v>
      </c>
      <c r="Q2150">
        <v>0</v>
      </c>
      <c r="R2150">
        <v>0</v>
      </c>
      <c r="S2150">
        <v>0</v>
      </c>
      <c r="T2150">
        <v>0</v>
      </c>
      <c r="U2150">
        <v>0</v>
      </c>
      <c r="V2150">
        <v>69</v>
      </c>
      <c r="W2150">
        <v>483</v>
      </c>
      <c r="X2150">
        <v>0</v>
      </c>
      <c r="Z2150">
        <v>0</v>
      </c>
      <c r="AA2150">
        <v>0</v>
      </c>
      <c r="AB2150">
        <v>0</v>
      </c>
      <c r="AC2150">
        <v>0</v>
      </c>
      <c r="AD2150" t="s">
        <v>4079</v>
      </c>
    </row>
    <row r="2151" spans="1:30" x14ac:dyDescent="0.25">
      <c r="H2151" t="s">
        <v>4080</v>
      </c>
    </row>
    <row r="2152" spans="1:30" x14ac:dyDescent="0.25">
      <c r="A2152">
        <v>1073</v>
      </c>
      <c r="B2152">
        <v>5172</v>
      </c>
      <c r="C2152" t="s">
        <v>4081</v>
      </c>
      <c r="D2152" t="s">
        <v>4082</v>
      </c>
      <c r="E2152" t="s">
        <v>190</v>
      </c>
      <c r="F2152" t="s">
        <v>4083</v>
      </c>
      <c r="G2152" t="str">
        <f>"201511035983"</f>
        <v>201511035983</v>
      </c>
      <c r="H2152" t="s">
        <v>1261</v>
      </c>
      <c r="I2152">
        <v>0</v>
      </c>
      <c r="J2152">
        <v>0</v>
      </c>
      <c r="K2152">
        <v>0</v>
      </c>
      <c r="L2152">
        <v>0</v>
      </c>
      <c r="M2152">
        <v>0</v>
      </c>
      <c r="N2152">
        <v>30</v>
      </c>
      <c r="O2152">
        <v>0</v>
      </c>
      <c r="P2152">
        <v>0</v>
      </c>
      <c r="Q2152">
        <v>0</v>
      </c>
      <c r="R2152">
        <v>0</v>
      </c>
      <c r="S2152">
        <v>0</v>
      </c>
      <c r="T2152">
        <v>0</v>
      </c>
      <c r="U2152">
        <v>0</v>
      </c>
      <c r="V2152">
        <v>80</v>
      </c>
      <c r="W2152">
        <v>560</v>
      </c>
      <c r="X2152">
        <v>0</v>
      </c>
      <c r="Z2152">
        <v>0</v>
      </c>
      <c r="AA2152">
        <v>0</v>
      </c>
      <c r="AB2152">
        <v>0</v>
      </c>
      <c r="AC2152">
        <v>0</v>
      </c>
      <c r="AD2152" t="s">
        <v>4079</v>
      </c>
    </row>
    <row r="2153" spans="1:30" x14ac:dyDescent="0.25">
      <c r="H2153" t="s">
        <v>1697</v>
      </c>
    </row>
    <row r="2154" spans="1:30" x14ac:dyDescent="0.25">
      <c r="A2154">
        <v>1074</v>
      </c>
      <c r="B2154">
        <v>168</v>
      </c>
      <c r="C2154" t="s">
        <v>4084</v>
      </c>
      <c r="D2154" t="s">
        <v>98</v>
      </c>
      <c r="E2154" t="s">
        <v>183</v>
      </c>
      <c r="F2154" t="s">
        <v>4085</v>
      </c>
      <c r="G2154" t="str">
        <f>"00296736"</f>
        <v>00296736</v>
      </c>
      <c r="H2154" t="s">
        <v>2545</v>
      </c>
      <c r="I2154">
        <v>0</v>
      </c>
      <c r="J2154">
        <v>0</v>
      </c>
      <c r="K2154">
        <v>0</v>
      </c>
      <c r="L2154">
        <v>200</v>
      </c>
      <c r="M2154">
        <v>0</v>
      </c>
      <c r="N2154">
        <v>50</v>
      </c>
      <c r="O2154">
        <v>0</v>
      </c>
      <c r="P2154">
        <v>0</v>
      </c>
      <c r="Q2154">
        <v>0</v>
      </c>
      <c r="R2154">
        <v>0</v>
      </c>
      <c r="S2154">
        <v>0</v>
      </c>
      <c r="T2154">
        <v>0</v>
      </c>
      <c r="U2154">
        <v>0</v>
      </c>
      <c r="V2154">
        <v>35</v>
      </c>
      <c r="W2154">
        <v>245</v>
      </c>
      <c r="X2154">
        <v>0</v>
      </c>
      <c r="Z2154">
        <v>0</v>
      </c>
      <c r="AA2154">
        <v>0</v>
      </c>
      <c r="AB2154">
        <v>0</v>
      </c>
      <c r="AC2154">
        <v>0</v>
      </c>
      <c r="AD2154" t="s">
        <v>4086</v>
      </c>
    </row>
    <row r="2155" spans="1:30" x14ac:dyDescent="0.25">
      <c r="H2155" t="s">
        <v>4087</v>
      </c>
    </row>
    <row r="2156" spans="1:30" x14ac:dyDescent="0.25">
      <c r="A2156">
        <v>1075</v>
      </c>
      <c r="B2156">
        <v>5585</v>
      </c>
      <c r="C2156" t="s">
        <v>4088</v>
      </c>
      <c r="D2156" t="s">
        <v>99</v>
      </c>
      <c r="E2156" t="s">
        <v>4089</v>
      </c>
      <c r="F2156" t="s">
        <v>4090</v>
      </c>
      <c r="G2156" t="str">
        <f>"201405000119"</f>
        <v>201405000119</v>
      </c>
      <c r="H2156" t="s">
        <v>4091</v>
      </c>
      <c r="I2156">
        <v>0</v>
      </c>
      <c r="J2156">
        <v>0</v>
      </c>
      <c r="K2156">
        <v>0</v>
      </c>
      <c r="L2156">
        <v>0</v>
      </c>
      <c r="M2156">
        <v>0</v>
      </c>
      <c r="N2156">
        <v>30</v>
      </c>
      <c r="O2156">
        <v>0</v>
      </c>
      <c r="P2156">
        <v>0</v>
      </c>
      <c r="Q2156">
        <v>0</v>
      </c>
      <c r="R2156">
        <v>0</v>
      </c>
      <c r="S2156">
        <v>0</v>
      </c>
      <c r="T2156">
        <v>0</v>
      </c>
      <c r="U2156">
        <v>0</v>
      </c>
      <c r="V2156">
        <v>84</v>
      </c>
      <c r="W2156">
        <v>588</v>
      </c>
      <c r="X2156">
        <v>0</v>
      </c>
      <c r="Z2156">
        <v>0</v>
      </c>
      <c r="AA2156">
        <v>0</v>
      </c>
      <c r="AB2156">
        <v>0</v>
      </c>
      <c r="AC2156">
        <v>0</v>
      </c>
      <c r="AD2156" t="s">
        <v>4092</v>
      </c>
    </row>
    <row r="2157" spans="1:30" x14ac:dyDescent="0.25">
      <c r="H2157" t="s">
        <v>4093</v>
      </c>
    </row>
    <row r="2158" spans="1:30" x14ac:dyDescent="0.25">
      <c r="A2158">
        <v>1076</v>
      </c>
      <c r="B2158">
        <v>3289</v>
      </c>
      <c r="C2158" t="s">
        <v>4094</v>
      </c>
      <c r="D2158" t="s">
        <v>1289</v>
      </c>
      <c r="E2158" t="s">
        <v>107</v>
      </c>
      <c r="F2158" t="s">
        <v>4095</v>
      </c>
      <c r="G2158" t="str">
        <f>"00203488"</f>
        <v>00203488</v>
      </c>
      <c r="H2158" t="s">
        <v>1256</v>
      </c>
      <c r="I2158">
        <v>0</v>
      </c>
      <c r="J2158">
        <v>0</v>
      </c>
      <c r="K2158">
        <v>0</v>
      </c>
      <c r="L2158">
        <v>0</v>
      </c>
      <c r="M2158">
        <v>0</v>
      </c>
      <c r="N2158">
        <v>0</v>
      </c>
      <c r="O2158">
        <v>0</v>
      </c>
      <c r="P2158">
        <v>0</v>
      </c>
      <c r="Q2158">
        <v>0</v>
      </c>
      <c r="R2158">
        <v>0</v>
      </c>
      <c r="S2158">
        <v>0</v>
      </c>
      <c r="T2158">
        <v>0</v>
      </c>
      <c r="U2158">
        <v>0</v>
      </c>
      <c r="V2158">
        <v>84</v>
      </c>
      <c r="W2158">
        <v>588</v>
      </c>
      <c r="X2158">
        <v>0</v>
      </c>
      <c r="Z2158">
        <v>1</v>
      </c>
      <c r="AA2158">
        <v>0</v>
      </c>
      <c r="AB2158">
        <v>0</v>
      </c>
      <c r="AC2158">
        <v>0</v>
      </c>
      <c r="AD2158" t="s">
        <v>4096</v>
      </c>
    </row>
    <row r="2159" spans="1:30" x14ac:dyDescent="0.25">
      <c r="H2159">
        <v>1250</v>
      </c>
    </row>
    <row r="2160" spans="1:30" x14ac:dyDescent="0.25">
      <c r="A2160">
        <v>1077</v>
      </c>
      <c r="B2160">
        <v>3768</v>
      </c>
      <c r="C2160" t="s">
        <v>4097</v>
      </c>
      <c r="D2160" t="s">
        <v>346</v>
      </c>
      <c r="E2160" t="s">
        <v>151</v>
      </c>
      <c r="F2160" t="s">
        <v>4098</v>
      </c>
      <c r="G2160" t="str">
        <f>"00361258"</f>
        <v>00361258</v>
      </c>
      <c r="H2160" t="s">
        <v>1256</v>
      </c>
      <c r="I2160">
        <v>0</v>
      </c>
      <c r="J2160">
        <v>0</v>
      </c>
      <c r="K2160">
        <v>0</v>
      </c>
      <c r="L2160">
        <v>0</v>
      </c>
      <c r="M2160">
        <v>0</v>
      </c>
      <c r="N2160">
        <v>0</v>
      </c>
      <c r="O2160">
        <v>0</v>
      </c>
      <c r="P2160">
        <v>0</v>
      </c>
      <c r="Q2160">
        <v>0</v>
      </c>
      <c r="R2160">
        <v>0</v>
      </c>
      <c r="S2160">
        <v>0</v>
      </c>
      <c r="T2160">
        <v>0</v>
      </c>
      <c r="U2160">
        <v>0</v>
      </c>
      <c r="V2160">
        <v>84</v>
      </c>
      <c r="W2160">
        <v>588</v>
      </c>
      <c r="X2160">
        <v>0</v>
      </c>
      <c r="Z2160">
        <v>0</v>
      </c>
      <c r="AA2160">
        <v>0</v>
      </c>
      <c r="AB2160">
        <v>0</v>
      </c>
      <c r="AC2160">
        <v>0</v>
      </c>
      <c r="AD2160" t="s">
        <v>4096</v>
      </c>
    </row>
    <row r="2161" spans="1:30" x14ac:dyDescent="0.25">
      <c r="H2161">
        <v>1247</v>
      </c>
    </row>
    <row r="2162" spans="1:30" x14ac:dyDescent="0.25">
      <c r="A2162">
        <v>1078</v>
      </c>
      <c r="B2162">
        <v>5097</v>
      </c>
      <c r="C2162" t="s">
        <v>4099</v>
      </c>
      <c r="D2162" t="s">
        <v>3782</v>
      </c>
      <c r="E2162" t="s">
        <v>107</v>
      </c>
      <c r="F2162" t="s">
        <v>4100</v>
      </c>
      <c r="G2162" t="str">
        <f>"00293568"</f>
        <v>00293568</v>
      </c>
      <c r="H2162" t="s">
        <v>2928</v>
      </c>
      <c r="I2162">
        <v>0</v>
      </c>
      <c r="J2162">
        <v>0</v>
      </c>
      <c r="K2162">
        <v>0</v>
      </c>
      <c r="L2162">
        <v>0</v>
      </c>
      <c r="M2162">
        <v>0</v>
      </c>
      <c r="N2162">
        <v>0</v>
      </c>
      <c r="O2162">
        <v>0</v>
      </c>
      <c r="P2162">
        <v>0</v>
      </c>
      <c r="Q2162">
        <v>0</v>
      </c>
      <c r="R2162">
        <v>0</v>
      </c>
      <c r="S2162">
        <v>0</v>
      </c>
      <c r="T2162">
        <v>0</v>
      </c>
      <c r="U2162">
        <v>0</v>
      </c>
      <c r="V2162">
        <v>75</v>
      </c>
      <c r="W2162">
        <v>525</v>
      </c>
      <c r="X2162">
        <v>0</v>
      </c>
      <c r="Z2162">
        <v>0</v>
      </c>
      <c r="AA2162">
        <v>0</v>
      </c>
      <c r="AB2162">
        <v>0</v>
      </c>
      <c r="AC2162">
        <v>0</v>
      </c>
      <c r="AD2162" t="s">
        <v>4101</v>
      </c>
    </row>
    <row r="2163" spans="1:30" x14ac:dyDescent="0.25">
      <c r="H2163" t="s">
        <v>4102</v>
      </c>
    </row>
    <row r="2164" spans="1:30" x14ac:dyDescent="0.25">
      <c r="A2164">
        <v>1079</v>
      </c>
      <c r="B2164">
        <v>3961</v>
      </c>
      <c r="C2164" t="s">
        <v>4103</v>
      </c>
      <c r="D2164" t="s">
        <v>271</v>
      </c>
      <c r="E2164" t="s">
        <v>1276</v>
      </c>
      <c r="F2164" t="s">
        <v>4104</v>
      </c>
      <c r="G2164" t="str">
        <f>"200801008075"</f>
        <v>200801008075</v>
      </c>
      <c r="H2164" t="s">
        <v>1063</v>
      </c>
      <c r="I2164">
        <v>150</v>
      </c>
      <c r="J2164">
        <v>0</v>
      </c>
      <c r="K2164">
        <v>0</v>
      </c>
      <c r="L2164">
        <v>0</v>
      </c>
      <c r="M2164">
        <v>0</v>
      </c>
      <c r="N2164">
        <v>0</v>
      </c>
      <c r="O2164">
        <v>0</v>
      </c>
      <c r="P2164">
        <v>70</v>
      </c>
      <c r="Q2164">
        <v>0</v>
      </c>
      <c r="R2164">
        <v>0</v>
      </c>
      <c r="S2164">
        <v>0</v>
      </c>
      <c r="T2164">
        <v>0</v>
      </c>
      <c r="U2164">
        <v>0</v>
      </c>
      <c r="V2164">
        <v>41</v>
      </c>
      <c r="W2164">
        <v>287</v>
      </c>
      <c r="X2164">
        <v>0</v>
      </c>
      <c r="Z2164">
        <v>0</v>
      </c>
      <c r="AA2164">
        <v>0</v>
      </c>
      <c r="AB2164">
        <v>0</v>
      </c>
      <c r="AC2164">
        <v>0</v>
      </c>
      <c r="AD2164" t="s">
        <v>4105</v>
      </c>
    </row>
    <row r="2165" spans="1:30" x14ac:dyDescent="0.25">
      <c r="H2165" t="s">
        <v>4106</v>
      </c>
    </row>
    <row r="2166" spans="1:30" x14ac:dyDescent="0.25">
      <c r="A2166">
        <v>1080</v>
      </c>
      <c r="B2166">
        <v>5043</v>
      </c>
      <c r="C2166" t="s">
        <v>4107</v>
      </c>
      <c r="D2166" t="s">
        <v>238</v>
      </c>
      <c r="E2166" t="s">
        <v>378</v>
      </c>
      <c r="F2166" t="s">
        <v>4108</v>
      </c>
      <c r="G2166" t="str">
        <f>"200802004732"</f>
        <v>200802004732</v>
      </c>
      <c r="H2166" t="s">
        <v>117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70</v>
      </c>
      <c r="O2166">
        <v>30</v>
      </c>
      <c r="P2166">
        <v>0</v>
      </c>
      <c r="Q2166">
        <v>0</v>
      </c>
      <c r="R2166">
        <v>0</v>
      </c>
      <c r="S2166">
        <v>0</v>
      </c>
      <c r="T2166">
        <v>0</v>
      </c>
      <c r="U2166">
        <v>0</v>
      </c>
      <c r="V2166">
        <v>60</v>
      </c>
      <c r="W2166">
        <v>420</v>
      </c>
      <c r="X2166">
        <v>0</v>
      </c>
      <c r="Z2166">
        <v>0</v>
      </c>
      <c r="AA2166">
        <v>0</v>
      </c>
      <c r="AB2166">
        <v>0</v>
      </c>
      <c r="AC2166">
        <v>0</v>
      </c>
      <c r="AD2166" t="s">
        <v>4109</v>
      </c>
    </row>
    <row r="2167" spans="1:30" x14ac:dyDescent="0.25">
      <c r="H2167" t="s">
        <v>4110</v>
      </c>
    </row>
    <row r="2168" spans="1:30" x14ac:dyDescent="0.25">
      <c r="A2168">
        <v>1081</v>
      </c>
      <c r="B2168">
        <v>3406</v>
      </c>
      <c r="C2168" t="s">
        <v>4111</v>
      </c>
      <c r="D2168" t="s">
        <v>3299</v>
      </c>
      <c r="E2168" t="s">
        <v>115</v>
      </c>
      <c r="F2168" t="s">
        <v>4112</v>
      </c>
      <c r="G2168" t="str">
        <f>"00363602"</f>
        <v>00363602</v>
      </c>
      <c r="H2168" t="s">
        <v>813</v>
      </c>
      <c r="I2168">
        <v>0</v>
      </c>
      <c r="J2168">
        <v>0</v>
      </c>
      <c r="K2168">
        <v>0</v>
      </c>
      <c r="L2168">
        <v>0</v>
      </c>
      <c r="M2168">
        <v>0</v>
      </c>
      <c r="N2168">
        <v>30</v>
      </c>
      <c r="O2168">
        <v>0</v>
      </c>
      <c r="P2168">
        <v>0</v>
      </c>
      <c r="Q2168">
        <v>0</v>
      </c>
      <c r="R2168">
        <v>0</v>
      </c>
      <c r="S2168">
        <v>0</v>
      </c>
      <c r="T2168">
        <v>0</v>
      </c>
      <c r="U2168">
        <v>0</v>
      </c>
      <c r="V2168">
        <v>69</v>
      </c>
      <c r="W2168">
        <v>483</v>
      </c>
      <c r="X2168">
        <v>0</v>
      </c>
      <c r="Z2168">
        <v>0</v>
      </c>
      <c r="AA2168">
        <v>0</v>
      </c>
      <c r="AB2168">
        <v>0</v>
      </c>
      <c r="AC2168">
        <v>0</v>
      </c>
      <c r="AD2168" t="s">
        <v>4113</v>
      </c>
    </row>
    <row r="2169" spans="1:30" x14ac:dyDescent="0.25">
      <c r="H2169" t="s">
        <v>4114</v>
      </c>
    </row>
    <row r="2170" spans="1:30" x14ac:dyDescent="0.25">
      <c r="A2170">
        <v>1082</v>
      </c>
      <c r="B2170">
        <v>6012</v>
      </c>
      <c r="C2170" t="s">
        <v>4115</v>
      </c>
      <c r="D2170" t="s">
        <v>103</v>
      </c>
      <c r="E2170" t="s">
        <v>4116</v>
      </c>
      <c r="F2170" t="s">
        <v>4117</v>
      </c>
      <c r="G2170" t="str">
        <f>"201406000145"</f>
        <v>201406000145</v>
      </c>
      <c r="H2170">
        <v>682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30</v>
      </c>
      <c r="O2170">
        <v>0</v>
      </c>
      <c r="P2170">
        <v>0</v>
      </c>
      <c r="Q2170">
        <v>0</v>
      </c>
      <c r="R2170">
        <v>0</v>
      </c>
      <c r="S2170">
        <v>0</v>
      </c>
      <c r="T2170">
        <v>0</v>
      </c>
      <c r="U2170">
        <v>0</v>
      </c>
      <c r="V2170">
        <v>77</v>
      </c>
      <c r="W2170">
        <v>539</v>
      </c>
      <c r="X2170">
        <v>0</v>
      </c>
      <c r="Z2170">
        <v>0</v>
      </c>
      <c r="AA2170">
        <v>0</v>
      </c>
      <c r="AB2170">
        <v>0</v>
      </c>
      <c r="AC2170">
        <v>0</v>
      </c>
      <c r="AD2170">
        <v>1251</v>
      </c>
    </row>
    <row r="2171" spans="1:30" x14ac:dyDescent="0.25">
      <c r="H2171" t="s">
        <v>4118</v>
      </c>
    </row>
    <row r="2172" spans="1:30" x14ac:dyDescent="0.25">
      <c r="A2172">
        <v>1083</v>
      </c>
      <c r="B2172">
        <v>3243</v>
      </c>
      <c r="C2172" t="s">
        <v>4119</v>
      </c>
      <c r="D2172" t="s">
        <v>636</v>
      </c>
      <c r="E2172" t="s">
        <v>595</v>
      </c>
      <c r="F2172" t="s">
        <v>4120</v>
      </c>
      <c r="G2172" t="str">
        <f>"201305000040"</f>
        <v>201305000040</v>
      </c>
      <c r="H2172" t="s">
        <v>988</v>
      </c>
      <c r="I2172">
        <v>0</v>
      </c>
      <c r="J2172">
        <v>0</v>
      </c>
      <c r="K2172">
        <v>0</v>
      </c>
      <c r="L2172">
        <v>0</v>
      </c>
      <c r="M2172">
        <v>100</v>
      </c>
      <c r="N2172">
        <v>30</v>
      </c>
      <c r="O2172">
        <v>0</v>
      </c>
      <c r="P2172">
        <v>0</v>
      </c>
      <c r="Q2172">
        <v>0</v>
      </c>
      <c r="R2172">
        <v>0</v>
      </c>
      <c r="S2172">
        <v>0</v>
      </c>
      <c r="T2172">
        <v>0</v>
      </c>
      <c r="U2172">
        <v>0</v>
      </c>
      <c r="V2172">
        <v>49</v>
      </c>
      <c r="W2172">
        <v>343</v>
      </c>
      <c r="X2172">
        <v>0</v>
      </c>
      <c r="Z2172">
        <v>0</v>
      </c>
      <c r="AA2172">
        <v>0</v>
      </c>
      <c r="AB2172">
        <v>0</v>
      </c>
      <c r="AC2172">
        <v>0</v>
      </c>
      <c r="AD2172" t="s">
        <v>4121</v>
      </c>
    </row>
    <row r="2173" spans="1:30" x14ac:dyDescent="0.25">
      <c r="H2173" t="s">
        <v>4122</v>
      </c>
    </row>
    <row r="2174" spans="1:30" x14ac:dyDescent="0.25">
      <c r="A2174">
        <v>1084</v>
      </c>
      <c r="B2174">
        <v>5480</v>
      </c>
      <c r="C2174" t="s">
        <v>4123</v>
      </c>
      <c r="D2174" t="s">
        <v>373</v>
      </c>
      <c r="E2174" t="s">
        <v>454</v>
      </c>
      <c r="F2174" t="s">
        <v>4124</v>
      </c>
      <c r="G2174" t="str">
        <f>"00201928"</f>
        <v>00201928</v>
      </c>
      <c r="H2174" t="s">
        <v>332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0</v>
      </c>
      <c r="O2174">
        <v>0</v>
      </c>
      <c r="P2174">
        <v>0</v>
      </c>
      <c r="Q2174">
        <v>0</v>
      </c>
      <c r="R2174">
        <v>0</v>
      </c>
      <c r="S2174">
        <v>0</v>
      </c>
      <c r="T2174">
        <v>0</v>
      </c>
      <c r="U2174">
        <v>0</v>
      </c>
      <c r="V2174">
        <v>74</v>
      </c>
      <c r="W2174">
        <v>518</v>
      </c>
      <c r="X2174">
        <v>0</v>
      </c>
      <c r="Z2174">
        <v>0</v>
      </c>
      <c r="AA2174">
        <v>0</v>
      </c>
      <c r="AB2174">
        <v>0</v>
      </c>
      <c r="AC2174">
        <v>0</v>
      </c>
      <c r="AD2174" t="s">
        <v>4125</v>
      </c>
    </row>
    <row r="2175" spans="1:30" x14ac:dyDescent="0.25">
      <c r="H2175">
        <v>1247</v>
      </c>
    </row>
    <row r="2176" spans="1:30" x14ac:dyDescent="0.25">
      <c r="A2176">
        <v>1085</v>
      </c>
      <c r="B2176">
        <v>4918</v>
      </c>
      <c r="C2176" t="s">
        <v>4126</v>
      </c>
      <c r="D2176" t="s">
        <v>830</v>
      </c>
      <c r="E2176" t="s">
        <v>47</v>
      </c>
      <c r="F2176" t="s">
        <v>4127</v>
      </c>
      <c r="G2176" t="str">
        <f>"00152706"</f>
        <v>00152706</v>
      </c>
      <c r="H2176" t="s">
        <v>231</v>
      </c>
      <c r="I2176">
        <v>0</v>
      </c>
      <c r="J2176">
        <v>0</v>
      </c>
      <c r="K2176">
        <v>0</v>
      </c>
      <c r="L2176">
        <v>0</v>
      </c>
      <c r="M2176">
        <v>0</v>
      </c>
      <c r="N2176">
        <v>30</v>
      </c>
      <c r="O2176">
        <v>0</v>
      </c>
      <c r="P2176">
        <v>0</v>
      </c>
      <c r="Q2176">
        <v>0</v>
      </c>
      <c r="R2176">
        <v>0</v>
      </c>
      <c r="S2176">
        <v>0</v>
      </c>
      <c r="T2176">
        <v>0</v>
      </c>
      <c r="U2176">
        <v>0</v>
      </c>
      <c r="V2176">
        <v>13</v>
      </c>
      <c r="W2176">
        <v>91</v>
      </c>
      <c r="X2176">
        <v>0</v>
      </c>
      <c r="Z2176">
        <v>0</v>
      </c>
      <c r="AA2176">
        <v>0</v>
      </c>
      <c r="AB2176">
        <v>24</v>
      </c>
      <c r="AC2176">
        <v>408</v>
      </c>
      <c r="AD2176" t="s">
        <v>4128</v>
      </c>
    </row>
    <row r="2177" spans="1:30" x14ac:dyDescent="0.25">
      <c r="H2177" t="s">
        <v>4129</v>
      </c>
    </row>
    <row r="2178" spans="1:30" x14ac:dyDescent="0.25">
      <c r="A2178">
        <v>1086</v>
      </c>
      <c r="B2178">
        <v>2042</v>
      </c>
      <c r="C2178" t="s">
        <v>4130</v>
      </c>
      <c r="D2178" t="s">
        <v>869</v>
      </c>
      <c r="E2178" t="s">
        <v>107</v>
      </c>
      <c r="F2178" t="s">
        <v>4131</v>
      </c>
      <c r="G2178" t="str">
        <f>"00185993"</f>
        <v>00185993</v>
      </c>
      <c r="H2178" t="s">
        <v>642</v>
      </c>
      <c r="I2178">
        <v>0</v>
      </c>
      <c r="J2178">
        <v>0</v>
      </c>
      <c r="K2178">
        <v>0</v>
      </c>
      <c r="L2178">
        <v>0</v>
      </c>
      <c r="M2178">
        <v>0</v>
      </c>
      <c r="N2178">
        <v>0</v>
      </c>
      <c r="O2178">
        <v>0</v>
      </c>
      <c r="P2178">
        <v>0</v>
      </c>
      <c r="Q2178">
        <v>0</v>
      </c>
      <c r="R2178">
        <v>0</v>
      </c>
      <c r="S2178">
        <v>0</v>
      </c>
      <c r="T2178">
        <v>0</v>
      </c>
      <c r="U2178">
        <v>0</v>
      </c>
      <c r="V2178">
        <v>84</v>
      </c>
      <c r="W2178">
        <v>588</v>
      </c>
      <c r="X2178">
        <v>0</v>
      </c>
      <c r="Z2178">
        <v>0</v>
      </c>
      <c r="AA2178">
        <v>0</v>
      </c>
      <c r="AB2178">
        <v>0</v>
      </c>
      <c r="AC2178">
        <v>0</v>
      </c>
      <c r="AD2178" t="s">
        <v>4132</v>
      </c>
    </row>
    <row r="2179" spans="1:30" x14ac:dyDescent="0.25">
      <c r="H2179" t="s">
        <v>4133</v>
      </c>
    </row>
    <row r="2180" spans="1:30" x14ac:dyDescent="0.25">
      <c r="A2180">
        <v>1087</v>
      </c>
      <c r="B2180">
        <v>638</v>
      </c>
      <c r="C2180" t="s">
        <v>4134</v>
      </c>
      <c r="D2180" t="s">
        <v>591</v>
      </c>
      <c r="E2180" t="s">
        <v>238</v>
      </c>
      <c r="F2180" t="s">
        <v>4135</v>
      </c>
      <c r="G2180" t="str">
        <f>"201403000109"</f>
        <v>201403000109</v>
      </c>
      <c r="H2180" t="s">
        <v>1825</v>
      </c>
      <c r="I2180">
        <v>0</v>
      </c>
      <c r="J2180">
        <v>0</v>
      </c>
      <c r="K2180">
        <v>0</v>
      </c>
      <c r="L2180">
        <v>200</v>
      </c>
      <c r="M2180">
        <v>0</v>
      </c>
      <c r="N2180">
        <v>70</v>
      </c>
      <c r="O2180">
        <v>0</v>
      </c>
      <c r="P2180">
        <v>0</v>
      </c>
      <c r="Q2180">
        <v>0</v>
      </c>
      <c r="R2180">
        <v>0</v>
      </c>
      <c r="S2180">
        <v>0</v>
      </c>
      <c r="T2180">
        <v>0</v>
      </c>
      <c r="U2180">
        <v>0</v>
      </c>
      <c r="V2180">
        <v>34</v>
      </c>
      <c r="W2180">
        <v>238</v>
      </c>
      <c r="X2180">
        <v>0</v>
      </c>
      <c r="Z2180">
        <v>0</v>
      </c>
      <c r="AA2180">
        <v>0</v>
      </c>
      <c r="AB2180">
        <v>0</v>
      </c>
      <c r="AC2180">
        <v>0</v>
      </c>
      <c r="AD2180" t="s">
        <v>4136</v>
      </c>
    </row>
    <row r="2181" spans="1:30" x14ac:dyDescent="0.25">
      <c r="H2181" t="s">
        <v>4137</v>
      </c>
    </row>
    <row r="2182" spans="1:30" x14ac:dyDescent="0.25">
      <c r="A2182">
        <v>1088</v>
      </c>
      <c r="B2182">
        <v>4154</v>
      </c>
      <c r="C2182" t="s">
        <v>4138</v>
      </c>
      <c r="D2182" t="s">
        <v>40</v>
      </c>
      <c r="E2182" t="s">
        <v>39</v>
      </c>
      <c r="F2182" t="s">
        <v>4139</v>
      </c>
      <c r="G2182" t="str">
        <f>"00350096"</f>
        <v>00350096</v>
      </c>
      <c r="H2182">
        <v>660</v>
      </c>
      <c r="I2182">
        <v>0</v>
      </c>
      <c r="J2182">
        <v>0</v>
      </c>
      <c r="K2182">
        <v>0</v>
      </c>
      <c r="L2182">
        <v>0</v>
      </c>
      <c r="M2182">
        <v>0</v>
      </c>
      <c r="N2182">
        <v>0</v>
      </c>
      <c r="O2182">
        <v>0</v>
      </c>
      <c r="P2182">
        <v>0</v>
      </c>
      <c r="Q2182">
        <v>0</v>
      </c>
      <c r="R2182">
        <v>0</v>
      </c>
      <c r="S2182">
        <v>0</v>
      </c>
      <c r="T2182">
        <v>0</v>
      </c>
      <c r="U2182">
        <v>0</v>
      </c>
      <c r="V2182">
        <v>84</v>
      </c>
      <c r="W2182">
        <v>588</v>
      </c>
      <c r="X2182">
        <v>0</v>
      </c>
      <c r="Z2182">
        <v>0</v>
      </c>
      <c r="AA2182">
        <v>0</v>
      </c>
      <c r="AB2182">
        <v>0</v>
      </c>
      <c r="AC2182">
        <v>0</v>
      </c>
      <c r="AD2182">
        <v>1248</v>
      </c>
    </row>
    <row r="2183" spans="1:30" x14ac:dyDescent="0.25">
      <c r="H2183" t="s">
        <v>4140</v>
      </c>
    </row>
    <row r="2184" spans="1:30" x14ac:dyDescent="0.25">
      <c r="A2184">
        <v>1089</v>
      </c>
      <c r="B2184">
        <v>5181</v>
      </c>
      <c r="C2184" t="s">
        <v>4141</v>
      </c>
      <c r="D2184" t="s">
        <v>4142</v>
      </c>
      <c r="E2184" t="s">
        <v>162</v>
      </c>
      <c r="F2184" t="s">
        <v>4143</v>
      </c>
      <c r="G2184" t="str">
        <f>"00356024"</f>
        <v>00356024</v>
      </c>
      <c r="H2184">
        <v>660</v>
      </c>
      <c r="I2184">
        <v>0</v>
      </c>
      <c r="J2184">
        <v>0</v>
      </c>
      <c r="K2184">
        <v>0</v>
      </c>
      <c r="L2184">
        <v>0</v>
      </c>
      <c r="M2184">
        <v>0</v>
      </c>
      <c r="N2184">
        <v>0</v>
      </c>
      <c r="O2184">
        <v>0</v>
      </c>
      <c r="P2184">
        <v>0</v>
      </c>
      <c r="Q2184">
        <v>0</v>
      </c>
      <c r="R2184">
        <v>0</v>
      </c>
      <c r="S2184">
        <v>0</v>
      </c>
      <c r="T2184">
        <v>0</v>
      </c>
      <c r="U2184">
        <v>0</v>
      </c>
      <c r="V2184">
        <v>84</v>
      </c>
      <c r="W2184">
        <v>588</v>
      </c>
      <c r="X2184">
        <v>0</v>
      </c>
      <c r="Z2184">
        <v>0</v>
      </c>
      <c r="AA2184">
        <v>0</v>
      </c>
      <c r="AB2184">
        <v>0</v>
      </c>
      <c r="AC2184">
        <v>0</v>
      </c>
      <c r="AD2184">
        <v>1248</v>
      </c>
    </row>
    <row r="2185" spans="1:30" x14ac:dyDescent="0.25">
      <c r="H2185" t="s">
        <v>4144</v>
      </c>
    </row>
    <row r="2186" spans="1:30" x14ac:dyDescent="0.25">
      <c r="A2186">
        <v>1090</v>
      </c>
      <c r="B2186">
        <v>2574</v>
      </c>
      <c r="C2186" t="s">
        <v>4145</v>
      </c>
      <c r="D2186" t="s">
        <v>1039</v>
      </c>
      <c r="E2186" t="s">
        <v>151</v>
      </c>
      <c r="F2186" t="s">
        <v>4146</v>
      </c>
      <c r="G2186" t="str">
        <f>"00326529"</f>
        <v>00326529</v>
      </c>
      <c r="H2186">
        <v>660</v>
      </c>
      <c r="I2186">
        <v>0</v>
      </c>
      <c r="J2186">
        <v>0</v>
      </c>
      <c r="K2186">
        <v>0</v>
      </c>
      <c r="L2186">
        <v>0</v>
      </c>
      <c r="M2186">
        <v>0</v>
      </c>
      <c r="N2186">
        <v>0</v>
      </c>
      <c r="O2186">
        <v>0</v>
      </c>
      <c r="P2186">
        <v>0</v>
      </c>
      <c r="Q2186">
        <v>0</v>
      </c>
      <c r="R2186">
        <v>0</v>
      </c>
      <c r="S2186">
        <v>0</v>
      </c>
      <c r="T2186">
        <v>0</v>
      </c>
      <c r="U2186">
        <v>0</v>
      </c>
      <c r="V2186">
        <v>84</v>
      </c>
      <c r="W2186">
        <v>588</v>
      </c>
      <c r="X2186">
        <v>0</v>
      </c>
      <c r="Z2186">
        <v>0</v>
      </c>
      <c r="AA2186">
        <v>0</v>
      </c>
      <c r="AB2186">
        <v>0</v>
      </c>
      <c r="AC2186">
        <v>0</v>
      </c>
      <c r="AD2186">
        <v>1248</v>
      </c>
    </row>
    <row r="2187" spans="1:30" x14ac:dyDescent="0.25">
      <c r="H2187" t="s">
        <v>746</v>
      </c>
    </row>
    <row r="2188" spans="1:30" x14ac:dyDescent="0.25">
      <c r="A2188">
        <v>1091</v>
      </c>
      <c r="B2188">
        <v>4648</v>
      </c>
      <c r="C2188" t="s">
        <v>4147</v>
      </c>
      <c r="D2188" t="s">
        <v>39</v>
      </c>
      <c r="E2188" t="s">
        <v>91</v>
      </c>
      <c r="F2188" t="s">
        <v>4148</v>
      </c>
      <c r="G2188" t="str">
        <f>"201511028340"</f>
        <v>201511028340</v>
      </c>
      <c r="H2188">
        <v>660</v>
      </c>
      <c r="I2188">
        <v>0</v>
      </c>
      <c r="J2188">
        <v>0</v>
      </c>
      <c r="K2188">
        <v>0</v>
      </c>
      <c r="L2188">
        <v>0</v>
      </c>
      <c r="M2188">
        <v>0</v>
      </c>
      <c r="N2188">
        <v>0</v>
      </c>
      <c r="O2188">
        <v>0</v>
      </c>
      <c r="P2188">
        <v>0</v>
      </c>
      <c r="Q2188">
        <v>0</v>
      </c>
      <c r="R2188">
        <v>0</v>
      </c>
      <c r="S2188">
        <v>0</v>
      </c>
      <c r="T2188">
        <v>0</v>
      </c>
      <c r="U2188">
        <v>0</v>
      </c>
      <c r="V2188">
        <v>84</v>
      </c>
      <c r="W2188">
        <v>588</v>
      </c>
      <c r="X2188">
        <v>0</v>
      </c>
      <c r="Z2188">
        <v>0</v>
      </c>
      <c r="AA2188">
        <v>0</v>
      </c>
      <c r="AB2188">
        <v>0</v>
      </c>
      <c r="AC2188">
        <v>0</v>
      </c>
      <c r="AD2188">
        <v>1248</v>
      </c>
    </row>
    <row r="2189" spans="1:30" x14ac:dyDescent="0.25">
      <c r="H2189" t="s">
        <v>4149</v>
      </c>
    </row>
    <row r="2190" spans="1:30" x14ac:dyDescent="0.25">
      <c r="A2190">
        <v>1092</v>
      </c>
      <c r="B2190">
        <v>5219</v>
      </c>
      <c r="C2190" t="s">
        <v>4150</v>
      </c>
      <c r="D2190" t="s">
        <v>315</v>
      </c>
      <c r="E2190" t="s">
        <v>51</v>
      </c>
      <c r="F2190" t="s">
        <v>4151</v>
      </c>
      <c r="G2190" t="str">
        <f>"00339171"</f>
        <v>00339171</v>
      </c>
      <c r="H2190" t="s">
        <v>672</v>
      </c>
      <c r="I2190">
        <v>0</v>
      </c>
      <c r="J2190">
        <v>0</v>
      </c>
      <c r="K2190">
        <v>0</v>
      </c>
      <c r="L2190">
        <v>0</v>
      </c>
      <c r="M2190">
        <v>0</v>
      </c>
      <c r="N2190">
        <v>30</v>
      </c>
      <c r="O2190">
        <v>0</v>
      </c>
      <c r="P2190">
        <v>0</v>
      </c>
      <c r="Q2190">
        <v>0</v>
      </c>
      <c r="R2190">
        <v>0</v>
      </c>
      <c r="S2190">
        <v>0</v>
      </c>
      <c r="T2190">
        <v>0</v>
      </c>
      <c r="U2190">
        <v>0</v>
      </c>
      <c r="V2190">
        <v>69</v>
      </c>
      <c r="W2190">
        <v>483</v>
      </c>
      <c r="X2190">
        <v>0</v>
      </c>
      <c r="Z2190">
        <v>2</v>
      </c>
      <c r="AA2190">
        <v>0</v>
      </c>
      <c r="AB2190">
        <v>0</v>
      </c>
      <c r="AC2190">
        <v>0</v>
      </c>
      <c r="AD2190" t="s">
        <v>4152</v>
      </c>
    </row>
    <row r="2191" spans="1:30" x14ac:dyDescent="0.25">
      <c r="H2191" t="s">
        <v>4153</v>
      </c>
    </row>
    <row r="2192" spans="1:30" x14ac:dyDescent="0.25">
      <c r="A2192">
        <v>1093</v>
      </c>
      <c r="B2192">
        <v>464</v>
      </c>
      <c r="C2192" t="s">
        <v>4154</v>
      </c>
      <c r="D2192" t="s">
        <v>1186</v>
      </c>
      <c r="E2192" t="s">
        <v>40</v>
      </c>
      <c r="F2192" t="s">
        <v>4155</v>
      </c>
      <c r="G2192" t="str">
        <f>"200712005394"</f>
        <v>200712005394</v>
      </c>
      <c r="H2192" t="s">
        <v>441</v>
      </c>
      <c r="I2192">
        <v>150</v>
      </c>
      <c r="J2192">
        <v>0</v>
      </c>
      <c r="K2192">
        <v>0</v>
      </c>
      <c r="L2192">
        <v>200</v>
      </c>
      <c r="M2192">
        <v>0</v>
      </c>
      <c r="N2192">
        <v>30</v>
      </c>
      <c r="O2192">
        <v>0</v>
      </c>
      <c r="P2192">
        <v>30</v>
      </c>
      <c r="Q2192">
        <v>0</v>
      </c>
      <c r="R2192">
        <v>0</v>
      </c>
      <c r="S2192">
        <v>0</v>
      </c>
      <c r="T2192">
        <v>0</v>
      </c>
      <c r="U2192">
        <v>0</v>
      </c>
      <c r="V2192">
        <v>0</v>
      </c>
      <c r="W2192">
        <v>0</v>
      </c>
      <c r="X2192">
        <v>0</v>
      </c>
      <c r="Z2192">
        <v>0</v>
      </c>
      <c r="AA2192">
        <v>0</v>
      </c>
      <c r="AB2192">
        <v>0</v>
      </c>
      <c r="AC2192">
        <v>0</v>
      </c>
      <c r="AD2192" t="s">
        <v>4156</v>
      </c>
    </row>
    <row r="2193" spans="1:30" x14ac:dyDescent="0.25">
      <c r="H2193" t="s">
        <v>4157</v>
      </c>
    </row>
    <row r="2194" spans="1:30" x14ac:dyDescent="0.25">
      <c r="A2194">
        <v>1094</v>
      </c>
      <c r="B2194">
        <v>4396</v>
      </c>
      <c r="C2194" t="s">
        <v>2148</v>
      </c>
      <c r="D2194" t="s">
        <v>98</v>
      </c>
      <c r="E2194" t="s">
        <v>190</v>
      </c>
      <c r="F2194" t="s">
        <v>4158</v>
      </c>
      <c r="G2194" t="str">
        <f>"00190771"</f>
        <v>00190771</v>
      </c>
      <c r="H2194">
        <v>748</v>
      </c>
      <c r="I2194">
        <v>0</v>
      </c>
      <c r="J2194">
        <v>0</v>
      </c>
      <c r="K2194">
        <v>0</v>
      </c>
      <c r="L2194">
        <v>0</v>
      </c>
      <c r="M2194">
        <v>0</v>
      </c>
      <c r="N2194">
        <v>30</v>
      </c>
      <c r="O2194">
        <v>0</v>
      </c>
      <c r="P2194">
        <v>0</v>
      </c>
      <c r="Q2194">
        <v>0</v>
      </c>
      <c r="R2194">
        <v>0</v>
      </c>
      <c r="S2194">
        <v>0</v>
      </c>
      <c r="T2194">
        <v>0</v>
      </c>
      <c r="U2194">
        <v>0</v>
      </c>
      <c r="V2194">
        <v>67</v>
      </c>
      <c r="W2194">
        <v>469</v>
      </c>
      <c r="X2194">
        <v>0</v>
      </c>
      <c r="Z2194">
        <v>0</v>
      </c>
      <c r="AA2194">
        <v>0</v>
      </c>
      <c r="AB2194">
        <v>0</v>
      </c>
      <c r="AC2194">
        <v>0</v>
      </c>
      <c r="AD2194">
        <v>1247</v>
      </c>
    </row>
    <row r="2195" spans="1:30" x14ac:dyDescent="0.25">
      <c r="H2195" t="s">
        <v>4159</v>
      </c>
    </row>
    <row r="2196" spans="1:30" x14ac:dyDescent="0.25">
      <c r="A2196">
        <v>1095</v>
      </c>
      <c r="B2196">
        <v>1066</v>
      </c>
      <c r="C2196" t="s">
        <v>4160</v>
      </c>
      <c r="D2196" t="s">
        <v>869</v>
      </c>
      <c r="E2196" t="s">
        <v>950</v>
      </c>
      <c r="F2196" t="s">
        <v>4161</v>
      </c>
      <c r="G2196" t="str">
        <f>"201402001544"</f>
        <v>201402001544</v>
      </c>
      <c r="H2196">
        <v>748</v>
      </c>
      <c r="I2196">
        <v>0</v>
      </c>
      <c r="J2196">
        <v>0</v>
      </c>
      <c r="K2196">
        <v>0</v>
      </c>
      <c r="L2196">
        <v>0</v>
      </c>
      <c r="M2196">
        <v>0</v>
      </c>
      <c r="N2196">
        <v>30</v>
      </c>
      <c r="O2196">
        <v>0</v>
      </c>
      <c r="P2196">
        <v>0</v>
      </c>
      <c r="Q2196">
        <v>0</v>
      </c>
      <c r="R2196">
        <v>0</v>
      </c>
      <c r="S2196">
        <v>0</v>
      </c>
      <c r="T2196">
        <v>0</v>
      </c>
      <c r="U2196">
        <v>0</v>
      </c>
      <c r="V2196">
        <v>67</v>
      </c>
      <c r="W2196">
        <v>469</v>
      </c>
      <c r="X2196">
        <v>0</v>
      </c>
      <c r="Z2196">
        <v>0</v>
      </c>
      <c r="AA2196">
        <v>0</v>
      </c>
      <c r="AB2196">
        <v>0</v>
      </c>
      <c r="AC2196">
        <v>0</v>
      </c>
      <c r="AD2196">
        <v>1247</v>
      </c>
    </row>
    <row r="2197" spans="1:30" x14ac:dyDescent="0.25">
      <c r="H2197" t="s">
        <v>4162</v>
      </c>
    </row>
    <row r="2198" spans="1:30" x14ac:dyDescent="0.25">
      <c r="A2198">
        <v>1096</v>
      </c>
      <c r="B2198">
        <v>5684</v>
      </c>
      <c r="C2198" t="s">
        <v>4163</v>
      </c>
      <c r="D2198" t="s">
        <v>3669</v>
      </c>
      <c r="E2198" t="s">
        <v>39</v>
      </c>
      <c r="F2198" t="s">
        <v>4164</v>
      </c>
      <c r="G2198" t="str">
        <f>"00356353"</f>
        <v>00356353</v>
      </c>
      <c r="H2198">
        <v>671</v>
      </c>
      <c r="I2198">
        <v>0</v>
      </c>
      <c r="J2198">
        <v>0</v>
      </c>
      <c r="K2198">
        <v>0</v>
      </c>
      <c r="L2198">
        <v>0</v>
      </c>
      <c r="M2198">
        <v>0</v>
      </c>
      <c r="N2198">
        <v>30</v>
      </c>
      <c r="O2198">
        <v>0</v>
      </c>
      <c r="P2198">
        <v>0</v>
      </c>
      <c r="Q2198">
        <v>0</v>
      </c>
      <c r="R2198">
        <v>0</v>
      </c>
      <c r="S2198">
        <v>0</v>
      </c>
      <c r="T2198">
        <v>0</v>
      </c>
      <c r="U2198">
        <v>0</v>
      </c>
      <c r="V2198">
        <v>78</v>
      </c>
      <c r="W2198">
        <v>546</v>
      </c>
      <c r="X2198">
        <v>0</v>
      </c>
      <c r="Z2198">
        <v>2</v>
      </c>
      <c r="AA2198">
        <v>0</v>
      </c>
      <c r="AB2198">
        <v>0</v>
      </c>
      <c r="AC2198">
        <v>0</v>
      </c>
      <c r="AD2198">
        <v>1247</v>
      </c>
    </row>
    <row r="2199" spans="1:30" x14ac:dyDescent="0.25">
      <c r="H2199" t="s">
        <v>4165</v>
      </c>
    </row>
    <row r="2200" spans="1:30" x14ac:dyDescent="0.25">
      <c r="A2200">
        <v>1097</v>
      </c>
      <c r="B2200">
        <v>6035</v>
      </c>
      <c r="C2200" t="s">
        <v>4166</v>
      </c>
      <c r="D2200" t="s">
        <v>92</v>
      </c>
      <c r="E2200" t="s">
        <v>2149</v>
      </c>
      <c r="F2200" t="s">
        <v>4167</v>
      </c>
      <c r="G2200" t="str">
        <f>"00369159"</f>
        <v>00369159</v>
      </c>
      <c r="H2200" t="s">
        <v>4168</v>
      </c>
      <c r="I2200">
        <v>0</v>
      </c>
      <c r="J2200">
        <v>0</v>
      </c>
      <c r="K2200">
        <v>0</v>
      </c>
      <c r="L2200">
        <v>0</v>
      </c>
      <c r="M2200">
        <v>0</v>
      </c>
      <c r="N2200">
        <v>0</v>
      </c>
      <c r="O2200">
        <v>0</v>
      </c>
      <c r="P2200">
        <v>0</v>
      </c>
      <c r="Q2200">
        <v>0</v>
      </c>
      <c r="R2200">
        <v>0</v>
      </c>
      <c r="S2200">
        <v>0</v>
      </c>
      <c r="T2200">
        <v>0</v>
      </c>
      <c r="U2200">
        <v>0</v>
      </c>
      <c r="V2200">
        <v>71</v>
      </c>
      <c r="W2200">
        <v>497</v>
      </c>
      <c r="X2200">
        <v>0</v>
      </c>
      <c r="Z2200">
        <v>2</v>
      </c>
      <c r="AA2200">
        <v>0</v>
      </c>
      <c r="AB2200">
        <v>0</v>
      </c>
      <c r="AC2200">
        <v>0</v>
      </c>
      <c r="AD2200" t="s">
        <v>4169</v>
      </c>
    </row>
    <row r="2201" spans="1:30" x14ac:dyDescent="0.25">
      <c r="H2201" t="s">
        <v>1213</v>
      </c>
    </row>
    <row r="2202" spans="1:30" x14ac:dyDescent="0.25">
      <c r="A2202">
        <v>1098</v>
      </c>
      <c r="B2202">
        <v>4949</v>
      </c>
      <c r="C2202" t="s">
        <v>4170</v>
      </c>
      <c r="D2202" t="s">
        <v>114</v>
      </c>
      <c r="E2202" t="s">
        <v>162</v>
      </c>
      <c r="F2202" t="s">
        <v>4171</v>
      </c>
      <c r="G2202" t="str">
        <f>"201604006029"</f>
        <v>201604006029</v>
      </c>
      <c r="H2202" t="s">
        <v>1998</v>
      </c>
      <c r="I2202">
        <v>0</v>
      </c>
      <c r="J2202">
        <v>0</v>
      </c>
      <c r="K2202">
        <v>0</v>
      </c>
      <c r="L2202">
        <v>200</v>
      </c>
      <c r="M2202">
        <v>0</v>
      </c>
      <c r="N2202">
        <v>30</v>
      </c>
      <c r="O2202">
        <v>0</v>
      </c>
      <c r="P2202">
        <v>0</v>
      </c>
      <c r="Q2202">
        <v>0</v>
      </c>
      <c r="R2202">
        <v>0</v>
      </c>
      <c r="S2202">
        <v>0</v>
      </c>
      <c r="T2202">
        <v>0</v>
      </c>
      <c r="U2202">
        <v>0</v>
      </c>
      <c r="V2202">
        <v>30</v>
      </c>
      <c r="W2202">
        <v>210</v>
      </c>
      <c r="X2202">
        <v>0</v>
      </c>
      <c r="Z2202">
        <v>0</v>
      </c>
      <c r="AA2202">
        <v>0</v>
      </c>
      <c r="AB2202">
        <v>0</v>
      </c>
      <c r="AC2202">
        <v>0</v>
      </c>
      <c r="AD2202" t="s">
        <v>4172</v>
      </c>
    </row>
    <row r="2203" spans="1:30" x14ac:dyDescent="0.25">
      <c r="H2203" t="s">
        <v>3912</v>
      </c>
    </row>
    <row r="2204" spans="1:30" x14ac:dyDescent="0.25">
      <c r="A2204">
        <v>1099</v>
      </c>
      <c r="B2204">
        <v>2327</v>
      </c>
      <c r="C2204" t="s">
        <v>4173</v>
      </c>
      <c r="D2204" t="s">
        <v>4174</v>
      </c>
      <c r="E2204" t="s">
        <v>4175</v>
      </c>
      <c r="F2204" t="s">
        <v>4176</v>
      </c>
      <c r="G2204" t="str">
        <f>"00198658"</f>
        <v>00198658</v>
      </c>
      <c r="H2204" t="s">
        <v>562</v>
      </c>
      <c r="I2204">
        <v>0</v>
      </c>
      <c r="J2204">
        <v>0</v>
      </c>
      <c r="K2204">
        <v>0</v>
      </c>
      <c r="L2204">
        <v>0</v>
      </c>
      <c r="M2204">
        <v>0</v>
      </c>
      <c r="N2204">
        <v>30</v>
      </c>
      <c r="O2204">
        <v>0</v>
      </c>
      <c r="P2204">
        <v>0</v>
      </c>
      <c r="Q2204">
        <v>0</v>
      </c>
      <c r="R2204">
        <v>0</v>
      </c>
      <c r="S2204">
        <v>0</v>
      </c>
      <c r="T2204">
        <v>0</v>
      </c>
      <c r="U2204">
        <v>0</v>
      </c>
      <c r="V2204">
        <v>76</v>
      </c>
      <c r="W2204">
        <v>532</v>
      </c>
      <c r="X2204">
        <v>0</v>
      </c>
      <c r="Z2204">
        <v>0</v>
      </c>
      <c r="AA2204">
        <v>0</v>
      </c>
      <c r="AB2204">
        <v>0</v>
      </c>
      <c r="AC2204">
        <v>0</v>
      </c>
      <c r="AD2204" t="s">
        <v>4177</v>
      </c>
    </row>
    <row r="2205" spans="1:30" x14ac:dyDescent="0.25">
      <c r="H2205" t="s">
        <v>4178</v>
      </c>
    </row>
    <row r="2206" spans="1:30" x14ac:dyDescent="0.25">
      <c r="A2206">
        <v>1100</v>
      </c>
      <c r="B2206">
        <v>4069</v>
      </c>
      <c r="C2206" t="s">
        <v>4179</v>
      </c>
      <c r="D2206" t="s">
        <v>182</v>
      </c>
      <c r="E2206" t="s">
        <v>183</v>
      </c>
      <c r="F2206" t="s">
        <v>4180</v>
      </c>
      <c r="G2206" t="str">
        <f>"00185705"</f>
        <v>00185705</v>
      </c>
      <c r="H2206">
        <v>891</v>
      </c>
      <c r="I2206">
        <v>0</v>
      </c>
      <c r="J2206">
        <v>0</v>
      </c>
      <c r="K2206">
        <v>0</v>
      </c>
      <c r="L2206">
        <v>200</v>
      </c>
      <c r="M2206">
        <v>0</v>
      </c>
      <c r="N2206">
        <v>70</v>
      </c>
      <c r="O2206">
        <v>0</v>
      </c>
      <c r="P2206">
        <v>0</v>
      </c>
      <c r="Q2206">
        <v>0</v>
      </c>
      <c r="R2206">
        <v>0</v>
      </c>
      <c r="S2206">
        <v>0</v>
      </c>
      <c r="T2206">
        <v>0</v>
      </c>
      <c r="U2206">
        <v>0</v>
      </c>
      <c r="V2206">
        <v>12</v>
      </c>
      <c r="W2206">
        <v>84</v>
      </c>
      <c r="X2206">
        <v>0</v>
      </c>
      <c r="Z2206">
        <v>0</v>
      </c>
      <c r="AA2206">
        <v>0</v>
      </c>
      <c r="AB2206">
        <v>0</v>
      </c>
      <c r="AC2206">
        <v>0</v>
      </c>
      <c r="AD2206">
        <v>1245</v>
      </c>
    </row>
    <row r="2207" spans="1:30" x14ac:dyDescent="0.25">
      <c r="H2207" t="s">
        <v>4181</v>
      </c>
    </row>
    <row r="2208" spans="1:30" x14ac:dyDescent="0.25">
      <c r="A2208">
        <v>1101</v>
      </c>
      <c r="B2208">
        <v>3836</v>
      </c>
      <c r="C2208" t="s">
        <v>4182</v>
      </c>
      <c r="D2208" t="s">
        <v>335</v>
      </c>
      <c r="E2208" t="s">
        <v>238</v>
      </c>
      <c r="F2208" t="s">
        <v>4183</v>
      </c>
      <c r="G2208" t="str">
        <f>"201406014246"</f>
        <v>201406014246</v>
      </c>
      <c r="H2208" t="s">
        <v>3427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70</v>
      </c>
      <c r="O2208">
        <v>0</v>
      </c>
      <c r="P2208">
        <v>0</v>
      </c>
      <c r="Q2208">
        <v>0</v>
      </c>
      <c r="R2208">
        <v>0</v>
      </c>
      <c r="S2208">
        <v>0</v>
      </c>
      <c r="T2208">
        <v>0</v>
      </c>
      <c r="U2208">
        <v>0</v>
      </c>
      <c r="V2208">
        <v>69</v>
      </c>
      <c r="W2208">
        <v>483</v>
      </c>
      <c r="X2208">
        <v>0</v>
      </c>
      <c r="Z2208">
        <v>2</v>
      </c>
      <c r="AA2208">
        <v>0</v>
      </c>
      <c r="AB2208">
        <v>0</v>
      </c>
      <c r="AC2208">
        <v>0</v>
      </c>
      <c r="AD2208" t="s">
        <v>4184</v>
      </c>
    </row>
    <row r="2209" spans="1:30" x14ac:dyDescent="0.25">
      <c r="H2209" t="s">
        <v>4185</v>
      </c>
    </row>
    <row r="2210" spans="1:30" x14ac:dyDescent="0.25">
      <c r="A2210">
        <v>1102</v>
      </c>
      <c r="B2210">
        <v>224</v>
      </c>
      <c r="C2210" t="s">
        <v>4186</v>
      </c>
      <c r="D2210" t="s">
        <v>869</v>
      </c>
      <c r="E2210" t="s">
        <v>183</v>
      </c>
      <c r="F2210" t="s">
        <v>4187</v>
      </c>
      <c r="G2210" t="str">
        <f>"00248840"</f>
        <v>00248840</v>
      </c>
      <c r="H2210" t="s">
        <v>369</v>
      </c>
      <c r="I2210">
        <v>0</v>
      </c>
      <c r="J2210">
        <v>0</v>
      </c>
      <c r="K2210">
        <v>0</v>
      </c>
      <c r="L2210">
        <v>0</v>
      </c>
      <c r="M2210">
        <v>0</v>
      </c>
      <c r="N2210">
        <v>0</v>
      </c>
      <c r="O2210">
        <v>0</v>
      </c>
      <c r="P2210">
        <v>0</v>
      </c>
      <c r="Q2210">
        <v>0</v>
      </c>
      <c r="R2210">
        <v>0</v>
      </c>
      <c r="S2210">
        <v>0</v>
      </c>
      <c r="T2210">
        <v>0</v>
      </c>
      <c r="U2210">
        <v>0</v>
      </c>
      <c r="V2210">
        <v>84</v>
      </c>
      <c r="W2210">
        <v>588</v>
      </c>
      <c r="X2210">
        <v>0</v>
      </c>
      <c r="Z2210">
        <v>1</v>
      </c>
      <c r="AA2210">
        <v>0</v>
      </c>
      <c r="AB2210">
        <v>0</v>
      </c>
      <c r="AC2210">
        <v>0</v>
      </c>
      <c r="AD2210" t="s">
        <v>4188</v>
      </c>
    </row>
    <row r="2211" spans="1:30" x14ac:dyDescent="0.25">
      <c r="H2211" t="s">
        <v>4189</v>
      </c>
    </row>
    <row r="2212" spans="1:30" x14ac:dyDescent="0.25">
      <c r="A2212">
        <v>1103</v>
      </c>
      <c r="B2212">
        <v>4542</v>
      </c>
      <c r="C2212" t="s">
        <v>4190</v>
      </c>
      <c r="D2212" t="s">
        <v>4191</v>
      </c>
      <c r="E2212" t="s">
        <v>162</v>
      </c>
      <c r="F2212" t="s">
        <v>4192</v>
      </c>
      <c r="G2212" t="str">
        <f>"201511020395"</f>
        <v>201511020395</v>
      </c>
      <c r="H2212">
        <v>803</v>
      </c>
      <c r="I2212">
        <v>0</v>
      </c>
      <c r="J2212">
        <v>0</v>
      </c>
      <c r="K2212">
        <v>0</v>
      </c>
      <c r="L2212">
        <v>0</v>
      </c>
      <c r="M2212">
        <v>0</v>
      </c>
      <c r="N2212">
        <v>0</v>
      </c>
      <c r="O2212">
        <v>0</v>
      </c>
      <c r="P2212">
        <v>0</v>
      </c>
      <c r="Q2212">
        <v>0</v>
      </c>
      <c r="R2212">
        <v>0</v>
      </c>
      <c r="S2212">
        <v>0</v>
      </c>
      <c r="T2212">
        <v>0</v>
      </c>
      <c r="U2212">
        <v>0</v>
      </c>
      <c r="V2212">
        <v>63</v>
      </c>
      <c r="W2212">
        <v>441</v>
      </c>
      <c r="X2212">
        <v>0</v>
      </c>
      <c r="Z2212">
        <v>0</v>
      </c>
      <c r="AA2212">
        <v>0</v>
      </c>
      <c r="AB2212">
        <v>0</v>
      </c>
      <c r="AC2212">
        <v>0</v>
      </c>
      <c r="AD2212">
        <v>1244</v>
      </c>
    </row>
    <row r="2213" spans="1:30" x14ac:dyDescent="0.25">
      <c r="H2213" t="s">
        <v>712</v>
      </c>
    </row>
    <row r="2214" spans="1:30" x14ac:dyDescent="0.25">
      <c r="A2214">
        <v>1104</v>
      </c>
      <c r="B2214">
        <v>1227</v>
      </c>
      <c r="C2214" t="s">
        <v>4193</v>
      </c>
      <c r="D2214" t="s">
        <v>47</v>
      </c>
      <c r="E2214" t="s">
        <v>162</v>
      </c>
      <c r="F2214" t="s">
        <v>4194</v>
      </c>
      <c r="G2214" t="str">
        <f>"201511010388"</f>
        <v>201511010388</v>
      </c>
      <c r="H2214" t="s">
        <v>2206</v>
      </c>
      <c r="I2214">
        <v>0</v>
      </c>
      <c r="J2214">
        <v>0</v>
      </c>
      <c r="K2214">
        <v>0</v>
      </c>
      <c r="L2214">
        <v>0</v>
      </c>
      <c r="M2214">
        <v>0</v>
      </c>
      <c r="N2214">
        <v>0</v>
      </c>
      <c r="O2214">
        <v>0</v>
      </c>
      <c r="P2214">
        <v>0</v>
      </c>
      <c r="Q2214">
        <v>0</v>
      </c>
      <c r="R2214">
        <v>0</v>
      </c>
      <c r="S2214">
        <v>0</v>
      </c>
      <c r="T2214">
        <v>0</v>
      </c>
      <c r="U2214">
        <v>0</v>
      </c>
      <c r="V2214">
        <v>84</v>
      </c>
      <c r="W2214">
        <v>588</v>
      </c>
      <c r="X2214">
        <v>0</v>
      </c>
      <c r="Z2214">
        <v>0</v>
      </c>
      <c r="AA2214">
        <v>0</v>
      </c>
      <c r="AB2214">
        <v>0</v>
      </c>
      <c r="AC2214">
        <v>0</v>
      </c>
      <c r="AD2214" t="s">
        <v>4195</v>
      </c>
    </row>
    <row r="2215" spans="1:30" x14ac:dyDescent="0.25">
      <c r="H2215" t="s">
        <v>3046</v>
      </c>
    </row>
    <row r="2216" spans="1:30" x14ac:dyDescent="0.25">
      <c r="A2216">
        <v>1105</v>
      </c>
      <c r="B2216">
        <v>498</v>
      </c>
      <c r="C2216" t="s">
        <v>4196</v>
      </c>
      <c r="D2216" t="s">
        <v>335</v>
      </c>
      <c r="E2216" t="s">
        <v>162</v>
      </c>
      <c r="F2216" t="s">
        <v>4197</v>
      </c>
      <c r="G2216" t="str">
        <f>"201405000779"</f>
        <v>201405000779</v>
      </c>
      <c r="H2216" t="s">
        <v>422</v>
      </c>
      <c r="I2216">
        <v>0</v>
      </c>
      <c r="J2216">
        <v>0</v>
      </c>
      <c r="K2216">
        <v>0</v>
      </c>
      <c r="L2216">
        <v>0</v>
      </c>
      <c r="M2216">
        <v>0</v>
      </c>
      <c r="N2216">
        <v>50</v>
      </c>
      <c r="O2216">
        <v>0</v>
      </c>
      <c r="P2216">
        <v>0</v>
      </c>
      <c r="Q2216">
        <v>0</v>
      </c>
      <c r="R2216">
        <v>0</v>
      </c>
      <c r="S2216">
        <v>0</v>
      </c>
      <c r="T2216">
        <v>0</v>
      </c>
      <c r="U2216">
        <v>0</v>
      </c>
      <c r="V2216">
        <v>72</v>
      </c>
      <c r="W2216">
        <v>504</v>
      </c>
      <c r="X2216">
        <v>0</v>
      </c>
      <c r="Z2216">
        <v>0</v>
      </c>
      <c r="AA2216">
        <v>0</v>
      </c>
      <c r="AB2216">
        <v>0</v>
      </c>
      <c r="AC2216">
        <v>0</v>
      </c>
      <c r="AD2216" t="s">
        <v>4198</v>
      </c>
    </row>
    <row r="2217" spans="1:30" x14ac:dyDescent="0.25">
      <c r="H2217" t="s">
        <v>4199</v>
      </c>
    </row>
    <row r="2218" spans="1:30" x14ac:dyDescent="0.25">
      <c r="A2218">
        <v>1106</v>
      </c>
      <c r="B2218">
        <v>4197</v>
      </c>
      <c r="C2218" t="s">
        <v>4200</v>
      </c>
      <c r="D2218" t="s">
        <v>335</v>
      </c>
      <c r="E2218" t="s">
        <v>140</v>
      </c>
      <c r="F2218" t="s">
        <v>4201</v>
      </c>
      <c r="G2218" t="str">
        <f>"00339957"</f>
        <v>00339957</v>
      </c>
      <c r="H2218">
        <v>847</v>
      </c>
      <c r="I2218">
        <v>0</v>
      </c>
      <c r="J2218">
        <v>0</v>
      </c>
      <c r="K2218">
        <v>0</v>
      </c>
      <c r="L2218">
        <v>0</v>
      </c>
      <c r="M2218">
        <v>0</v>
      </c>
      <c r="N2218">
        <v>30</v>
      </c>
      <c r="O2218">
        <v>0</v>
      </c>
      <c r="P2218">
        <v>0</v>
      </c>
      <c r="Q2218">
        <v>0</v>
      </c>
      <c r="R2218">
        <v>0</v>
      </c>
      <c r="S2218">
        <v>0</v>
      </c>
      <c r="T2218">
        <v>0</v>
      </c>
      <c r="U2218">
        <v>0</v>
      </c>
      <c r="V2218">
        <v>52</v>
      </c>
      <c r="W2218">
        <v>364</v>
      </c>
      <c r="X2218">
        <v>0</v>
      </c>
      <c r="Z2218">
        <v>0</v>
      </c>
      <c r="AA2218">
        <v>0</v>
      </c>
      <c r="AB2218">
        <v>0</v>
      </c>
      <c r="AC2218">
        <v>0</v>
      </c>
      <c r="AD2218">
        <v>1241</v>
      </c>
    </row>
    <row r="2219" spans="1:30" x14ac:dyDescent="0.25">
      <c r="H2219" t="s">
        <v>4202</v>
      </c>
    </row>
    <row r="2220" spans="1:30" x14ac:dyDescent="0.25">
      <c r="A2220">
        <v>1107</v>
      </c>
      <c r="B2220">
        <v>964</v>
      </c>
      <c r="C2220" t="s">
        <v>4203</v>
      </c>
      <c r="D2220" t="s">
        <v>599</v>
      </c>
      <c r="E2220" t="s">
        <v>4204</v>
      </c>
      <c r="F2220" t="s">
        <v>4205</v>
      </c>
      <c r="G2220" t="str">
        <f>"00267709"</f>
        <v>00267709</v>
      </c>
      <c r="H2220" t="s">
        <v>1449</v>
      </c>
      <c r="I2220">
        <v>0</v>
      </c>
      <c r="J2220">
        <v>0</v>
      </c>
      <c r="K2220">
        <v>0</v>
      </c>
      <c r="L2220">
        <v>0</v>
      </c>
      <c r="M2220">
        <v>0</v>
      </c>
      <c r="N2220">
        <v>30</v>
      </c>
      <c r="O2220">
        <v>0</v>
      </c>
      <c r="P2220">
        <v>0</v>
      </c>
      <c r="Q2220">
        <v>0</v>
      </c>
      <c r="R2220">
        <v>0</v>
      </c>
      <c r="S2220">
        <v>0</v>
      </c>
      <c r="T2220">
        <v>0</v>
      </c>
      <c r="U2220">
        <v>0</v>
      </c>
      <c r="V2220">
        <v>79</v>
      </c>
      <c r="W2220">
        <v>553</v>
      </c>
      <c r="X2220">
        <v>0</v>
      </c>
      <c r="Z2220">
        <v>0</v>
      </c>
      <c r="AA2220">
        <v>0</v>
      </c>
      <c r="AB2220">
        <v>0</v>
      </c>
      <c r="AC2220">
        <v>0</v>
      </c>
      <c r="AD2220" t="s">
        <v>4206</v>
      </c>
    </row>
    <row r="2221" spans="1:30" x14ac:dyDescent="0.25">
      <c r="H2221" t="s">
        <v>4207</v>
      </c>
    </row>
    <row r="2222" spans="1:30" x14ac:dyDescent="0.25">
      <c r="A2222">
        <v>1108</v>
      </c>
      <c r="B2222">
        <v>6057</v>
      </c>
      <c r="C2222" t="s">
        <v>4208</v>
      </c>
      <c r="D2222" t="s">
        <v>804</v>
      </c>
      <c r="E2222" t="s">
        <v>47</v>
      </c>
      <c r="F2222" t="s">
        <v>4209</v>
      </c>
      <c r="G2222" t="str">
        <f>"00260207"</f>
        <v>00260207</v>
      </c>
      <c r="H2222" t="s">
        <v>1256</v>
      </c>
      <c r="I2222">
        <v>0</v>
      </c>
      <c r="J2222">
        <v>0</v>
      </c>
      <c r="K2222">
        <v>0</v>
      </c>
      <c r="L2222">
        <v>0</v>
      </c>
      <c r="M2222">
        <v>0</v>
      </c>
      <c r="N2222">
        <v>30</v>
      </c>
      <c r="O2222">
        <v>0</v>
      </c>
      <c r="P2222">
        <v>0</v>
      </c>
      <c r="Q2222">
        <v>0</v>
      </c>
      <c r="R2222">
        <v>0</v>
      </c>
      <c r="S2222">
        <v>0</v>
      </c>
      <c r="T2222">
        <v>0</v>
      </c>
      <c r="U2222">
        <v>0</v>
      </c>
      <c r="V2222">
        <v>78</v>
      </c>
      <c r="W2222">
        <v>546</v>
      </c>
      <c r="X2222">
        <v>0</v>
      </c>
      <c r="Z2222">
        <v>0</v>
      </c>
      <c r="AA2222">
        <v>0</v>
      </c>
      <c r="AB2222">
        <v>0</v>
      </c>
      <c r="AC2222">
        <v>0</v>
      </c>
      <c r="AD2222" t="s">
        <v>4210</v>
      </c>
    </row>
    <row r="2223" spans="1:30" x14ac:dyDescent="0.25">
      <c r="H2223">
        <v>1247</v>
      </c>
    </row>
    <row r="2224" spans="1:30" x14ac:dyDescent="0.25">
      <c r="A2224">
        <v>1109</v>
      </c>
      <c r="B2224">
        <v>5948</v>
      </c>
      <c r="C2224" t="s">
        <v>4211</v>
      </c>
      <c r="D2224" t="s">
        <v>526</v>
      </c>
      <c r="E2224" t="s">
        <v>107</v>
      </c>
      <c r="F2224" t="s">
        <v>4212</v>
      </c>
      <c r="G2224" t="str">
        <f>"00184287"</f>
        <v>00184287</v>
      </c>
      <c r="H2224" t="s">
        <v>4213</v>
      </c>
      <c r="I2224">
        <v>0</v>
      </c>
      <c r="J2224">
        <v>0</v>
      </c>
      <c r="K2224">
        <v>0</v>
      </c>
      <c r="L2224">
        <v>200</v>
      </c>
      <c r="M2224">
        <v>0</v>
      </c>
      <c r="N2224">
        <v>70</v>
      </c>
      <c r="O2224">
        <v>0</v>
      </c>
      <c r="P2224">
        <v>0</v>
      </c>
      <c r="Q2224">
        <v>0</v>
      </c>
      <c r="R2224">
        <v>0</v>
      </c>
      <c r="S2224">
        <v>0</v>
      </c>
      <c r="T2224">
        <v>0</v>
      </c>
      <c r="U2224">
        <v>0</v>
      </c>
      <c r="V2224">
        <v>0</v>
      </c>
      <c r="W2224">
        <v>0</v>
      </c>
      <c r="X2224">
        <v>0</v>
      </c>
      <c r="Z2224">
        <v>0</v>
      </c>
      <c r="AA2224">
        <v>0</v>
      </c>
      <c r="AB2224">
        <v>0</v>
      </c>
      <c r="AC2224">
        <v>0</v>
      </c>
      <c r="AD2224" t="s">
        <v>4214</v>
      </c>
    </row>
    <row r="2225" spans="1:30" x14ac:dyDescent="0.25">
      <c r="H2225" t="s">
        <v>4215</v>
      </c>
    </row>
    <row r="2226" spans="1:30" x14ac:dyDescent="0.25">
      <c r="A2226">
        <v>1110</v>
      </c>
      <c r="B2226">
        <v>392</v>
      </c>
      <c r="C2226" t="s">
        <v>4216</v>
      </c>
      <c r="D2226" t="s">
        <v>4217</v>
      </c>
      <c r="E2226" t="s">
        <v>1718</v>
      </c>
      <c r="F2226" t="s">
        <v>4218</v>
      </c>
      <c r="G2226" t="str">
        <f>"200802010678"</f>
        <v>200802010678</v>
      </c>
      <c r="H2226" t="s">
        <v>2451</v>
      </c>
      <c r="I2226">
        <v>0</v>
      </c>
      <c r="J2226">
        <v>0</v>
      </c>
      <c r="K2226">
        <v>0</v>
      </c>
      <c r="L2226">
        <v>0</v>
      </c>
      <c r="M2226">
        <v>0</v>
      </c>
      <c r="N2226">
        <v>0</v>
      </c>
      <c r="O2226">
        <v>0</v>
      </c>
      <c r="P2226">
        <v>0</v>
      </c>
      <c r="Q2226">
        <v>0</v>
      </c>
      <c r="R2226">
        <v>0</v>
      </c>
      <c r="S2226">
        <v>0</v>
      </c>
      <c r="T2226">
        <v>0</v>
      </c>
      <c r="U2226">
        <v>0</v>
      </c>
      <c r="V2226">
        <v>84</v>
      </c>
      <c r="W2226">
        <v>588</v>
      </c>
      <c r="X2226">
        <v>0</v>
      </c>
      <c r="Z2226">
        <v>1</v>
      </c>
      <c r="AA2226">
        <v>0</v>
      </c>
      <c r="AB2226">
        <v>0</v>
      </c>
      <c r="AC2226">
        <v>0</v>
      </c>
      <c r="AD2226" t="s">
        <v>4219</v>
      </c>
    </row>
    <row r="2227" spans="1:30" x14ac:dyDescent="0.25">
      <c r="H2227" t="s">
        <v>4220</v>
      </c>
    </row>
    <row r="2228" spans="1:30" x14ac:dyDescent="0.25">
      <c r="A2228">
        <v>1111</v>
      </c>
      <c r="B2228">
        <v>2550</v>
      </c>
      <c r="C2228" t="s">
        <v>4221</v>
      </c>
      <c r="D2228" t="s">
        <v>335</v>
      </c>
      <c r="E2228" t="s">
        <v>290</v>
      </c>
      <c r="F2228" t="s">
        <v>4222</v>
      </c>
      <c r="G2228" t="str">
        <f>"00333751"</f>
        <v>00333751</v>
      </c>
      <c r="H2228">
        <v>803</v>
      </c>
      <c r="I2228">
        <v>0</v>
      </c>
      <c r="J2228">
        <v>0</v>
      </c>
      <c r="K2228">
        <v>0</v>
      </c>
      <c r="L2228">
        <v>0</v>
      </c>
      <c r="M2228">
        <v>0</v>
      </c>
      <c r="N2228">
        <v>30</v>
      </c>
      <c r="O2228">
        <v>0</v>
      </c>
      <c r="P2228">
        <v>0</v>
      </c>
      <c r="Q2228">
        <v>0</v>
      </c>
      <c r="R2228">
        <v>0</v>
      </c>
      <c r="S2228">
        <v>0</v>
      </c>
      <c r="T2228">
        <v>0</v>
      </c>
      <c r="U2228">
        <v>0</v>
      </c>
      <c r="V2228">
        <v>58</v>
      </c>
      <c r="W2228">
        <v>406</v>
      </c>
      <c r="X2228">
        <v>0</v>
      </c>
      <c r="Z2228">
        <v>1</v>
      </c>
      <c r="AA2228">
        <v>0</v>
      </c>
      <c r="AB2228">
        <v>0</v>
      </c>
      <c r="AC2228">
        <v>0</v>
      </c>
      <c r="AD2228">
        <v>1239</v>
      </c>
    </row>
    <row r="2229" spans="1:30" x14ac:dyDescent="0.25">
      <c r="H2229" t="s">
        <v>746</v>
      </c>
    </row>
    <row r="2230" spans="1:30" x14ac:dyDescent="0.25">
      <c r="A2230">
        <v>1112</v>
      </c>
      <c r="B2230">
        <v>1075</v>
      </c>
      <c r="C2230" t="s">
        <v>345</v>
      </c>
      <c r="D2230" t="s">
        <v>143</v>
      </c>
      <c r="E2230" t="s">
        <v>15</v>
      </c>
      <c r="F2230" t="s">
        <v>4223</v>
      </c>
      <c r="G2230" t="str">
        <f>"00231497"</f>
        <v>00231497</v>
      </c>
      <c r="H2230">
        <v>726</v>
      </c>
      <c r="I2230">
        <v>0</v>
      </c>
      <c r="J2230">
        <v>0</v>
      </c>
      <c r="K2230">
        <v>0</v>
      </c>
      <c r="L2230">
        <v>0</v>
      </c>
      <c r="M2230">
        <v>0</v>
      </c>
      <c r="N2230">
        <v>30</v>
      </c>
      <c r="O2230">
        <v>0</v>
      </c>
      <c r="P2230">
        <v>0</v>
      </c>
      <c r="Q2230">
        <v>0</v>
      </c>
      <c r="R2230">
        <v>0</v>
      </c>
      <c r="S2230">
        <v>0</v>
      </c>
      <c r="T2230">
        <v>0</v>
      </c>
      <c r="U2230">
        <v>0</v>
      </c>
      <c r="V2230">
        <v>69</v>
      </c>
      <c r="W2230">
        <v>483</v>
      </c>
      <c r="X2230">
        <v>0</v>
      </c>
      <c r="Z2230">
        <v>0</v>
      </c>
      <c r="AA2230">
        <v>0</v>
      </c>
      <c r="AB2230">
        <v>0</v>
      </c>
      <c r="AC2230">
        <v>0</v>
      </c>
      <c r="AD2230">
        <v>1239</v>
      </c>
    </row>
    <row r="2231" spans="1:30" x14ac:dyDescent="0.25">
      <c r="H2231" t="s">
        <v>4224</v>
      </c>
    </row>
    <row r="2232" spans="1:30" x14ac:dyDescent="0.25">
      <c r="A2232">
        <v>1113</v>
      </c>
      <c r="B2232">
        <v>2850</v>
      </c>
      <c r="C2232" t="s">
        <v>4225</v>
      </c>
      <c r="D2232" t="s">
        <v>694</v>
      </c>
      <c r="E2232" t="s">
        <v>39</v>
      </c>
      <c r="F2232" t="s">
        <v>4226</v>
      </c>
      <c r="G2232" t="str">
        <f>"201511036747"</f>
        <v>201511036747</v>
      </c>
      <c r="H2232" t="s">
        <v>2577</v>
      </c>
      <c r="I2232">
        <v>0</v>
      </c>
      <c r="J2232">
        <v>0</v>
      </c>
      <c r="K2232">
        <v>0</v>
      </c>
      <c r="L2232">
        <v>0</v>
      </c>
      <c r="M2232">
        <v>0</v>
      </c>
      <c r="N2232">
        <v>30</v>
      </c>
      <c r="O2232">
        <v>0</v>
      </c>
      <c r="P2232">
        <v>30</v>
      </c>
      <c r="Q2232">
        <v>0</v>
      </c>
      <c r="R2232">
        <v>0</v>
      </c>
      <c r="S2232">
        <v>0</v>
      </c>
      <c r="T2232">
        <v>0</v>
      </c>
      <c r="U2232">
        <v>0</v>
      </c>
      <c r="V2232">
        <v>73</v>
      </c>
      <c r="W2232">
        <v>511</v>
      </c>
      <c r="X2232">
        <v>0</v>
      </c>
      <c r="Z2232">
        <v>0</v>
      </c>
      <c r="AA2232">
        <v>0</v>
      </c>
      <c r="AB2232">
        <v>0</v>
      </c>
      <c r="AC2232">
        <v>0</v>
      </c>
      <c r="AD2232" t="s">
        <v>4227</v>
      </c>
    </row>
    <row r="2233" spans="1:30" x14ac:dyDescent="0.25">
      <c r="H2233" t="s">
        <v>2341</v>
      </c>
    </row>
    <row r="2234" spans="1:30" x14ac:dyDescent="0.25">
      <c r="A2234">
        <v>1114</v>
      </c>
      <c r="B2234">
        <v>5809</v>
      </c>
      <c r="C2234" t="s">
        <v>4228</v>
      </c>
      <c r="D2234" t="s">
        <v>14</v>
      </c>
      <c r="E2234" t="s">
        <v>107</v>
      </c>
      <c r="F2234" t="s">
        <v>4229</v>
      </c>
      <c r="G2234" t="str">
        <f>"00209193"</f>
        <v>00209193</v>
      </c>
      <c r="H2234" t="s">
        <v>2577</v>
      </c>
      <c r="I2234">
        <v>0</v>
      </c>
      <c r="J2234">
        <v>0</v>
      </c>
      <c r="K2234">
        <v>0</v>
      </c>
      <c r="L2234">
        <v>0</v>
      </c>
      <c r="M2234">
        <v>0</v>
      </c>
      <c r="N2234">
        <v>30</v>
      </c>
      <c r="O2234">
        <v>0</v>
      </c>
      <c r="P2234">
        <v>0</v>
      </c>
      <c r="Q2234">
        <v>0</v>
      </c>
      <c r="R2234">
        <v>0</v>
      </c>
      <c r="S2234">
        <v>0</v>
      </c>
      <c r="T2234">
        <v>0</v>
      </c>
      <c r="U2234">
        <v>0</v>
      </c>
      <c r="V2234">
        <v>19</v>
      </c>
      <c r="W2234">
        <v>133</v>
      </c>
      <c r="X2234">
        <v>0</v>
      </c>
      <c r="Z2234">
        <v>0</v>
      </c>
      <c r="AA2234">
        <v>0</v>
      </c>
      <c r="AB2234">
        <v>24</v>
      </c>
      <c r="AC2234">
        <v>408</v>
      </c>
      <c r="AD2234" t="s">
        <v>4227</v>
      </c>
    </row>
    <row r="2235" spans="1:30" x14ac:dyDescent="0.25">
      <c r="H2235">
        <v>1250</v>
      </c>
    </row>
    <row r="2236" spans="1:30" x14ac:dyDescent="0.25">
      <c r="A2236">
        <v>1115</v>
      </c>
      <c r="B2236">
        <v>266</v>
      </c>
      <c r="C2236" t="s">
        <v>4230</v>
      </c>
      <c r="D2236" t="s">
        <v>4231</v>
      </c>
      <c r="E2236" t="s">
        <v>2438</v>
      </c>
      <c r="F2236" t="s">
        <v>4232</v>
      </c>
      <c r="G2236" t="str">
        <f>"200802001048"</f>
        <v>200802001048</v>
      </c>
      <c r="H2236" t="s">
        <v>3774</v>
      </c>
      <c r="I2236">
        <v>0</v>
      </c>
      <c r="J2236">
        <v>0</v>
      </c>
      <c r="K2236">
        <v>0</v>
      </c>
      <c r="L2236">
        <v>0</v>
      </c>
      <c r="M2236">
        <v>0</v>
      </c>
      <c r="N2236">
        <v>50</v>
      </c>
      <c r="O2236">
        <v>0</v>
      </c>
      <c r="P2236">
        <v>0</v>
      </c>
      <c r="Q2236">
        <v>0</v>
      </c>
      <c r="R2236">
        <v>0</v>
      </c>
      <c r="S2236">
        <v>0</v>
      </c>
      <c r="T2236">
        <v>0</v>
      </c>
      <c r="U2236">
        <v>0</v>
      </c>
      <c r="V2236">
        <v>12</v>
      </c>
      <c r="W2236">
        <v>84</v>
      </c>
      <c r="X2236">
        <v>0</v>
      </c>
      <c r="Z2236">
        <v>0</v>
      </c>
      <c r="AA2236">
        <v>0</v>
      </c>
      <c r="AB2236">
        <v>24</v>
      </c>
      <c r="AC2236">
        <v>408</v>
      </c>
      <c r="AD2236" t="s">
        <v>4233</v>
      </c>
    </row>
    <row r="2237" spans="1:30" x14ac:dyDescent="0.25">
      <c r="H2237" t="s">
        <v>4234</v>
      </c>
    </row>
    <row r="2238" spans="1:30" x14ac:dyDescent="0.25">
      <c r="A2238">
        <v>1116</v>
      </c>
      <c r="B2238">
        <v>4232</v>
      </c>
      <c r="C2238" t="s">
        <v>1185</v>
      </c>
      <c r="D2238" t="s">
        <v>39</v>
      </c>
      <c r="E2238" t="s">
        <v>1466</v>
      </c>
      <c r="F2238" t="s">
        <v>4235</v>
      </c>
      <c r="G2238" t="str">
        <f>"201406012846"</f>
        <v>201406012846</v>
      </c>
      <c r="H2238" t="s">
        <v>740</v>
      </c>
      <c r="I2238">
        <v>0</v>
      </c>
      <c r="J2238">
        <v>0</v>
      </c>
      <c r="K2238">
        <v>0</v>
      </c>
      <c r="L2238">
        <v>0</v>
      </c>
      <c r="M2238">
        <v>0</v>
      </c>
      <c r="N2238">
        <v>70</v>
      </c>
      <c r="O2238">
        <v>0</v>
      </c>
      <c r="P2238">
        <v>0</v>
      </c>
      <c r="Q2238">
        <v>0</v>
      </c>
      <c r="R2238">
        <v>0</v>
      </c>
      <c r="S2238">
        <v>0</v>
      </c>
      <c r="T2238">
        <v>0</v>
      </c>
      <c r="U2238">
        <v>0</v>
      </c>
      <c r="V2238">
        <v>69</v>
      </c>
      <c r="W2238">
        <v>483</v>
      </c>
      <c r="X2238">
        <v>0</v>
      </c>
      <c r="Z2238">
        <v>0</v>
      </c>
      <c r="AA2238">
        <v>0</v>
      </c>
      <c r="AB2238">
        <v>0</v>
      </c>
      <c r="AC2238">
        <v>0</v>
      </c>
      <c r="AD2238" t="s">
        <v>4233</v>
      </c>
    </row>
    <row r="2239" spans="1:30" x14ac:dyDescent="0.25">
      <c r="H2239" t="s">
        <v>4236</v>
      </c>
    </row>
    <row r="2240" spans="1:30" x14ac:dyDescent="0.25">
      <c r="A2240">
        <v>1117</v>
      </c>
      <c r="B2240">
        <v>3751</v>
      </c>
      <c r="C2240" t="s">
        <v>839</v>
      </c>
      <c r="D2240" t="s">
        <v>1292</v>
      </c>
      <c r="E2240" t="s">
        <v>449</v>
      </c>
      <c r="F2240" t="s">
        <v>4237</v>
      </c>
      <c r="G2240" t="str">
        <f>"00333194"</f>
        <v>00333194</v>
      </c>
      <c r="H2240" t="s">
        <v>2321</v>
      </c>
      <c r="I2240">
        <v>0</v>
      </c>
      <c r="J2240">
        <v>0</v>
      </c>
      <c r="K2240">
        <v>0</v>
      </c>
      <c r="L2240">
        <v>0</v>
      </c>
      <c r="M2240">
        <v>0</v>
      </c>
      <c r="N2240">
        <v>50</v>
      </c>
      <c r="O2240">
        <v>0</v>
      </c>
      <c r="P2240">
        <v>0</v>
      </c>
      <c r="Q2240">
        <v>0</v>
      </c>
      <c r="R2240">
        <v>0</v>
      </c>
      <c r="S2240">
        <v>0</v>
      </c>
      <c r="T2240">
        <v>0</v>
      </c>
      <c r="U2240">
        <v>0</v>
      </c>
      <c r="V2240">
        <v>63</v>
      </c>
      <c r="W2240">
        <v>441</v>
      </c>
      <c r="X2240">
        <v>0</v>
      </c>
      <c r="Z2240">
        <v>0</v>
      </c>
      <c r="AA2240">
        <v>0</v>
      </c>
      <c r="AB2240">
        <v>0</v>
      </c>
      <c r="AC2240">
        <v>0</v>
      </c>
      <c r="AD2240" t="s">
        <v>4238</v>
      </c>
    </row>
    <row r="2241" spans="1:30" x14ac:dyDescent="0.25">
      <c r="H2241" t="s">
        <v>132</v>
      </c>
    </row>
    <row r="2242" spans="1:30" x14ac:dyDescent="0.25">
      <c r="A2242">
        <v>1118</v>
      </c>
      <c r="B2242">
        <v>6289</v>
      </c>
      <c r="C2242" t="s">
        <v>4239</v>
      </c>
      <c r="D2242" t="s">
        <v>420</v>
      </c>
      <c r="E2242" t="s">
        <v>107</v>
      </c>
      <c r="F2242" t="s">
        <v>4240</v>
      </c>
      <c r="G2242" t="str">
        <f>"00369071"</f>
        <v>00369071</v>
      </c>
      <c r="H2242">
        <v>726</v>
      </c>
      <c r="I2242">
        <v>0</v>
      </c>
      <c r="J2242">
        <v>0</v>
      </c>
      <c r="K2242">
        <v>0</v>
      </c>
      <c r="L2242">
        <v>0</v>
      </c>
      <c r="M2242">
        <v>0</v>
      </c>
      <c r="N2242">
        <v>0</v>
      </c>
      <c r="O2242">
        <v>0</v>
      </c>
      <c r="P2242">
        <v>0</v>
      </c>
      <c r="Q2242">
        <v>0</v>
      </c>
      <c r="R2242">
        <v>0</v>
      </c>
      <c r="S2242">
        <v>0</v>
      </c>
      <c r="T2242">
        <v>0</v>
      </c>
      <c r="U2242">
        <v>0</v>
      </c>
      <c r="V2242">
        <v>73</v>
      </c>
      <c r="W2242">
        <v>511</v>
      </c>
      <c r="X2242">
        <v>0</v>
      </c>
      <c r="Z2242">
        <v>0</v>
      </c>
      <c r="AA2242">
        <v>0</v>
      </c>
      <c r="AB2242">
        <v>0</v>
      </c>
      <c r="AC2242">
        <v>0</v>
      </c>
      <c r="AD2242">
        <v>1237</v>
      </c>
    </row>
    <row r="2243" spans="1:30" x14ac:dyDescent="0.25">
      <c r="H2243" t="s">
        <v>712</v>
      </c>
    </row>
    <row r="2244" spans="1:30" x14ac:dyDescent="0.25">
      <c r="A2244">
        <v>1119</v>
      </c>
      <c r="B2244">
        <v>1021</v>
      </c>
      <c r="C2244" t="s">
        <v>4241</v>
      </c>
      <c r="D2244" t="s">
        <v>98</v>
      </c>
      <c r="E2244" t="s">
        <v>3941</v>
      </c>
      <c r="F2244" t="s">
        <v>4242</v>
      </c>
      <c r="G2244" t="str">
        <f>"201511042690"</f>
        <v>201511042690</v>
      </c>
      <c r="H2244">
        <v>649</v>
      </c>
      <c r="I2244">
        <v>0</v>
      </c>
      <c r="J2244">
        <v>0</v>
      </c>
      <c r="K2244">
        <v>0</v>
      </c>
      <c r="L2244">
        <v>0</v>
      </c>
      <c r="M2244">
        <v>0</v>
      </c>
      <c r="N2244">
        <v>0</v>
      </c>
      <c r="O2244">
        <v>0</v>
      </c>
      <c r="P2244">
        <v>0</v>
      </c>
      <c r="Q2244">
        <v>0</v>
      </c>
      <c r="R2244">
        <v>0</v>
      </c>
      <c r="S2244">
        <v>0</v>
      </c>
      <c r="T2244">
        <v>0</v>
      </c>
      <c r="U2244">
        <v>0</v>
      </c>
      <c r="V2244">
        <v>84</v>
      </c>
      <c r="W2244">
        <v>588</v>
      </c>
      <c r="X2244">
        <v>0</v>
      </c>
      <c r="Z2244">
        <v>3</v>
      </c>
      <c r="AA2244">
        <v>0</v>
      </c>
      <c r="AB2244">
        <v>0</v>
      </c>
      <c r="AC2244">
        <v>0</v>
      </c>
      <c r="AD2244">
        <v>1237</v>
      </c>
    </row>
    <row r="2245" spans="1:30" x14ac:dyDescent="0.25">
      <c r="H2245" t="s">
        <v>4243</v>
      </c>
    </row>
    <row r="2246" spans="1:30" x14ac:dyDescent="0.25">
      <c r="A2246">
        <v>1120</v>
      </c>
      <c r="B2246">
        <v>3581</v>
      </c>
      <c r="C2246" t="s">
        <v>4244</v>
      </c>
      <c r="D2246" t="s">
        <v>335</v>
      </c>
      <c r="E2246" t="s">
        <v>2438</v>
      </c>
      <c r="F2246" t="s">
        <v>4245</v>
      </c>
      <c r="G2246" t="str">
        <f>"00300922"</f>
        <v>00300922</v>
      </c>
      <c r="H2246">
        <v>649</v>
      </c>
      <c r="I2246">
        <v>0</v>
      </c>
      <c r="J2246">
        <v>0</v>
      </c>
      <c r="K2246">
        <v>0</v>
      </c>
      <c r="L2246">
        <v>0</v>
      </c>
      <c r="M2246">
        <v>0</v>
      </c>
      <c r="N2246">
        <v>0</v>
      </c>
      <c r="O2246">
        <v>0</v>
      </c>
      <c r="P2246">
        <v>0</v>
      </c>
      <c r="Q2246">
        <v>0</v>
      </c>
      <c r="R2246">
        <v>0</v>
      </c>
      <c r="S2246">
        <v>0</v>
      </c>
      <c r="T2246">
        <v>0</v>
      </c>
      <c r="U2246">
        <v>0</v>
      </c>
      <c r="V2246">
        <v>84</v>
      </c>
      <c r="W2246">
        <v>588</v>
      </c>
      <c r="X2246">
        <v>0</v>
      </c>
      <c r="Z2246">
        <v>0</v>
      </c>
      <c r="AA2246">
        <v>0</v>
      </c>
      <c r="AB2246">
        <v>0</v>
      </c>
      <c r="AC2246">
        <v>0</v>
      </c>
      <c r="AD2246">
        <v>1237</v>
      </c>
    </row>
    <row r="2247" spans="1:30" x14ac:dyDescent="0.25">
      <c r="H2247" t="s">
        <v>4246</v>
      </c>
    </row>
    <row r="2248" spans="1:30" x14ac:dyDescent="0.25">
      <c r="A2248">
        <v>1121</v>
      </c>
      <c r="B2248">
        <v>2352</v>
      </c>
      <c r="C2248" t="s">
        <v>4247</v>
      </c>
      <c r="D2248" t="s">
        <v>4248</v>
      </c>
      <c r="E2248" t="s">
        <v>47</v>
      </c>
      <c r="F2248" t="s">
        <v>4249</v>
      </c>
      <c r="G2248" t="str">
        <f>"201406018840"</f>
        <v>201406018840</v>
      </c>
      <c r="H2248" t="s">
        <v>321</v>
      </c>
      <c r="I2248">
        <v>0</v>
      </c>
      <c r="J2248">
        <v>0</v>
      </c>
      <c r="K2248">
        <v>0</v>
      </c>
      <c r="L2248">
        <v>200</v>
      </c>
      <c r="M2248">
        <v>0</v>
      </c>
      <c r="N2248">
        <v>30</v>
      </c>
      <c r="O2248">
        <v>0</v>
      </c>
      <c r="P2248">
        <v>0</v>
      </c>
      <c r="Q2248">
        <v>0</v>
      </c>
      <c r="R2248">
        <v>0</v>
      </c>
      <c r="S2248">
        <v>0</v>
      </c>
      <c r="T2248">
        <v>0</v>
      </c>
      <c r="U2248">
        <v>0</v>
      </c>
      <c r="V2248">
        <v>23</v>
      </c>
      <c r="W2248">
        <v>161</v>
      </c>
      <c r="X2248">
        <v>0</v>
      </c>
      <c r="Z2248">
        <v>0</v>
      </c>
      <c r="AA2248">
        <v>0</v>
      </c>
      <c r="AB2248">
        <v>0</v>
      </c>
      <c r="AC2248">
        <v>0</v>
      </c>
      <c r="AD2248" t="s">
        <v>4250</v>
      </c>
    </row>
    <row r="2249" spans="1:30" x14ac:dyDescent="0.25">
      <c r="H2249" t="s">
        <v>4251</v>
      </c>
    </row>
    <row r="2250" spans="1:30" x14ac:dyDescent="0.25">
      <c r="A2250">
        <v>1122</v>
      </c>
      <c r="B2250">
        <v>4115</v>
      </c>
      <c r="C2250" t="s">
        <v>4252</v>
      </c>
      <c r="D2250" t="s">
        <v>335</v>
      </c>
      <c r="E2250" t="s">
        <v>47</v>
      </c>
      <c r="F2250" t="s">
        <v>4253</v>
      </c>
      <c r="G2250" t="str">
        <f>"201402001923"</f>
        <v>201402001923</v>
      </c>
      <c r="H2250" t="s">
        <v>1611</v>
      </c>
      <c r="I2250">
        <v>0</v>
      </c>
      <c r="J2250">
        <v>0</v>
      </c>
      <c r="K2250">
        <v>0</v>
      </c>
      <c r="L2250">
        <v>0</v>
      </c>
      <c r="M2250">
        <v>0</v>
      </c>
      <c r="N2250">
        <v>30</v>
      </c>
      <c r="O2250">
        <v>0</v>
      </c>
      <c r="P2250">
        <v>0</v>
      </c>
      <c r="Q2250">
        <v>0</v>
      </c>
      <c r="R2250">
        <v>0</v>
      </c>
      <c r="S2250">
        <v>0</v>
      </c>
      <c r="T2250">
        <v>0</v>
      </c>
      <c r="U2250">
        <v>0</v>
      </c>
      <c r="V2250">
        <v>80</v>
      </c>
      <c r="W2250">
        <v>560</v>
      </c>
      <c r="X2250">
        <v>0</v>
      </c>
      <c r="Z2250">
        <v>0</v>
      </c>
      <c r="AA2250">
        <v>0</v>
      </c>
      <c r="AB2250">
        <v>0</v>
      </c>
      <c r="AC2250">
        <v>0</v>
      </c>
      <c r="AD2250" t="s">
        <v>4254</v>
      </c>
    </row>
    <row r="2251" spans="1:30" x14ac:dyDescent="0.25">
      <c r="H2251" t="s">
        <v>4255</v>
      </c>
    </row>
    <row r="2252" spans="1:30" x14ac:dyDescent="0.25">
      <c r="A2252">
        <v>1123</v>
      </c>
      <c r="B2252">
        <v>2572</v>
      </c>
      <c r="C2252" t="s">
        <v>4256</v>
      </c>
      <c r="D2252" t="s">
        <v>4257</v>
      </c>
      <c r="E2252" t="s">
        <v>1215</v>
      </c>
      <c r="F2252" t="s">
        <v>4258</v>
      </c>
      <c r="G2252" t="str">
        <f>"00196789"</f>
        <v>00196789</v>
      </c>
      <c r="H2252" t="s">
        <v>1527</v>
      </c>
      <c r="I2252">
        <v>0</v>
      </c>
      <c r="J2252">
        <v>0</v>
      </c>
      <c r="K2252">
        <v>0</v>
      </c>
      <c r="L2252">
        <v>0</v>
      </c>
      <c r="M2252">
        <v>0</v>
      </c>
      <c r="N2252">
        <v>30</v>
      </c>
      <c r="O2252">
        <v>0</v>
      </c>
      <c r="P2252">
        <v>50</v>
      </c>
      <c r="Q2252">
        <v>0</v>
      </c>
      <c r="R2252">
        <v>0</v>
      </c>
      <c r="S2252">
        <v>0</v>
      </c>
      <c r="T2252">
        <v>0</v>
      </c>
      <c r="U2252">
        <v>0</v>
      </c>
      <c r="V2252">
        <v>76</v>
      </c>
      <c r="W2252">
        <v>532</v>
      </c>
      <c r="X2252">
        <v>0</v>
      </c>
      <c r="Z2252">
        <v>0</v>
      </c>
      <c r="AA2252">
        <v>0</v>
      </c>
      <c r="AB2252">
        <v>0</v>
      </c>
      <c r="AC2252">
        <v>0</v>
      </c>
      <c r="AD2252" t="s">
        <v>4254</v>
      </c>
    </row>
    <row r="2253" spans="1:30" x14ac:dyDescent="0.25">
      <c r="H2253">
        <v>1247</v>
      </c>
    </row>
    <row r="2254" spans="1:30" x14ac:dyDescent="0.25">
      <c r="A2254">
        <v>1124</v>
      </c>
      <c r="B2254">
        <v>4233</v>
      </c>
      <c r="C2254" t="s">
        <v>4259</v>
      </c>
      <c r="D2254" t="s">
        <v>830</v>
      </c>
      <c r="E2254" t="s">
        <v>39</v>
      </c>
      <c r="F2254" t="s">
        <v>4260</v>
      </c>
      <c r="G2254" t="str">
        <f>"00325844"</f>
        <v>00325844</v>
      </c>
      <c r="H2254" t="s">
        <v>1679</v>
      </c>
      <c r="I2254">
        <v>0</v>
      </c>
      <c r="J2254">
        <v>0</v>
      </c>
      <c r="K2254">
        <v>0</v>
      </c>
      <c r="L2254">
        <v>0</v>
      </c>
      <c r="M2254">
        <v>0</v>
      </c>
      <c r="N2254">
        <v>0</v>
      </c>
      <c r="O2254">
        <v>0</v>
      </c>
      <c r="P2254">
        <v>0</v>
      </c>
      <c r="Q2254">
        <v>0</v>
      </c>
      <c r="R2254">
        <v>0</v>
      </c>
      <c r="S2254">
        <v>0</v>
      </c>
      <c r="T2254">
        <v>0</v>
      </c>
      <c r="U2254">
        <v>0</v>
      </c>
      <c r="V2254">
        <v>50</v>
      </c>
      <c r="W2254">
        <v>350</v>
      </c>
      <c r="X2254">
        <v>0</v>
      </c>
      <c r="Z2254">
        <v>0</v>
      </c>
      <c r="AA2254">
        <v>0</v>
      </c>
      <c r="AB2254">
        <v>6</v>
      </c>
      <c r="AC2254">
        <v>102</v>
      </c>
      <c r="AD2254" t="s">
        <v>4261</v>
      </c>
    </row>
    <row r="2255" spans="1:30" x14ac:dyDescent="0.25">
      <c r="H2255" t="s">
        <v>4262</v>
      </c>
    </row>
    <row r="2256" spans="1:30" x14ac:dyDescent="0.25">
      <c r="A2256">
        <v>1125</v>
      </c>
      <c r="B2256">
        <v>610</v>
      </c>
      <c r="C2256" t="s">
        <v>4263</v>
      </c>
      <c r="D2256" t="s">
        <v>47</v>
      </c>
      <c r="E2256" t="s">
        <v>40</v>
      </c>
      <c r="F2256" t="s">
        <v>4264</v>
      </c>
      <c r="G2256" t="str">
        <f>"201406006281"</f>
        <v>201406006281</v>
      </c>
      <c r="H2256" t="s">
        <v>4265</v>
      </c>
      <c r="I2256">
        <v>0</v>
      </c>
      <c r="J2256">
        <v>0</v>
      </c>
      <c r="K2256">
        <v>0</v>
      </c>
      <c r="L2256">
        <v>200</v>
      </c>
      <c r="M2256">
        <v>0</v>
      </c>
      <c r="N2256">
        <v>70</v>
      </c>
      <c r="O2256">
        <v>0</v>
      </c>
      <c r="P2256">
        <v>0</v>
      </c>
      <c r="Q2256">
        <v>0</v>
      </c>
      <c r="R2256">
        <v>0</v>
      </c>
      <c r="S2256">
        <v>0</v>
      </c>
      <c r="T2256">
        <v>0</v>
      </c>
      <c r="U2256">
        <v>0</v>
      </c>
      <c r="V2256">
        <v>12</v>
      </c>
      <c r="W2256">
        <v>84</v>
      </c>
      <c r="X2256">
        <v>0</v>
      </c>
      <c r="Z2256">
        <v>0</v>
      </c>
      <c r="AA2256">
        <v>0</v>
      </c>
      <c r="AB2256">
        <v>0</v>
      </c>
      <c r="AC2256">
        <v>0</v>
      </c>
      <c r="AD2256" t="s">
        <v>4266</v>
      </c>
    </row>
    <row r="2257" spans="1:30" x14ac:dyDescent="0.25">
      <c r="H2257" t="s">
        <v>4267</v>
      </c>
    </row>
    <row r="2258" spans="1:30" x14ac:dyDescent="0.25">
      <c r="A2258">
        <v>1126</v>
      </c>
      <c r="B2258">
        <v>1113</v>
      </c>
      <c r="C2258" t="s">
        <v>4268</v>
      </c>
      <c r="D2258" t="s">
        <v>40</v>
      </c>
      <c r="E2258" t="s">
        <v>39</v>
      </c>
      <c r="F2258" t="s">
        <v>4269</v>
      </c>
      <c r="G2258" t="str">
        <f>"00300000"</f>
        <v>00300000</v>
      </c>
      <c r="H2258">
        <v>682</v>
      </c>
      <c r="I2258">
        <v>0</v>
      </c>
      <c r="J2258">
        <v>0</v>
      </c>
      <c r="K2258">
        <v>0</v>
      </c>
      <c r="L2258">
        <v>0</v>
      </c>
      <c r="M2258">
        <v>0</v>
      </c>
      <c r="N2258">
        <v>0</v>
      </c>
      <c r="O2258">
        <v>0</v>
      </c>
      <c r="P2258">
        <v>0</v>
      </c>
      <c r="Q2258">
        <v>0</v>
      </c>
      <c r="R2258">
        <v>0</v>
      </c>
      <c r="S2258">
        <v>0</v>
      </c>
      <c r="T2258">
        <v>0</v>
      </c>
      <c r="U2258">
        <v>0</v>
      </c>
      <c r="V2258">
        <v>79</v>
      </c>
      <c r="W2258">
        <v>553</v>
      </c>
      <c r="X2258">
        <v>0</v>
      </c>
      <c r="Z2258">
        <v>0</v>
      </c>
      <c r="AA2258">
        <v>0</v>
      </c>
      <c r="AB2258">
        <v>0</v>
      </c>
      <c r="AC2258">
        <v>0</v>
      </c>
      <c r="AD2258">
        <v>1235</v>
      </c>
    </row>
    <row r="2259" spans="1:30" x14ac:dyDescent="0.25">
      <c r="H2259" t="s">
        <v>4270</v>
      </c>
    </row>
    <row r="2260" spans="1:30" x14ac:dyDescent="0.25">
      <c r="A2260">
        <v>1127</v>
      </c>
      <c r="B2260">
        <v>212</v>
      </c>
      <c r="C2260" t="s">
        <v>4271</v>
      </c>
      <c r="D2260" t="s">
        <v>4272</v>
      </c>
      <c r="E2260" t="s">
        <v>39</v>
      </c>
      <c r="F2260" t="s">
        <v>4273</v>
      </c>
      <c r="G2260" t="str">
        <f>"201402011092"</f>
        <v>201402011092</v>
      </c>
      <c r="H2260">
        <v>693</v>
      </c>
      <c r="I2260">
        <v>0</v>
      </c>
      <c r="J2260">
        <v>0</v>
      </c>
      <c r="K2260">
        <v>0</v>
      </c>
      <c r="L2260">
        <v>0</v>
      </c>
      <c r="M2260">
        <v>0</v>
      </c>
      <c r="N2260">
        <v>30</v>
      </c>
      <c r="O2260">
        <v>0</v>
      </c>
      <c r="P2260">
        <v>0</v>
      </c>
      <c r="Q2260">
        <v>0</v>
      </c>
      <c r="R2260">
        <v>0</v>
      </c>
      <c r="S2260">
        <v>0</v>
      </c>
      <c r="T2260">
        <v>0</v>
      </c>
      <c r="U2260">
        <v>0</v>
      </c>
      <c r="V2260">
        <v>73</v>
      </c>
      <c r="W2260">
        <v>511</v>
      </c>
      <c r="X2260">
        <v>0</v>
      </c>
      <c r="Z2260">
        <v>0</v>
      </c>
      <c r="AA2260">
        <v>0</v>
      </c>
      <c r="AB2260">
        <v>0</v>
      </c>
      <c r="AC2260">
        <v>0</v>
      </c>
      <c r="AD2260">
        <v>1234</v>
      </c>
    </row>
    <row r="2261" spans="1:30" x14ac:dyDescent="0.25">
      <c r="H2261" t="s">
        <v>4274</v>
      </c>
    </row>
    <row r="2262" spans="1:30" x14ac:dyDescent="0.25">
      <c r="A2262">
        <v>1128</v>
      </c>
      <c r="B2262">
        <v>3025</v>
      </c>
      <c r="C2262" t="s">
        <v>4275</v>
      </c>
      <c r="D2262" t="s">
        <v>3653</v>
      </c>
      <c r="E2262" t="s">
        <v>2149</v>
      </c>
      <c r="F2262" t="s">
        <v>4276</v>
      </c>
      <c r="G2262" t="str">
        <f>"201510002662"</f>
        <v>201510002662</v>
      </c>
      <c r="H2262">
        <v>616</v>
      </c>
      <c r="I2262">
        <v>0</v>
      </c>
      <c r="J2262">
        <v>0</v>
      </c>
      <c r="K2262">
        <v>0</v>
      </c>
      <c r="L2262">
        <v>0</v>
      </c>
      <c r="M2262">
        <v>0</v>
      </c>
      <c r="N2262">
        <v>30</v>
      </c>
      <c r="O2262">
        <v>0</v>
      </c>
      <c r="P2262">
        <v>0</v>
      </c>
      <c r="Q2262">
        <v>0</v>
      </c>
      <c r="R2262">
        <v>0</v>
      </c>
      <c r="S2262">
        <v>0</v>
      </c>
      <c r="T2262">
        <v>0</v>
      </c>
      <c r="U2262">
        <v>0</v>
      </c>
      <c r="V2262">
        <v>84</v>
      </c>
      <c r="W2262">
        <v>588</v>
      </c>
      <c r="X2262">
        <v>0</v>
      </c>
      <c r="Z2262">
        <v>0</v>
      </c>
      <c r="AA2262">
        <v>0</v>
      </c>
      <c r="AB2262">
        <v>0</v>
      </c>
      <c r="AC2262">
        <v>0</v>
      </c>
      <c r="AD2262">
        <v>1234</v>
      </c>
    </row>
    <row r="2263" spans="1:30" x14ac:dyDescent="0.25">
      <c r="H2263" t="s">
        <v>4277</v>
      </c>
    </row>
    <row r="2264" spans="1:30" x14ac:dyDescent="0.25">
      <c r="A2264">
        <v>1129</v>
      </c>
      <c r="B2264">
        <v>3366</v>
      </c>
      <c r="C2264" t="s">
        <v>4278</v>
      </c>
      <c r="D2264" t="s">
        <v>335</v>
      </c>
      <c r="E2264" t="s">
        <v>51</v>
      </c>
      <c r="F2264" t="s">
        <v>4279</v>
      </c>
      <c r="G2264" t="str">
        <f>"00361266"</f>
        <v>00361266</v>
      </c>
      <c r="H2264">
        <v>616</v>
      </c>
      <c r="I2264">
        <v>0</v>
      </c>
      <c r="J2264">
        <v>0</v>
      </c>
      <c r="K2264">
        <v>0</v>
      </c>
      <c r="L2264">
        <v>0</v>
      </c>
      <c r="M2264">
        <v>0</v>
      </c>
      <c r="N2264">
        <v>0</v>
      </c>
      <c r="O2264">
        <v>0</v>
      </c>
      <c r="P2264">
        <v>30</v>
      </c>
      <c r="Q2264">
        <v>0</v>
      </c>
      <c r="R2264">
        <v>0</v>
      </c>
      <c r="S2264">
        <v>0</v>
      </c>
      <c r="T2264">
        <v>0</v>
      </c>
      <c r="U2264">
        <v>0</v>
      </c>
      <c r="V2264">
        <v>84</v>
      </c>
      <c r="W2264">
        <v>588</v>
      </c>
      <c r="X2264">
        <v>0</v>
      </c>
      <c r="Z2264">
        <v>0</v>
      </c>
      <c r="AA2264">
        <v>0</v>
      </c>
      <c r="AB2264">
        <v>0</v>
      </c>
      <c r="AC2264">
        <v>0</v>
      </c>
      <c r="AD2264">
        <v>1234</v>
      </c>
    </row>
    <row r="2265" spans="1:30" x14ac:dyDescent="0.25">
      <c r="H2265" t="s">
        <v>4280</v>
      </c>
    </row>
    <row r="2266" spans="1:30" x14ac:dyDescent="0.25">
      <c r="A2266">
        <v>1130</v>
      </c>
      <c r="B2266">
        <v>5488</v>
      </c>
      <c r="C2266" t="s">
        <v>4281</v>
      </c>
      <c r="D2266" t="s">
        <v>196</v>
      </c>
      <c r="E2266" t="s">
        <v>91</v>
      </c>
      <c r="F2266" t="s">
        <v>4282</v>
      </c>
      <c r="G2266" t="str">
        <f>"00015553"</f>
        <v>00015553</v>
      </c>
      <c r="H2266" t="s">
        <v>1611</v>
      </c>
      <c r="I2266">
        <v>0</v>
      </c>
      <c r="J2266">
        <v>0</v>
      </c>
      <c r="K2266">
        <v>0</v>
      </c>
      <c r="L2266">
        <v>0</v>
      </c>
      <c r="M2266">
        <v>0</v>
      </c>
      <c r="N2266">
        <v>0</v>
      </c>
      <c r="O2266">
        <v>0</v>
      </c>
      <c r="P2266">
        <v>0</v>
      </c>
      <c r="Q2266">
        <v>0</v>
      </c>
      <c r="R2266">
        <v>0</v>
      </c>
      <c r="S2266">
        <v>0</v>
      </c>
      <c r="T2266">
        <v>0</v>
      </c>
      <c r="U2266">
        <v>0</v>
      </c>
      <c r="V2266">
        <v>84</v>
      </c>
      <c r="W2266">
        <v>588</v>
      </c>
      <c r="X2266">
        <v>0</v>
      </c>
      <c r="Z2266">
        <v>0</v>
      </c>
      <c r="AA2266">
        <v>0</v>
      </c>
      <c r="AB2266">
        <v>0</v>
      </c>
      <c r="AC2266">
        <v>0</v>
      </c>
      <c r="AD2266" t="s">
        <v>4283</v>
      </c>
    </row>
    <row r="2267" spans="1:30" x14ac:dyDescent="0.25">
      <c r="H2267" t="s">
        <v>4284</v>
      </c>
    </row>
    <row r="2268" spans="1:30" x14ac:dyDescent="0.25">
      <c r="A2268">
        <v>1131</v>
      </c>
      <c r="B2268">
        <v>2364</v>
      </c>
      <c r="C2268" t="s">
        <v>4285</v>
      </c>
      <c r="D2268" t="s">
        <v>4286</v>
      </c>
      <c r="E2268" t="s">
        <v>290</v>
      </c>
      <c r="F2268" t="s">
        <v>4287</v>
      </c>
      <c r="G2268" t="str">
        <f>"00323176"</f>
        <v>00323176</v>
      </c>
      <c r="H2268" t="s">
        <v>1611</v>
      </c>
      <c r="I2268">
        <v>0</v>
      </c>
      <c r="J2268">
        <v>0</v>
      </c>
      <c r="K2268">
        <v>0</v>
      </c>
      <c r="L2268">
        <v>0</v>
      </c>
      <c r="M2268">
        <v>0</v>
      </c>
      <c r="N2268">
        <v>0</v>
      </c>
      <c r="O2268">
        <v>0</v>
      </c>
      <c r="P2268">
        <v>0</v>
      </c>
      <c r="Q2268">
        <v>0</v>
      </c>
      <c r="R2268">
        <v>0</v>
      </c>
      <c r="S2268">
        <v>0</v>
      </c>
      <c r="T2268">
        <v>0</v>
      </c>
      <c r="U2268">
        <v>0</v>
      </c>
      <c r="V2268">
        <v>84</v>
      </c>
      <c r="W2268">
        <v>588</v>
      </c>
      <c r="X2268">
        <v>0</v>
      </c>
      <c r="Z2268">
        <v>0</v>
      </c>
      <c r="AA2268">
        <v>0</v>
      </c>
      <c r="AB2268">
        <v>0</v>
      </c>
      <c r="AC2268">
        <v>0</v>
      </c>
      <c r="AD2268" t="s">
        <v>4283</v>
      </c>
    </row>
    <row r="2269" spans="1:30" x14ac:dyDescent="0.25">
      <c r="H2269">
        <v>1250</v>
      </c>
    </row>
    <row r="2270" spans="1:30" x14ac:dyDescent="0.25">
      <c r="A2270">
        <v>1132</v>
      </c>
      <c r="B2270">
        <v>2847</v>
      </c>
      <c r="C2270" t="s">
        <v>4288</v>
      </c>
      <c r="D2270" t="s">
        <v>47</v>
      </c>
      <c r="E2270" t="s">
        <v>33</v>
      </c>
      <c r="F2270" t="s">
        <v>4289</v>
      </c>
      <c r="G2270" t="str">
        <f>"201402003395"</f>
        <v>201402003395</v>
      </c>
      <c r="H2270" t="s">
        <v>470</v>
      </c>
      <c r="I2270">
        <v>0</v>
      </c>
      <c r="J2270">
        <v>0</v>
      </c>
      <c r="K2270">
        <v>0</v>
      </c>
      <c r="L2270">
        <v>0</v>
      </c>
      <c r="M2270">
        <v>0</v>
      </c>
      <c r="N2270">
        <v>30</v>
      </c>
      <c r="O2270">
        <v>0</v>
      </c>
      <c r="P2270">
        <v>0</v>
      </c>
      <c r="Q2270">
        <v>0</v>
      </c>
      <c r="R2270">
        <v>0</v>
      </c>
      <c r="S2270">
        <v>0</v>
      </c>
      <c r="T2270">
        <v>0</v>
      </c>
      <c r="U2270">
        <v>0</v>
      </c>
      <c r="V2270">
        <v>60</v>
      </c>
      <c r="W2270">
        <v>420</v>
      </c>
      <c r="X2270">
        <v>0</v>
      </c>
      <c r="Z2270">
        <v>2</v>
      </c>
      <c r="AA2270">
        <v>0</v>
      </c>
      <c r="AB2270">
        <v>0</v>
      </c>
      <c r="AC2270">
        <v>0</v>
      </c>
      <c r="AD2270" t="s">
        <v>4290</v>
      </c>
    </row>
    <row r="2271" spans="1:30" x14ac:dyDescent="0.25">
      <c r="H2271" t="s">
        <v>4291</v>
      </c>
    </row>
    <row r="2272" spans="1:30" x14ac:dyDescent="0.25">
      <c r="A2272">
        <v>1133</v>
      </c>
      <c r="B2272">
        <v>5956</v>
      </c>
      <c r="C2272" t="s">
        <v>4292</v>
      </c>
      <c r="D2272" t="s">
        <v>216</v>
      </c>
      <c r="E2272" t="s">
        <v>47</v>
      </c>
      <c r="F2272" t="s">
        <v>4293</v>
      </c>
      <c r="G2272" t="str">
        <f>"00356211"</f>
        <v>00356211</v>
      </c>
      <c r="H2272" t="s">
        <v>1131</v>
      </c>
      <c r="I2272">
        <v>0</v>
      </c>
      <c r="J2272">
        <v>0</v>
      </c>
      <c r="K2272">
        <v>0</v>
      </c>
      <c r="L2272">
        <v>0</v>
      </c>
      <c r="M2272">
        <v>0</v>
      </c>
      <c r="N2272">
        <v>30</v>
      </c>
      <c r="O2272">
        <v>0</v>
      </c>
      <c r="P2272">
        <v>0</v>
      </c>
      <c r="Q2272">
        <v>0</v>
      </c>
      <c r="R2272">
        <v>0</v>
      </c>
      <c r="S2272">
        <v>0</v>
      </c>
      <c r="T2272">
        <v>0</v>
      </c>
      <c r="U2272">
        <v>0</v>
      </c>
      <c r="V2272">
        <v>13</v>
      </c>
      <c r="W2272">
        <v>91</v>
      </c>
      <c r="X2272">
        <v>0</v>
      </c>
      <c r="Z2272">
        <v>0</v>
      </c>
      <c r="AA2272">
        <v>0</v>
      </c>
      <c r="AB2272">
        <v>24</v>
      </c>
      <c r="AC2272">
        <v>408</v>
      </c>
      <c r="AD2272" t="s">
        <v>4294</v>
      </c>
    </row>
    <row r="2273" spans="1:30" x14ac:dyDescent="0.25">
      <c r="H2273" t="s">
        <v>2746</v>
      </c>
    </row>
    <row r="2274" spans="1:30" x14ac:dyDescent="0.25">
      <c r="A2274">
        <v>1134</v>
      </c>
      <c r="B2274">
        <v>1510</v>
      </c>
      <c r="C2274" t="s">
        <v>4295</v>
      </c>
      <c r="D2274" t="s">
        <v>1113</v>
      </c>
      <c r="E2274" t="s">
        <v>47</v>
      </c>
      <c r="F2274" t="s">
        <v>4296</v>
      </c>
      <c r="G2274" t="str">
        <f>"201406012841"</f>
        <v>201406012841</v>
      </c>
      <c r="H2274" t="s">
        <v>3862</v>
      </c>
      <c r="I2274">
        <v>0</v>
      </c>
      <c r="J2274">
        <v>0</v>
      </c>
      <c r="K2274">
        <v>0</v>
      </c>
      <c r="L2274">
        <v>200</v>
      </c>
      <c r="M2274">
        <v>0</v>
      </c>
      <c r="N2274">
        <v>30</v>
      </c>
      <c r="O2274">
        <v>0</v>
      </c>
      <c r="P2274">
        <v>0</v>
      </c>
      <c r="Q2274">
        <v>0</v>
      </c>
      <c r="R2274">
        <v>0</v>
      </c>
      <c r="S2274">
        <v>0</v>
      </c>
      <c r="T2274">
        <v>0</v>
      </c>
      <c r="U2274">
        <v>0</v>
      </c>
      <c r="V2274">
        <v>45</v>
      </c>
      <c r="W2274">
        <v>315</v>
      </c>
      <c r="X2274">
        <v>0</v>
      </c>
      <c r="Z2274">
        <v>0</v>
      </c>
      <c r="AA2274">
        <v>0</v>
      </c>
      <c r="AB2274">
        <v>0</v>
      </c>
      <c r="AC2274">
        <v>0</v>
      </c>
      <c r="AD2274" t="s">
        <v>4297</v>
      </c>
    </row>
    <row r="2275" spans="1:30" x14ac:dyDescent="0.25">
      <c r="H2275" t="s">
        <v>4298</v>
      </c>
    </row>
    <row r="2276" spans="1:30" x14ac:dyDescent="0.25">
      <c r="A2276">
        <v>1135</v>
      </c>
      <c r="B2276">
        <v>5812</v>
      </c>
      <c r="C2276" t="s">
        <v>4299</v>
      </c>
      <c r="D2276" t="s">
        <v>75</v>
      </c>
      <c r="E2276" t="s">
        <v>162</v>
      </c>
      <c r="F2276" t="s">
        <v>4300</v>
      </c>
      <c r="G2276" t="str">
        <f>"200801011128"</f>
        <v>200801011128</v>
      </c>
      <c r="H2276" t="s">
        <v>4301</v>
      </c>
      <c r="I2276">
        <v>0</v>
      </c>
      <c r="J2276">
        <v>0</v>
      </c>
      <c r="K2276">
        <v>0</v>
      </c>
      <c r="L2276">
        <v>0</v>
      </c>
      <c r="M2276">
        <v>0</v>
      </c>
      <c r="N2276">
        <v>70</v>
      </c>
      <c r="O2276">
        <v>0</v>
      </c>
      <c r="P2276">
        <v>0</v>
      </c>
      <c r="Q2276">
        <v>0</v>
      </c>
      <c r="R2276">
        <v>0</v>
      </c>
      <c r="S2276">
        <v>0</v>
      </c>
      <c r="T2276">
        <v>0</v>
      </c>
      <c r="U2276">
        <v>0</v>
      </c>
      <c r="V2276">
        <v>38</v>
      </c>
      <c r="W2276">
        <v>266</v>
      </c>
      <c r="X2276">
        <v>0</v>
      </c>
      <c r="Z2276">
        <v>0</v>
      </c>
      <c r="AA2276">
        <v>0</v>
      </c>
      <c r="AB2276">
        <v>0</v>
      </c>
      <c r="AC2276">
        <v>0</v>
      </c>
      <c r="AD2276" t="s">
        <v>4302</v>
      </c>
    </row>
    <row r="2277" spans="1:30" x14ac:dyDescent="0.25">
      <c r="H2277" t="s">
        <v>4303</v>
      </c>
    </row>
    <row r="2278" spans="1:30" x14ac:dyDescent="0.25">
      <c r="A2278">
        <v>1136</v>
      </c>
      <c r="B2278">
        <v>1471</v>
      </c>
      <c r="C2278" t="s">
        <v>4304</v>
      </c>
      <c r="D2278" t="s">
        <v>223</v>
      </c>
      <c r="E2278" t="s">
        <v>162</v>
      </c>
      <c r="F2278" t="s">
        <v>4305</v>
      </c>
      <c r="G2278" t="str">
        <f>"00302565"</f>
        <v>00302565</v>
      </c>
      <c r="H2278">
        <v>649</v>
      </c>
      <c r="I2278">
        <v>0</v>
      </c>
      <c r="J2278">
        <v>0</v>
      </c>
      <c r="K2278">
        <v>0</v>
      </c>
      <c r="L2278">
        <v>0</v>
      </c>
      <c r="M2278">
        <v>0</v>
      </c>
      <c r="N2278">
        <v>0</v>
      </c>
      <c r="O2278">
        <v>0</v>
      </c>
      <c r="P2278">
        <v>0</v>
      </c>
      <c r="Q2278">
        <v>0</v>
      </c>
      <c r="R2278">
        <v>0</v>
      </c>
      <c r="S2278">
        <v>0</v>
      </c>
      <c r="T2278">
        <v>0</v>
      </c>
      <c r="U2278">
        <v>0</v>
      </c>
      <c r="V2278">
        <v>83</v>
      </c>
      <c r="W2278">
        <v>581</v>
      </c>
      <c r="X2278">
        <v>0</v>
      </c>
      <c r="Z2278">
        <v>0</v>
      </c>
      <c r="AA2278">
        <v>0</v>
      </c>
      <c r="AB2278">
        <v>0</v>
      </c>
      <c r="AC2278">
        <v>0</v>
      </c>
      <c r="AD2278">
        <v>1230</v>
      </c>
    </row>
    <row r="2279" spans="1:30" x14ac:dyDescent="0.25">
      <c r="H2279" t="s">
        <v>4306</v>
      </c>
    </row>
    <row r="2280" spans="1:30" x14ac:dyDescent="0.25">
      <c r="A2280">
        <v>1137</v>
      </c>
      <c r="B2280">
        <v>6040</v>
      </c>
      <c r="C2280" t="s">
        <v>4307</v>
      </c>
      <c r="D2280" t="s">
        <v>140</v>
      </c>
      <c r="E2280" t="s">
        <v>33</v>
      </c>
      <c r="F2280" t="s">
        <v>4308</v>
      </c>
      <c r="G2280" t="str">
        <f>"201402007128"</f>
        <v>201402007128</v>
      </c>
      <c r="H2280" t="s">
        <v>4309</v>
      </c>
      <c r="I2280">
        <v>0</v>
      </c>
      <c r="J2280">
        <v>0</v>
      </c>
      <c r="K2280">
        <v>0</v>
      </c>
      <c r="L2280">
        <v>0</v>
      </c>
      <c r="M2280">
        <v>0</v>
      </c>
      <c r="N2280">
        <v>0</v>
      </c>
      <c r="O2280">
        <v>0</v>
      </c>
      <c r="P2280">
        <v>0</v>
      </c>
      <c r="Q2280">
        <v>0</v>
      </c>
      <c r="R2280">
        <v>0</v>
      </c>
      <c r="S2280">
        <v>0</v>
      </c>
      <c r="T2280">
        <v>0</v>
      </c>
      <c r="U2280">
        <v>0</v>
      </c>
      <c r="V2280">
        <v>63</v>
      </c>
      <c r="W2280">
        <v>441</v>
      </c>
      <c r="X2280">
        <v>0</v>
      </c>
      <c r="Z2280">
        <v>0</v>
      </c>
      <c r="AA2280">
        <v>0</v>
      </c>
      <c r="AB2280">
        <v>0</v>
      </c>
      <c r="AC2280">
        <v>0</v>
      </c>
      <c r="AD2280" t="s">
        <v>4310</v>
      </c>
    </row>
    <row r="2281" spans="1:30" x14ac:dyDescent="0.25">
      <c r="H2281" t="s">
        <v>712</v>
      </c>
    </row>
    <row r="2282" spans="1:30" x14ac:dyDescent="0.25">
      <c r="A2282">
        <v>1138</v>
      </c>
      <c r="B2282">
        <v>4907</v>
      </c>
      <c r="C2282" t="s">
        <v>4311</v>
      </c>
      <c r="D2282" t="s">
        <v>544</v>
      </c>
      <c r="E2282" t="s">
        <v>39</v>
      </c>
      <c r="F2282" t="s">
        <v>4312</v>
      </c>
      <c r="G2282" t="str">
        <f>"201405000632"</f>
        <v>201405000632</v>
      </c>
      <c r="H2282" t="s">
        <v>4313</v>
      </c>
      <c r="I2282">
        <v>150</v>
      </c>
      <c r="J2282">
        <v>0</v>
      </c>
      <c r="K2282">
        <v>0</v>
      </c>
      <c r="L2282">
        <v>0</v>
      </c>
      <c r="M2282">
        <v>0</v>
      </c>
      <c r="N2282">
        <v>70</v>
      </c>
      <c r="O2282">
        <v>0</v>
      </c>
      <c r="P2282">
        <v>0</v>
      </c>
      <c r="Q2282">
        <v>30</v>
      </c>
      <c r="R2282">
        <v>0</v>
      </c>
      <c r="S2282">
        <v>0</v>
      </c>
      <c r="T2282">
        <v>0</v>
      </c>
      <c r="U2282">
        <v>0</v>
      </c>
      <c r="V2282">
        <v>4</v>
      </c>
      <c r="W2282">
        <v>28</v>
      </c>
      <c r="X2282">
        <v>0</v>
      </c>
      <c r="Z2282">
        <v>0</v>
      </c>
      <c r="AA2282">
        <v>0</v>
      </c>
      <c r="AB2282">
        <v>0</v>
      </c>
      <c r="AC2282">
        <v>0</v>
      </c>
      <c r="AD2282" t="s">
        <v>4314</v>
      </c>
    </row>
    <row r="2283" spans="1:30" x14ac:dyDescent="0.25">
      <c r="H2283" t="s">
        <v>4315</v>
      </c>
    </row>
    <row r="2284" spans="1:30" x14ac:dyDescent="0.25">
      <c r="A2284">
        <v>1139</v>
      </c>
      <c r="B2284">
        <v>2519</v>
      </c>
      <c r="C2284" t="s">
        <v>4316</v>
      </c>
      <c r="D2284" t="s">
        <v>1292</v>
      </c>
      <c r="E2284" t="s">
        <v>51</v>
      </c>
      <c r="F2284" t="s">
        <v>4317</v>
      </c>
      <c r="G2284" t="str">
        <f>"201401000549"</f>
        <v>201401000549</v>
      </c>
      <c r="H2284">
        <v>726</v>
      </c>
      <c r="I2284">
        <v>0</v>
      </c>
      <c r="J2284">
        <v>0</v>
      </c>
      <c r="K2284">
        <v>0</v>
      </c>
      <c r="L2284">
        <v>200</v>
      </c>
      <c r="M2284">
        <v>0</v>
      </c>
      <c r="N2284">
        <v>30</v>
      </c>
      <c r="O2284">
        <v>0</v>
      </c>
      <c r="P2284">
        <v>0</v>
      </c>
      <c r="Q2284">
        <v>0</v>
      </c>
      <c r="R2284">
        <v>0</v>
      </c>
      <c r="S2284">
        <v>0</v>
      </c>
      <c r="T2284">
        <v>0</v>
      </c>
      <c r="U2284">
        <v>0</v>
      </c>
      <c r="V2284">
        <v>39</v>
      </c>
      <c r="W2284">
        <v>273</v>
      </c>
      <c r="X2284">
        <v>0</v>
      </c>
      <c r="Z2284">
        <v>0</v>
      </c>
      <c r="AA2284">
        <v>0</v>
      </c>
      <c r="AB2284">
        <v>0</v>
      </c>
      <c r="AC2284">
        <v>0</v>
      </c>
      <c r="AD2284">
        <v>1229</v>
      </c>
    </row>
    <row r="2285" spans="1:30" x14ac:dyDescent="0.25">
      <c r="H2285" t="s">
        <v>4318</v>
      </c>
    </row>
    <row r="2286" spans="1:30" x14ac:dyDescent="0.25">
      <c r="A2286">
        <v>1140</v>
      </c>
      <c r="B2286">
        <v>5444</v>
      </c>
      <c r="C2286" t="s">
        <v>1153</v>
      </c>
      <c r="D2286" t="s">
        <v>534</v>
      </c>
      <c r="E2286" t="s">
        <v>40</v>
      </c>
      <c r="F2286" t="s">
        <v>4319</v>
      </c>
      <c r="G2286" t="str">
        <f>"00191284"</f>
        <v>00191284</v>
      </c>
      <c r="H2286" t="s">
        <v>1150</v>
      </c>
      <c r="I2286">
        <v>0</v>
      </c>
      <c r="J2286">
        <v>0</v>
      </c>
      <c r="K2286">
        <v>0</v>
      </c>
      <c r="L2286">
        <v>0</v>
      </c>
      <c r="M2286">
        <v>0</v>
      </c>
      <c r="N2286">
        <v>30</v>
      </c>
      <c r="O2286">
        <v>0</v>
      </c>
      <c r="P2286">
        <v>0</v>
      </c>
      <c r="Q2286">
        <v>0</v>
      </c>
      <c r="R2286">
        <v>0</v>
      </c>
      <c r="S2286">
        <v>0</v>
      </c>
      <c r="T2286">
        <v>0</v>
      </c>
      <c r="U2286">
        <v>0</v>
      </c>
      <c r="V2286">
        <v>71</v>
      </c>
      <c r="W2286">
        <v>497</v>
      </c>
      <c r="X2286">
        <v>0</v>
      </c>
      <c r="Z2286">
        <v>0</v>
      </c>
      <c r="AA2286">
        <v>0</v>
      </c>
      <c r="AB2286">
        <v>0</v>
      </c>
      <c r="AC2286">
        <v>0</v>
      </c>
      <c r="AD2286" t="s">
        <v>4320</v>
      </c>
    </row>
    <row r="2287" spans="1:30" x14ac:dyDescent="0.25">
      <c r="H2287" t="s">
        <v>4321</v>
      </c>
    </row>
    <row r="2288" spans="1:30" x14ac:dyDescent="0.25">
      <c r="A2288">
        <v>1141</v>
      </c>
      <c r="B2288">
        <v>1582</v>
      </c>
      <c r="C2288" t="s">
        <v>4322</v>
      </c>
      <c r="D2288" t="s">
        <v>544</v>
      </c>
      <c r="E2288" t="s">
        <v>2069</v>
      </c>
      <c r="F2288" t="s">
        <v>4323</v>
      </c>
      <c r="G2288" t="str">
        <f>"201405002089"</f>
        <v>201405002089</v>
      </c>
      <c r="H2288" t="s">
        <v>1850</v>
      </c>
      <c r="I2288">
        <v>0</v>
      </c>
      <c r="J2288">
        <v>0</v>
      </c>
      <c r="K2288">
        <v>0</v>
      </c>
      <c r="L2288">
        <v>200</v>
      </c>
      <c r="M2288">
        <v>0</v>
      </c>
      <c r="N2288">
        <v>50</v>
      </c>
      <c r="O2288">
        <v>0</v>
      </c>
      <c r="P2288">
        <v>0</v>
      </c>
      <c r="Q2288">
        <v>0</v>
      </c>
      <c r="R2288">
        <v>0</v>
      </c>
      <c r="S2288">
        <v>0</v>
      </c>
      <c r="T2288">
        <v>0</v>
      </c>
      <c r="U2288">
        <v>0</v>
      </c>
      <c r="V2288">
        <v>39</v>
      </c>
      <c r="W2288">
        <v>273</v>
      </c>
      <c r="X2288">
        <v>0</v>
      </c>
      <c r="Z2288">
        <v>0</v>
      </c>
      <c r="AA2288">
        <v>0</v>
      </c>
      <c r="AB2288">
        <v>0</v>
      </c>
      <c r="AC2288">
        <v>0</v>
      </c>
      <c r="AD2288" t="s">
        <v>4324</v>
      </c>
    </row>
    <row r="2289" spans="1:30" x14ac:dyDescent="0.25">
      <c r="H2289" t="s">
        <v>4325</v>
      </c>
    </row>
    <row r="2290" spans="1:30" x14ac:dyDescent="0.25">
      <c r="A2290">
        <v>1142</v>
      </c>
      <c r="B2290">
        <v>4904</v>
      </c>
      <c r="C2290" t="s">
        <v>4326</v>
      </c>
      <c r="D2290" t="s">
        <v>98</v>
      </c>
      <c r="E2290" t="s">
        <v>282</v>
      </c>
      <c r="F2290" t="s">
        <v>4327</v>
      </c>
      <c r="G2290" t="str">
        <f>"00203076"</f>
        <v>00203076</v>
      </c>
      <c r="H2290">
        <v>682</v>
      </c>
      <c r="I2290">
        <v>0</v>
      </c>
      <c r="J2290">
        <v>0</v>
      </c>
      <c r="K2290">
        <v>0</v>
      </c>
      <c r="L2290">
        <v>0</v>
      </c>
      <c r="M2290">
        <v>0</v>
      </c>
      <c r="N2290">
        <v>0</v>
      </c>
      <c r="O2290">
        <v>0</v>
      </c>
      <c r="P2290">
        <v>0</v>
      </c>
      <c r="Q2290">
        <v>0</v>
      </c>
      <c r="R2290">
        <v>0</v>
      </c>
      <c r="S2290">
        <v>0</v>
      </c>
      <c r="T2290">
        <v>0</v>
      </c>
      <c r="U2290">
        <v>0</v>
      </c>
      <c r="V2290">
        <v>78</v>
      </c>
      <c r="W2290">
        <v>546</v>
      </c>
      <c r="X2290">
        <v>0</v>
      </c>
      <c r="Z2290">
        <v>0</v>
      </c>
      <c r="AA2290">
        <v>0</v>
      </c>
      <c r="AB2290">
        <v>0</v>
      </c>
      <c r="AC2290">
        <v>0</v>
      </c>
      <c r="AD2290">
        <v>1228</v>
      </c>
    </row>
    <row r="2291" spans="1:30" x14ac:dyDescent="0.25">
      <c r="H2291" t="s">
        <v>4328</v>
      </c>
    </row>
    <row r="2292" spans="1:30" x14ac:dyDescent="0.25">
      <c r="A2292">
        <v>1143</v>
      </c>
      <c r="B2292">
        <v>396</v>
      </c>
      <c r="C2292" t="s">
        <v>1676</v>
      </c>
      <c r="D2292" t="s">
        <v>1810</v>
      </c>
      <c r="E2292" t="s">
        <v>91</v>
      </c>
      <c r="F2292" t="s">
        <v>4329</v>
      </c>
      <c r="G2292" t="str">
        <f>"00292813"</f>
        <v>00292813</v>
      </c>
      <c r="H2292" t="s">
        <v>123</v>
      </c>
      <c r="I2292">
        <v>0</v>
      </c>
      <c r="J2292">
        <v>0</v>
      </c>
      <c r="K2292">
        <v>0</v>
      </c>
      <c r="L2292">
        <v>0</v>
      </c>
      <c r="M2292">
        <v>0</v>
      </c>
      <c r="N2292">
        <v>30</v>
      </c>
      <c r="O2292">
        <v>0</v>
      </c>
      <c r="P2292">
        <v>0</v>
      </c>
      <c r="Q2292">
        <v>0</v>
      </c>
      <c r="R2292">
        <v>0</v>
      </c>
      <c r="S2292">
        <v>0</v>
      </c>
      <c r="T2292">
        <v>0</v>
      </c>
      <c r="U2292">
        <v>0</v>
      </c>
      <c r="V2292">
        <v>66</v>
      </c>
      <c r="W2292">
        <v>462</v>
      </c>
      <c r="X2292">
        <v>0</v>
      </c>
      <c r="Z2292">
        <v>0</v>
      </c>
      <c r="AA2292">
        <v>0</v>
      </c>
      <c r="AB2292">
        <v>0</v>
      </c>
      <c r="AC2292">
        <v>0</v>
      </c>
      <c r="AD2292" t="s">
        <v>4330</v>
      </c>
    </row>
    <row r="2293" spans="1:30" x14ac:dyDescent="0.25">
      <c r="H2293" t="s">
        <v>4331</v>
      </c>
    </row>
    <row r="2294" spans="1:30" x14ac:dyDescent="0.25">
      <c r="A2294">
        <v>1144</v>
      </c>
      <c r="B2294">
        <v>5849</v>
      </c>
      <c r="C2294" t="s">
        <v>452</v>
      </c>
      <c r="D2294" t="s">
        <v>99</v>
      </c>
      <c r="E2294" t="s">
        <v>40</v>
      </c>
      <c r="F2294" t="s">
        <v>4332</v>
      </c>
      <c r="G2294" t="str">
        <f>"201403000105"</f>
        <v>201403000105</v>
      </c>
      <c r="H2294" t="s">
        <v>4333</v>
      </c>
      <c r="I2294">
        <v>0</v>
      </c>
      <c r="J2294">
        <v>0</v>
      </c>
      <c r="K2294">
        <v>0</v>
      </c>
      <c r="L2294">
        <v>200</v>
      </c>
      <c r="M2294">
        <v>0</v>
      </c>
      <c r="N2294">
        <v>50</v>
      </c>
      <c r="O2294">
        <v>0</v>
      </c>
      <c r="P2294">
        <v>0</v>
      </c>
      <c r="Q2294">
        <v>0</v>
      </c>
      <c r="R2294">
        <v>0</v>
      </c>
      <c r="S2294">
        <v>0</v>
      </c>
      <c r="T2294">
        <v>0</v>
      </c>
      <c r="U2294">
        <v>0</v>
      </c>
      <c r="V2294">
        <v>30</v>
      </c>
      <c r="W2294">
        <v>210</v>
      </c>
      <c r="X2294">
        <v>0</v>
      </c>
      <c r="Z2294">
        <v>1</v>
      </c>
      <c r="AA2294">
        <v>0</v>
      </c>
      <c r="AB2294">
        <v>0</v>
      </c>
      <c r="AC2294">
        <v>0</v>
      </c>
      <c r="AD2294" t="s">
        <v>4334</v>
      </c>
    </row>
    <row r="2295" spans="1:30" x14ac:dyDescent="0.25">
      <c r="H2295" t="s">
        <v>4335</v>
      </c>
    </row>
    <row r="2296" spans="1:30" x14ac:dyDescent="0.25">
      <c r="A2296">
        <v>1145</v>
      </c>
      <c r="B2296">
        <v>535</v>
      </c>
      <c r="C2296" t="s">
        <v>4336</v>
      </c>
      <c r="D2296" t="s">
        <v>182</v>
      </c>
      <c r="E2296" t="s">
        <v>40</v>
      </c>
      <c r="F2296" t="s">
        <v>4337</v>
      </c>
      <c r="G2296" t="str">
        <f>"00149192"</f>
        <v>00149192</v>
      </c>
      <c r="H2296" t="s">
        <v>4338</v>
      </c>
      <c r="I2296">
        <v>0</v>
      </c>
      <c r="J2296">
        <v>0</v>
      </c>
      <c r="K2296">
        <v>0</v>
      </c>
      <c r="L2296">
        <v>0</v>
      </c>
      <c r="M2296">
        <v>0</v>
      </c>
      <c r="N2296">
        <v>0</v>
      </c>
      <c r="O2296">
        <v>0</v>
      </c>
      <c r="P2296">
        <v>0</v>
      </c>
      <c r="Q2296">
        <v>0</v>
      </c>
      <c r="R2296">
        <v>0</v>
      </c>
      <c r="S2296">
        <v>0</v>
      </c>
      <c r="T2296">
        <v>0</v>
      </c>
      <c r="U2296">
        <v>0</v>
      </c>
      <c r="V2296">
        <v>31</v>
      </c>
      <c r="W2296">
        <v>217</v>
      </c>
      <c r="X2296">
        <v>0</v>
      </c>
      <c r="Z2296">
        <v>3</v>
      </c>
      <c r="AA2296">
        <v>0</v>
      </c>
      <c r="AB2296">
        <v>24</v>
      </c>
      <c r="AC2296">
        <v>408</v>
      </c>
      <c r="AD2296" t="s">
        <v>4339</v>
      </c>
    </row>
    <row r="2297" spans="1:30" x14ac:dyDescent="0.25">
      <c r="H2297" t="s">
        <v>4340</v>
      </c>
    </row>
    <row r="2298" spans="1:30" x14ac:dyDescent="0.25">
      <c r="A2298">
        <v>1146</v>
      </c>
      <c r="B2298">
        <v>4604</v>
      </c>
      <c r="C2298" t="s">
        <v>4341</v>
      </c>
      <c r="D2298" t="s">
        <v>39</v>
      </c>
      <c r="E2298" t="s">
        <v>176</v>
      </c>
      <c r="F2298" t="s">
        <v>4342</v>
      </c>
      <c r="G2298" t="str">
        <f>"00358363"</f>
        <v>00358363</v>
      </c>
      <c r="H2298">
        <v>638</v>
      </c>
      <c r="I2298">
        <v>0</v>
      </c>
      <c r="J2298">
        <v>0</v>
      </c>
      <c r="K2298">
        <v>0</v>
      </c>
      <c r="L2298">
        <v>0</v>
      </c>
      <c r="M2298">
        <v>0</v>
      </c>
      <c r="N2298">
        <v>0</v>
      </c>
      <c r="O2298">
        <v>0</v>
      </c>
      <c r="P2298">
        <v>0</v>
      </c>
      <c r="Q2298">
        <v>0</v>
      </c>
      <c r="R2298">
        <v>0</v>
      </c>
      <c r="S2298">
        <v>0</v>
      </c>
      <c r="T2298">
        <v>0</v>
      </c>
      <c r="U2298">
        <v>0</v>
      </c>
      <c r="V2298">
        <v>84</v>
      </c>
      <c r="W2298">
        <v>588</v>
      </c>
      <c r="X2298">
        <v>0</v>
      </c>
      <c r="Z2298">
        <v>0</v>
      </c>
      <c r="AA2298">
        <v>0</v>
      </c>
      <c r="AB2298">
        <v>0</v>
      </c>
      <c r="AC2298">
        <v>0</v>
      </c>
      <c r="AD2298">
        <v>1226</v>
      </c>
    </row>
    <row r="2299" spans="1:30" x14ac:dyDescent="0.25">
      <c r="H2299" t="s">
        <v>4343</v>
      </c>
    </row>
    <row r="2300" spans="1:30" x14ac:dyDescent="0.25">
      <c r="A2300">
        <v>1147</v>
      </c>
      <c r="B2300">
        <v>6220</v>
      </c>
      <c r="C2300" t="s">
        <v>4344</v>
      </c>
      <c r="D2300" t="s">
        <v>804</v>
      </c>
      <c r="E2300" t="s">
        <v>183</v>
      </c>
      <c r="F2300" t="s">
        <v>4345</v>
      </c>
      <c r="G2300" t="str">
        <f>"00200485"</f>
        <v>00200485</v>
      </c>
      <c r="H2300" t="s">
        <v>502</v>
      </c>
      <c r="I2300">
        <v>0</v>
      </c>
      <c r="J2300">
        <v>0</v>
      </c>
      <c r="K2300">
        <v>0</v>
      </c>
      <c r="L2300">
        <v>0</v>
      </c>
      <c r="M2300">
        <v>0</v>
      </c>
      <c r="N2300">
        <v>0</v>
      </c>
      <c r="O2300">
        <v>30</v>
      </c>
      <c r="P2300">
        <v>0</v>
      </c>
      <c r="Q2300">
        <v>0</v>
      </c>
      <c r="R2300">
        <v>0</v>
      </c>
      <c r="S2300">
        <v>0</v>
      </c>
      <c r="T2300">
        <v>0</v>
      </c>
      <c r="U2300">
        <v>0</v>
      </c>
      <c r="V2300">
        <v>63</v>
      </c>
      <c r="W2300">
        <v>441</v>
      </c>
      <c r="X2300">
        <v>0</v>
      </c>
      <c r="Z2300">
        <v>0</v>
      </c>
      <c r="AA2300">
        <v>0</v>
      </c>
      <c r="AB2300">
        <v>0</v>
      </c>
      <c r="AC2300">
        <v>0</v>
      </c>
      <c r="AD2300" t="s">
        <v>4346</v>
      </c>
    </row>
    <row r="2301" spans="1:30" x14ac:dyDescent="0.25">
      <c r="H2301" t="s">
        <v>4347</v>
      </c>
    </row>
    <row r="2302" spans="1:30" x14ac:dyDescent="0.25">
      <c r="A2302">
        <v>1148</v>
      </c>
      <c r="B2302">
        <v>5565</v>
      </c>
      <c r="C2302" t="s">
        <v>4348</v>
      </c>
      <c r="D2302" t="s">
        <v>3226</v>
      </c>
      <c r="E2302" t="s">
        <v>140</v>
      </c>
      <c r="F2302" t="s">
        <v>4349</v>
      </c>
      <c r="G2302" t="str">
        <f>"200802008750"</f>
        <v>200802008750</v>
      </c>
      <c r="H2302">
        <v>693</v>
      </c>
      <c r="I2302">
        <v>0</v>
      </c>
      <c r="J2302">
        <v>0</v>
      </c>
      <c r="K2302">
        <v>0</v>
      </c>
      <c r="L2302">
        <v>0</v>
      </c>
      <c r="M2302">
        <v>0</v>
      </c>
      <c r="N2302">
        <v>0</v>
      </c>
      <c r="O2302">
        <v>0</v>
      </c>
      <c r="P2302">
        <v>0</v>
      </c>
      <c r="Q2302">
        <v>0</v>
      </c>
      <c r="R2302">
        <v>0</v>
      </c>
      <c r="S2302">
        <v>0</v>
      </c>
      <c r="T2302">
        <v>0</v>
      </c>
      <c r="U2302">
        <v>0</v>
      </c>
      <c r="V2302">
        <v>76</v>
      </c>
      <c r="W2302">
        <v>532</v>
      </c>
      <c r="X2302">
        <v>0</v>
      </c>
      <c r="Z2302">
        <v>0</v>
      </c>
      <c r="AA2302">
        <v>0</v>
      </c>
      <c r="AB2302">
        <v>0</v>
      </c>
      <c r="AC2302">
        <v>0</v>
      </c>
      <c r="AD2302">
        <v>1225</v>
      </c>
    </row>
    <row r="2303" spans="1:30" x14ac:dyDescent="0.25">
      <c r="H2303" t="s">
        <v>4350</v>
      </c>
    </row>
    <row r="2304" spans="1:30" x14ac:dyDescent="0.25">
      <c r="A2304">
        <v>1149</v>
      </c>
      <c r="B2304">
        <v>6105</v>
      </c>
      <c r="C2304" t="s">
        <v>4351</v>
      </c>
      <c r="D2304" t="s">
        <v>144</v>
      </c>
      <c r="E2304" t="s">
        <v>107</v>
      </c>
      <c r="F2304" t="s">
        <v>4352</v>
      </c>
      <c r="G2304" t="str">
        <f>"201406015052"</f>
        <v>201406015052</v>
      </c>
      <c r="H2304" t="s">
        <v>754</v>
      </c>
      <c r="I2304">
        <v>0</v>
      </c>
      <c r="J2304">
        <v>0</v>
      </c>
      <c r="K2304">
        <v>0</v>
      </c>
      <c r="L2304">
        <v>200</v>
      </c>
      <c r="M2304">
        <v>0</v>
      </c>
      <c r="N2304">
        <v>70</v>
      </c>
      <c r="O2304">
        <v>0</v>
      </c>
      <c r="P2304">
        <v>0</v>
      </c>
      <c r="Q2304">
        <v>0</v>
      </c>
      <c r="R2304">
        <v>0</v>
      </c>
      <c r="S2304">
        <v>0</v>
      </c>
      <c r="T2304">
        <v>0</v>
      </c>
      <c r="U2304">
        <v>0</v>
      </c>
      <c r="V2304">
        <v>33</v>
      </c>
      <c r="W2304">
        <v>231</v>
      </c>
      <c r="X2304">
        <v>0</v>
      </c>
      <c r="Z2304">
        <v>1</v>
      </c>
      <c r="AA2304">
        <v>0</v>
      </c>
      <c r="AB2304">
        <v>0</v>
      </c>
      <c r="AC2304">
        <v>0</v>
      </c>
      <c r="AD2304" t="s">
        <v>4353</v>
      </c>
    </row>
    <row r="2305" spans="1:30" x14ac:dyDescent="0.25">
      <c r="H2305" t="s">
        <v>132</v>
      </c>
    </row>
    <row r="2306" spans="1:30" x14ac:dyDescent="0.25">
      <c r="A2306">
        <v>1150</v>
      </c>
      <c r="B2306">
        <v>5431</v>
      </c>
      <c r="C2306" t="s">
        <v>4354</v>
      </c>
      <c r="D2306" t="s">
        <v>1289</v>
      </c>
      <c r="E2306" t="s">
        <v>140</v>
      </c>
      <c r="F2306" t="s">
        <v>4355</v>
      </c>
      <c r="G2306" t="str">
        <f>"00184309"</f>
        <v>00184309</v>
      </c>
      <c r="H2306" t="s">
        <v>332</v>
      </c>
      <c r="I2306">
        <v>0</v>
      </c>
      <c r="J2306">
        <v>0</v>
      </c>
      <c r="K2306">
        <v>0</v>
      </c>
      <c r="L2306">
        <v>0</v>
      </c>
      <c r="M2306">
        <v>0</v>
      </c>
      <c r="N2306">
        <v>70</v>
      </c>
      <c r="O2306">
        <v>50</v>
      </c>
      <c r="P2306">
        <v>0</v>
      </c>
      <c r="Q2306">
        <v>0</v>
      </c>
      <c r="R2306">
        <v>0</v>
      </c>
      <c r="S2306">
        <v>0</v>
      </c>
      <c r="T2306">
        <v>0</v>
      </c>
      <c r="U2306">
        <v>0</v>
      </c>
      <c r="V2306">
        <v>53</v>
      </c>
      <c r="W2306">
        <v>371</v>
      </c>
      <c r="X2306">
        <v>0</v>
      </c>
      <c r="Z2306">
        <v>2</v>
      </c>
      <c r="AA2306">
        <v>0</v>
      </c>
      <c r="AB2306">
        <v>0</v>
      </c>
      <c r="AC2306">
        <v>0</v>
      </c>
      <c r="AD2306" t="s">
        <v>4356</v>
      </c>
    </row>
    <row r="2307" spans="1:30" x14ac:dyDescent="0.25">
      <c r="H2307" t="s">
        <v>521</v>
      </c>
    </row>
    <row r="2308" spans="1:30" x14ac:dyDescent="0.25">
      <c r="A2308">
        <v>1151</v>
      </c>
      <c r="B2308">
        <v>5801</v>
      </c>
      <c r="C2308" t="s">
        <v>4357</v>
      </c>
      <c r="D2308" t="s">
        <v>3461</v>
      </c>
      <c r="E2308" t="s">
        <v>47</v>
      </c>
      <c r="F2308" t="s">
        <v>4358</v>
      </c>
      <c r="G2308" t="str">
        <f>"00263274"</f>
        <v>00263274</v>
      </c>
      <c r="H2308" t="s">
        <v>3774</v>
      </c>
      <c r="I2308">
        <v>0</v>
      </c>
      <c r="J2308">
        <v>0</v>
      </c>
      <c r="K2308">
        <v>0</v>
      </c>
      <c r="L2308">
        <v>0</v>
      </c>
      <c r="M2308">
        <v>0</v>
      </c>
      <c r="N2308">
        <v>0</v>
      </c>
      <c r="O2308">
        <v>0</v>
      </c>
      <c r="P2308">
        <v>0</v>
      </c>
      <c r="Q2308">
        <v>0</v>
      </c>
      <c r="R2308">
        <v>0</v>
      </c>
      <c r="S2308">
        <v>0</v>
      </c>
      <c r="T2308">
        <v>0</v>
      </c>
      <c r="U2308">
        <v>0</v>
      </c>
      <c r="V2308">
        <v>17</v>
      </c>
      <c r="W2308">
        <v>119</v>
      </c>
      <c r="X2308">
        <v>0</v>
      </c>
      <c r="Z2308">
        <v>2</v>
      </c>
      <c r="AA2308">
        <v>0</v>
      </c>
      <c r="AB2308">
        <v>24</v>
      </c>
      <c r="AC2308">
        <v>408</v>
      </c>
      <c r="AD2308" t="s">
        <v>4359</v>
      </c>
    </row>
    <row r="2309" spans="1:30" x14ac:dyDescent="0.25">
      <c r="H2309">
        <v>1247</v>
      </c>
    </row>
    <row r="2310" spans="1:30" x14ac:dyDescent="0.25">
      <c r="A2310">
        <v>1152</v>
      </c>
      <c r="B2310">
        <v>519</v>
      </c>
      <c r="C2310" t="s">
        <v>1493</v>
      </c>
      <c r="D2310" t="s">
        <v>665</v>
      </c>
      <c r="E2310" t="s">
        <v>51</v>
      </c>
      <c r="F2310" t="s">
        <v>4360</v>
      </c>
      <c r="G2310" t="str">
        <f>"00258203"</f>
        <v>00258203</v>
      </c>
      <c r="H2310" t="s">
        <v>2185</v>
      </c>
      <c r="I2310">
        <v>0</v>
      </c>
      <c r="J2310">
        <v>0</v>
      </c>
      <c r="K2310">
        <v>0</v>
      </c>
      <c r="L2310">
        <v>0</v>
      </c>
      <c r="M2310">
        <v>0</v>
      </c>
      <c r="N2310">
        <v>30</v>
      </c>
      <c r="O2310">
        <v>0</v>
      </c>
      <c r="P2310">
        <v>0</v>
      </c>
      <c r="Q2310">
        <v>0</v>
      </c>
      <c r="R2310">
        <v>0</v>
      </c>
      <c r="S2310">
        <v>0</v>
      </c>
      <c r="T2310">
        <v>0</v>
      </c>
      <c r="U2310">
        <v>0</v>
      </c>
      <c r="V2310">
        <v>58</v>
      </c>
      <c r="W2310">
        <v>406</v>
      </c>
      <c r="X2310">
        <v>0</v>
      </c>
      <c r="Z2310">
        <v>0</v>
      </c>
      <c r="AA2310">
        <v>0</v>
      </c>
      <c r="AB2310">
        <v>0</v>
      </c>
      <c r="AC2310">
        <v>0</v>
      </c>
      <c r="AD2310" t="s">
        <v>4361</v>
      </c>
    </row>
    <row r="2311" spans="1:30" x14ac:dyDescent="0.25">
      <c r="H2311" t="s">
        <v>4362</v>
      </c>
    </row>
    <row r="2312" spans="1:30" x14ac:dyDescent="0.25">
      <c r="A2312">
        <v>1153</v>
      </c>
      <c r="B2312">
        <v>1251</v>
      </c>
      <c r="C2312" t="s">
        <v>4363</v>
      </c>
      <c r="D2312" t="s">
        <v>223</v>
      </c>
      <c r="E2312" t="s">
        <v>107</v>
      </c>
      <c r="F2312" t="s">
        <v>4364</v>
      </c>
      <c r="G2312" t="str">
        <f>"00272356"</f>
        <v>00272356</v>
      </c>
      <c r="H2312" t="s">
        <v>204</v>
      </c>
      <c r="I2312">
        <v>0</v>
      </c>
      <c r="J2312">
        <v>0</v>
      </c>
      <c r="K2312">
        <v>0</v>
      </c>
      <c r="L2312">
        <v>0</v>
      </c>
      <c r="M2312">
        <v>0</v>
      </c>
      <c r="N2312">
        <v>30</v>
      </c>
      <c r="O2312">
        <v>0</v>
      </c>
      <c r="P2312">
        <v>0</v>
      </c>
      <c r="Q2312">
        <v>0</v>
      </c>
      <c r="R2312">
        <v>0</v>
      </c>
      <c r="S2312">
        <v>0</v>
      </c>
      <c r="T2312">
        <v>0</v>
      </c>
      <c r="U2312">
        <v>0</v>
      </c>
      <c r="V2312">
        <v>66</v>
      </c>
      <c r="W2312">
        <v>462</v>
      </c>
      <c r="X2312">
        <v>0</v>
      </c>
      <c r="Z2312">
        <v>0</v>
      </c>
      <c r="AA2312">
        <v>0</v>
      </c>
      <c r="AB2312">
        <v>0</v>
      </c>
      <c r="AC2312">
        <v>0</v>
      </c>
      <c r="AD2312" t="s">
        <v>4365</v>
      </c>
    </row>
    <row r="2313" spans="1:30" x14ac:dyDescent="0.25">
      <c r="H2313" t="s">
        <v>4366</v>
      </c>
    </row>
    <row r="2314" spans="1:30" x14ac:dyDescent="0.25">
      <c r="A2314">
        <v>1154</v>
      </c>
      <c r="B2314">
        <v>4945</v>
      </c>
      <c r="C2314" t="s">
        <v>4367</v>
      </c>
      <c r="D2314" t="s">
        <v>1878</v>
      </c>
      <c r="E2314" t="s">
        <v>1215</v>
      </c>
      <c r="F2314" t="s">
        <v>4368</v>
      </c>
      <c r="G2314" t="str">
        <f>"201511039232"</f>
        <v>201511039232</v>
      </c>
      <c r="H2314" t="s">
        <v>813</v>
      </c>
      <c r="I2314">
        <v>0</v>
      </c>
      <c r="J2314">
        <v>0</v>
      </c>
      <c r="K2314">
        <v>0</v>
      </c>
      <c r="L2314">
        <v>0</v>
      </c>
      <c r="M2314">
        <v>0</v>
      </c>
      <c r="N2314">
        <v>30</v>
      </c>
      <c r="O2314">
        <v>0</v>
      </c>
      <c r="P2314">
        <v>0</v>
      </c>
      <c r="Q2314">
        <v>0</v>
      </c>
      <c r="R2314">
        <v>0</v>
      </c>
      <c r="S2314">
        <v>0</v>
      </c>
      <c r="T2314">
        <v>0</v>
      </c>
      <c r="U2314">
        <v>0</v>
      </c>
      <c r="V2314">
        <v>9</v>
      </c>
      <c r="W2314">
        <v>63</v>
      </c>
      <c r="X2314">
        <v>0</v>
      </c>
      <c r="Z2314">
        <v>0</v>
      </c>
      <c r="AA2314">
        <v>0</v>
      </c>
      <c r="AB2314">
        <v>23</v>
      </c>
      <c r="AC2314">
        <v>391</v>
      </c>
      <c r="AD2314" t="s">
        <v>4369</v>
      </c>
    </row>
    <row r="2315" spans="1:30" x14ac:dyDescent="0.25">
      <c r="H2315" t="s">
        <v>4370</v>
      </c>
    </row>
    <row r="2316" spans="1:30" x14ac:dyDescent="0.25">
      <c r="A2316">
        <v>1155</v>
      </c>
      <c r="B2316">
        <v>28</v>
      </c>
      <c r="C2316" t="s">
        <v>4371</v>
      </c>
      <c r="D2316" t="s">
        <v>114</v>
      </c>
      <c r="E2316" t="s">
        <v>482</v>
      </c>
      <c r="F2316" t="s">
        <v>4372</v>
      </c>
      <c r="G2316" t="str">
        <f>"200807000289"</f>
        <v>200807000289</v>
      </c>
      <c r="H2316">
        <v>704</v>
      </c>
      <c r="I2316">
        <v>0</v>
      </c>
      <c r="J2316">
        <v>0</v>
      </c>
      <c r="K2316">
        <v>0</v>
      </c>
      <c r="L2316">
        <v>0</v>
      </c>
      <c r="M2316">
        <v>0</v>
      </c>
      <c r="N2316">
        <v>0</v>
      </c>
      <c r="O2316">
        <v>0</v>
      </c>
      <c r="P2316">
        <v>0</v>
      </c>
      <c r="Q2316">
        <v>0</v>
      </c>
      <c r="R2316">
        <v>0</v>
      </c>
      <c r="S2316">
        <v>0</v>
      </c>
      <c r="T2316">
        <v>0</v>
      </c>
      <c r="U2316">
        <v>0</v>
      </c>
      <c r="V2316">
        <v>74</v>
      </c>
      <c r="W2316">
        <v>518</v>
      </c>
      <c r="X2316">
        <v>0</v>
      </c>
      <c r="Z2316">
        <v>0</v>
      </c>
      <c r="AA2316">
        <v>0</v>
      </c>
      <c r="AB2316">
        <v>0</v>
      </c>
      <c r="AC2316">
        <v>0</v>
      </c>
      <c r="AD2316">
        <v>1222</v>
      </c>
    </row>
    <row r="2317" spans="1:30" x14ac:dyDescent="0.25">
      <c r="H2317" t="s">
        <v>4373</v>
      </c>
    </row>
    <row r="2318" spans="1:30" x14ac:dyDescent="0.25">
      <c r="A2318">
        <v>1156</v>
      </c>
      <c r="B2318">
        <v>1178</v>
      </c>
      <c r="C2318" t="s">
        <v>4374</v>
      </c>
      <c r="D2318" t="s">
        <v>1359</v>
      </c>
      <c r="E2318" t="s">
        <v>1070</v>
      </c>
      <c r="F2318" t="s">
        <v>4375</v>
      </c>
      <c r="G2318" t="str">
        <f>"201411001165"</f>
        <v>201411001165</v>
      </c>
      <c r="H2318" t="s">
        <v>568</v>
      </c>
      <c r="I2318">
        <v>0</v>
      </c>
      <c r="J2318">
        <v>0</v>
      </c>
      <c r="K2318">
        <v>0</v>
      </c>
      <c r="L2318">
        <v>0</v>
      </c>
      <c r="M2318">
        <v>0</v>
      </c>
      <c r="N2318">
        <v>30</v>
      </c>
      <c r="O2318">
        <v>0</v>
      </c>
      <c r="P2318">
        <v>0</v>
      </c>
      <c r="Q2318">
        <v>0</v>
      </c>
      <c r="R2318">
        <v>0</v>
      </c>
      <c r="S2318">
        <v>0</v>
      </c>
      <c r="T2318">
        <v>0</v>
      </c>
      <c r="U2318">
        <v>0</v>
      </c>
      <c r="V2318">
        <v>61</v>
      </c>
      <c r="W2318">
        <v>427</v>
      </c>
      <c r="X2318">
        <v>0</v>
      </c>
      <c r="Z2318">
        <v>0</v>
      </c>
      <c r="AA2318">
        <v>0</v>
      </c>
      <c r="AB2318">
        <v>0</v>
      </c>
      <c r="AC2318">
        <v>0</v>
      </c>
      <c r="AD2318" t="s">
        <v>4376</v>
      </c>
    </row>
    <row r="2319" spans="1:30" x14ac:dyDescent="0.25">
      <c r="H2319" t="s">
        <v>4377</v>
      </c>
    </row>
    <row r="2320" spans="1:30" x14ac:dyDescent="0.25">
      <c r="A2320">
        <v>1157</v>
      </c>
      <c r="B2320">
        <v>4866</v>
      </c>
      <c r="C2320" t="s">
        <v>4378</v>
      </c>
      <c r="D2320" t="s">
        <v>3183</v>
      </c>
      <c r="E2320" t="s">
        <v>108</v>
      </c>
      <c r="F2320" t="s">
        <v>4379</v>
      </c>
      <c r="G2320" t="str">
        <f>"00167808"</f>
        <v>00167808</v>
      </c>
      <c r="H2320" t="s">
        <v>1589</v>
      </c>
      <c r="I2320">
        <v>0</v>
      </c>
      <c r="J2320">
        <v>0</v>
      </c>
      <c r="K2320">
        <v>0</v>
      </c>
      <c r="L2320">
        <v>0</v>
      </c>
      <c r="M2320">
        <v>0</v>
      </c>
      <c r="N2320">
        <v>30</v>
      </c>
      <c r="O2320">
        <v>0</v>
      </c>
      <c r="P2320">
        <v>0</v>
      </c>
      <c r="Q2320">
        <v>0</v>
      </c>
      <c r="R2320">
        <v>0</v>
      </c>
      <c r="S2320">
        <v>0</v>
      </c>
      <c r="T2320">
        <v>0</v>
      </c>
      <c r="U2320">
        <v>0</v>
      </c>
      <c r="V2320">
        <v>52</v>
      </c>
      <c r="W2320">
        <v>364</v>
      </c>
      <c r="X2320">
        <v>0</v>
      </c>
      <c r="Z2320">
        <v>0</v>
      </c>
      <c r="AA2320">
        <v>0</v>
      </c>
      <c r="AB2320">
        <v>0</v>
      </c>
      <c r="AC2320">
        <v>0</v>
      </c>
      <c r="AD2320" t="s">
        <v>4380</v>
      </c>
    </row>
    <row r="2321" spans="1:30" x14ac:dyDescent="0.25">
      <c r="H2321" t="s">
        <v>4381</v>
      </c>
    </row>
    <row r="2322" spans="1:30" x14ac:dyDescent="0.25">
      <c r="A2322">
        <v>1158</v>
      </c>
      <c r="B2322">
        <v>2260</v>
      </c>
      <c r="C2322" t="s">
        <v>4382</v>
      </c>
      <c r="D2322" t="s">
        <v>251</v>
      </c>
      <c r="E2322" t="s">
        <v>47</v>
      </c>
      <c r="F2322" t="s">
        <v>4383</v>
      </c>
      <c r="G2322" t="str">
        <f>"201402003066"</f>
        <v>201402003066</v>
      </c>
      <c r="H2322" t="s">
        <v>456</v>
      </c>
      <c r="I2322">
        <v>0</v>
      </c>
      <c r="J2322">
        <v>0</v>
      </c>
      <c r="K2322">
        <v>0</v>
      </c>
      <c r="L2322">
        <v>0</v>
      </c>
      <c r="M2322">
        <v>0</v>
      </c>
      <c r="N2322">
        <v>70</v>
      </c>
      <c r="O2322">
        <v>70</v>
      </c>
      <c r="P2322">
        <v>0</v>
      </c>
      <c r="Q2322">
        <v>0</v>
      </c>
      <c r="R2322">
        <v>0</v>
      </c>
      <c r="S2322">
        <v>0</v>
      </c>
      <c r="T2322">
        <v>0</v>
      </c>
      <c r="U2322">
        <v>0</v>
      </c>
      <c r="V2322">
        <v>40</v>
      </c>
      <c r="W2322">
        <v>280</v>
      </c>
      <c r="X2322">
        <v>0</v>
      </c>
      <c r="Z2322">
        <v>0</v>
      </c>
      <c r="AA2322">
        <v>0</v>
      </c>
      <c r="AB2322">
        <v>0</v>
      </c>
      <c r="AC2322">
        <v>0</v>
      </c>
      <c r="AD2322" t="s">
        <v>4384</v>
      </c>
    </row>
    <row r="2323" spans="1:30" x14ac:dyDescent="0.25">
      <c r="H2323" t="s">
        <v>4385</v>
      </c>
    </row>
    <row r="2324" spans="1:30" x14ac:dyDescent="0.25">
      <c r="A2324">
        <v>1159</v>
      </c>
      <c r="B2324">
        <v>3374</v>
      </c>
      <c r="C2324" t="s">
        <v>4386</v>
      </c>
      <c r="D2324" t="s">
        <v>223</v>
      </c>
      <c r="E2324" t="s">
        <v>140</v>
      </c>
      <c r="F2324" t="s">
        <v>4387</v>
      </c>
      <c r="G2324" t="str">
        <f>"00193879"</f>
        <v>00193879</v>
      </c>
      <c r="H2324" t="s">
        <v>321</v>
      </c>
      <c r="I2324">
        <v>0</v>
      </c>
      <c r="J2324">
        <v>0</v>
      </c>
      <c r="K2324">
        <v>0</v>
      </c>
      <c r="L2324">
        <v>0</v>
      </c>
      <c r="M2324">
        <v>0</v>
      </c>
      <c r="N2324">
        <v>0</v>
      </c>
      <c r="O2324">
        <v>0</v>
      </c>
      <c r="P2324">
        <v>0</v>
      </c>
      <c r="Q2324">
        <v>0</v>
      </c>
      <c r="R2324">
        <v>0</v>
      </c>
      <c r="S2324">
        <v>0</v>
      </c>
      <c r="T2324">
        <v>0</v>
      </c>
      <c r="U2324">
        <v>0</v>
      </c>
      <c r="V2324">
        <v>53</v>
      </c>
      <c r="W2324">
        <v>371</v>
      </c>
      <c r="X2324">
        <v>0</v>
      </c>
      <c r="Z2324">
        <v>0</v>
      </c>
      <c r="AA2324">
        <v>0</v>
      </c>
      <c r="AB2324">
        <v>0</v>
      </c>
      <c r="AC2324">
        <v>0</v>
      </c>
      <c r="AD2324" t="s">
        <v>4388</v>
      </c>
    </row>
    <row r="2325" spans="1:30" x14ac:dyDescent="0.25">
      <c r="H2325" t="s">
        <v>4389</v>
      </c>
    </row>
    <row r="2326" spans="1:30" x14ac:dyDescent="0.25">
      <c r="A2326">
        <v>1160</v>
      </c>
      <c r="B2326">
        <v>3655</v>
      </c>
      <c r="C2326" t="s">
        <v>4390</v>
      </c>
      <c r="D2326" t="s">
        <v>115</v>
      </c>
      <c r="E2326" t="s">
        <v>190</v>
      </c>
      <c r="F2326" t="s">
        <v>4391</v>
      </c>
      <c r="G2326" t="str">
        <f>"00354256"</f>
        <v>00354256</v>
      </c>
      <c r="H2326" t="s">
        <v>2534</v>
      </c>
      <c r="I2326">
        <v>0</v>
      </c>
      <c r="J2326">
        <v>0</v>
      </c>
      <c r="K2326">
        <v>0</v>
      </c>
      <c r="L2326">
        <v>0</v>
      </c>
      <c r="M2326">
        <v>0</v>
      </c>
      <c r="N2326">
        <v>0</v>
      </c>
      <c r="O2326">
        <v>0</v>
      </c>
      <c r="P2326">
        <v>0</v>
      </c>
      <c r="Q2326">
        <v>0</v>
      </c>
      <c r="R2326">
        <v>0</v>
      </c>
      <c r="S2326">
        <v>0</v>
      </c>
      <c r="T2326">
        <v>0</v>
      </c>
      <c r="U2326">
        <v>0</v>
      </c>
      <c r="V2326">
        <v>84</v>
      </c>
      <c r="W2326">
        <v>588</v>
      </c>
      <c r="X2326">
        <v>0</v>
      </c>
      <c r="Z2326">
        <v>0</v>
      </c>
      <c r="AA2326">
        <v>0</v>
      </c>
      <c r="AB2326">
        <v>0</v>
      </c>
      <c r="AC2326">
        <v>0</v>
      </c>
      <c r="AD2326" t="s">
        <v>4392</v>
      </c>
    </row>
    <row r="2327" spans="1:30" x14ac:dyDescent="0.25">
      <c r="H2327">
        <v>1247</v>
      </c>
    </row>
    <row r="2328" spans="1:30" x14ac:dyDescent="0.25">
      <c r="A2328">
        <v>1161</v>
      </c>
      <c r="B2328">
        <v>2829</v>
      </c>
      <c r="C2328" t="s">
        <v>4393</v>
      </c>
      <c r="D2328" t="s">
        <v>223</v>
      </c>
      <c r="E2328" t="s">
        <v>239</v>
      </c>
      <c r="F2328" t="s">
        <v>4394</v>
      </c>
      <c r="G2328" t="str">
        <f>"00348590"</f>
        <v>00348590</v>
      </c>
      <c r="H2328" t="s">
        <v>2705</v>
      </c>
      <c r="I2328">
        <v>0</v>
      </c>
      <c r="J2328">
        <v>0</v>
      </c>
      <c r="K2328">
        <v>0</v>
      </c>
      <c r="L2328">
        <v>0</v>
      </c>
      <c r="M2328">
        <v>0</v>
      </c>
      <c r="N2328">
        <v>30</v>
      </c>
      <c r="O2328">
        <v>0</v>
      </c>
      <c r="P2328">
        <v>0</v>
      </c>
      <c r="Q2328">
        <v>0</v>
      </c>
      <c r="R2328">
        <v>0</v>
      </c>
      <c r="S2328">
        <v>0</v>
      </c>
      <c r="T2328">
        <v>0</v>
      </c>
      <c r="U2328">
        <v>0</v>
      </c>
      <c r="V2328">
        <v>72</v>
      </c>
      <c r="W2328">
        <v>504</v>
      </c>
      <c r="X2328">
        <v>0</v>
      </c>
      <c r="Z2328">
        <v>0</v>
      </c>
      <c r="AA2328">
        <v>0</v>
      </c>
      <c r="AB2328">
        <v>0</v>
      </c>
      <c r="AC2328">
        <v>0</v>
      </c>
      <c r="AD2328" t="s">
        <v>4395</v>
      </c>
    </row>
    <row r="2329" spans="1:30" x14ac:dyDescent="0.25">
      <c r="H2329">
        <v>1249</v>
      </c>
    </row>
    <row r="2330" spans="1:30" x14ac:dyDescent="0.25">
      <c r="A2330">
        <v>1162</v>
      </c>
      <c r="B2330">
        <v>5598</v>
      </c>
      <c r="C2330" t="s">
        <v>4396</v>
      </c>
      <c r="D2330" t="s">
        <v>378</v>
      </c>
      <c r="E2330" t="s">
        <v>282</v>
      </c>
      <c r="F2330" t="s">
        <v>4397</v>
      </c>
      <c r="G2330" t="str">
        <f>"201303000203"</f>
        <v>201303000203</v>
      </c>
      <c r="H2330" t="s">
        <v>456</v>
      </c>
      <c r="I2330">
        <v>0</v>
      </c>
      <c r="J2330">
        <v>0</v>
      </c>
      <c r="K2330">
        <v>0</v>
      </c>
      <c r="L2330">
        <v>0</v>
      </c>
      <c r="M2330">
        <v>0</v>
      </c>
      <c r="N2330">
        <v>30</v>
      </c>
      <c r="O2330">
        <v>0</v>
      </c>
      <c r="P2330">
        <v>0</v>
      </c>
      <c r="Q2330">
        <v>0</v>
      </c>
      <c r="R2330">
        <v>0</v>
      </c>
      <c r="S2330">
        <v>0</v>
      </c>
      <c r="T2330">
        <v>0</v>
      </c>
      <c r="U2330">
        <v>0</v>
      </c>
      <c r="V2330">
        <v>55</v>
      </c>
      <c r="W2330">
        <v>385</v>
      </c>
      <c r="X2330">
        <v>0</v>
      </c>
      <c r="Z2330">
        <v>0</v>
      </c>
      <c r="AA2330">
        <v>0</v>
      </c>
      <c r="AB2330">
        <v>0</v>
      </c>
      <c r="AC2330">
        <v>0</v>
      </c>
      <c r="AD2330" t="s">
        <v>4398</v>
      </c>
    </row>
    <row r="2331" spans="1:30" x14ac:dyDescent="0.25">
      <c r="H2331" t="s">
        <v>4399</v>
      </c>
    </row>
    <row r="2332" spans="1:30" x14ac:dyDescent="0.25">
      <c r="A2332">
        <v>1163</v>
      </c>
      <c r="B2332">
        <v>4581</v>
      </c>
      <c r="C2332" t="s">
        <v>4400</v>
      </c>
      <c r="D2332" t="s">
        <v>4401</v>
      </c>
      <c r="E2332" t="s">
        <v>4402</v>
      </c>
      <c r="F2332" t="s">
        <v>4403</v>
      </c>
      <c r="G2332" t="str">
        <f>"201511024575"</f>
        <v>201511024575</v>
      </c>
      <c r="H2332" t="s">
        <v>735</v>
      </c>
      <c r="I2332">
        <v>0</v>
      </c>
      <c r="J2332">
        <v>0</v>
      </c>
      <c r="K2332">
        <v>0</v>
      </c>
      <c r="L2332">
        <v>0</v>
      </c>
      <c r="M2332">
        <v>0</v>
      </c>
      <c r="N2332">
        <v>0</v>
      </c>
      <c r="O2332">
        <v>0</v>
      </c>
      <c r="P2332">
        <v>0</v>
      </c>
      <c r="Q2332">
        <v>70</v>
      </c>
      <c r="R2332">
        <v>0</v>
      </c>
      <c r="S2332">
        <v>0</v>
      </c>
      <c r="T2332">
        <v>0</v>
      </c>
      <c r="U2332">
        <v>0</v>
      </c>
      <c r="V2332">
        <v>32</v>
      </c>
      <c r="W2332">
        <v>224</v>
      </c>
      <c r="X2332">
        <v>0</v>
      </c>
      <c r="Z2332">
        <v>1</v>
      </c>
      <c r="AA2332">
        <v>0</v>
      </c>
      <c r="AB2332">
        <v>6</v>
      </c>
      <c r="AC2332">
        <v>102</v>
      </c>
      <c r="AD2332" t="s">
        <v>4404</v>
      </c>
    </row>
    <row r="2333" spans="1:30" x14ac:dyDescent="0.25">
      <c r="H2333" t="s">
        <v>4405</v>
      </c>
    </row>
    <row r="2334" spans="1:30" x14ac:dyDescent="0.25">
      <c r="A2334">
        <v>1164</v>
      </c>
      <c r="B2334">
        <v>99</v>
      </c>
      <c r="C2334" t="s">
        <v>4406</v>
      </c>
      <c r="D2334" t="s">
        <v>143</v>
      </c>
      <c r="E2334" t="s">
        <v>1660</v>
      </c>
      <c r="F2334" t="s">
        <v>4407</v>
      </c>
      <c r="G2334" t="str">
        <f>"201601000319"</f>
        <v>201601000319</v>
      </c>
      <c r="H2334">
        <v>737</v>
      </c>
      <c r="I2334">
        <v>0</v>
      </c>
      <c r="J2334">
        <v>0</v>
      </c>
      <c r="K2334">
        <v>0</v>
      </c>
      <c r="L2334">
        <v>0</v>
      </c>
      <c r="M2334">
        <v>0</v>
      </c>
      <c r="N2334">
        <v>70</v>
      </c>
      <c r="O2334">
        <v>0</v>
      </c>
      <c r="P2334">
        <v>50</v>
      </c>
      <c r="Q2334">
        <v>0</v>
      </c>
      <c r="R2334">
        <v>0</v>
      </c>
      <c r="S2334">
        <v>0</v>
      </c>
      <c r="T2334">
        <v>0</v>
      </c>
      <c r="U2334">
        <v>0</v>
      </c>
      <c r="V2334">
        <v>51</v>
      </c>
      <c r="W2334">
        <v>357</v>
      </c>
      <c r="X2334">
        <v>0</v>
      </c>
      <c r="Z2334">
        <v>0</v>
      </c>
      <c r="AA2334">
        <v>0</v>
      </c>
      <c r="AB2334">
        <v>0</v>
      </c>
      <c r="AC2334">
        <v>0</v>
      </c>
      <c r="AD2334">
        <v>1214</v>
      </c>
    </row>
    <row r="2335" spans="1:30" x14ac:dyDescent="0.25">
      <c r="H2335" t="s">
        <v>4408</v>
      </c>
    </row>
    <row r="2336" spans="1:30" x14ac:dyDescent="0.25">
      <c r="A2336">
        <v>1165</v>
      </c>
      <c r="B2336">
        <v>4423</v>
      </c>
      <c r="C2336" t="s">
        <v>4275</v>
      </c>
      <c r="D2336" t="s">
        <v>4409</v>
      </c>
      <c r="E2336" t="s">
        <v>40</v>
      </c>
      <c r="F2336" t="s">
        <v>4410</v>
      </c>
      <c r="G2336" t="str">
        <f>"201410003193"</f>
        <v>201410003193</v>
      </c>
      <c r="H2336" t="s">
        <v>4168</v>
      </c>
      <c r="I2336">
        <v>0</v>
      </c>
      <c r="J2336">
        <v>0</v>
      </c>
      <c r="K2336">
        <v>0</v>
      </c>
      <c r="L2336">
        <v>0</v>
      </c>
      <c r="M2336">
        <v>0</v>
      </c>
      <c r="N2336">
        <v>70</v>
      </c>
      <c r="O2336">
        <v>0</v>
      </c>
      <c r="P2336">
        <v>0</v>
      </c>
      <c r="Q2336">
        <v>0</v>
      </c>
      <c r="R2336">
        <v>30</v>
      </c>
      <c r="S2336">
        <v>0</v>
      </c>
      <c r="T2336">
        <v>0</v>
      </c>
      <c r="U2336">
        <v>0</v>
      </c>
      <c r="V2336">
        <v>52</v>
      </c>
      <c r="W2336">
        <v>364</v>
      </c>
      <c r="X2336">
        <v>0</v>
      </c>
      <c r="Z2336">
        <v>0</v>
      </c>
      <c r="AA2336">
        <v>0</v>
      </c>
      <c r="AB2336">
        <v>0</v>
      </c>
      <c r="AC2336">
        <v>0</v>
      </c>
      <c r="AD2336" t="s">
        <v>4411</v>
      </c>
    </row>
    <row r="2337" spans="1:30" x14ac:dyDescent="0.25">
      <c r="H2337" t="s">
        <v>4412</v>
      </c>
    </row>
    <row r="2338" spans="1:30" x14ac:dyDescent="0.25">
      <c r="A2338">
        <v>1166</v>
      </c>
      <c r="B2338">
        <v>3423</v>
      </c>
      <c r="C2338" t="s">
        <v>4413</v>
      </c>
      <c r="D2338" t="s">
        <v>162</v>
      </c>
      <c r="E2338" t="s">
        <v>535</v>
      </c>
      <c r="F2338" t="s">
        <v>4414</v>
      </c>
      <c r="G2338" t="str">
        <f>"00333123"</f>
        <v>00333123</v>
      </c>
      <c r="H2338" t="s">
        <v>311</v>
      </c>
      <c r="I2338">
        <v>0</v>
      </c>
      <c r="J2338">
        <v>0</v>
      </c>
      <c r="K2338">
        <v>0</v>
      </c>
      <c r="L2338">
        <v>0</v>
      </c>
      <c r="M2338">
        <v>0</v>
      </c>
      <c r="N2338">
        <v>0</v>
      </c>
      <c r="O2338">
        <v>0</v>
      </c>
      <c r="P2338">
        <v>0</v>
      </c>
      <c r="Q2338">
        <v>0</v>
      </c>
      <c r="R2338">
        <v>0</v>
      </c>
      <c r="S2338">
        <v>0</v>
      </c>
      <c r="T2338">
        <v>0</v>
      </c>
      <c r="U2338">
        <v>0</v>
      </c>
      <c r="V2338">
        <v>69</v>
      </c>
      <c r="W2338">
        <v>483</v>
      </c>
      <c r="X2338">
        <v>0</v>
      </c>
      <c r="Z2338">
        <v>0</v>
      </c>
      <c r="AA2338">
        <v>0</v>
      </c>
      <c r="AB2338">
        <v>0</v>
      </c>
      <c r="AC2338">
        <v>0</v>
      </c>
      <c r="AD2338" t="s">
        <v>4415</v>
      </c>
    </row>
    <row r="2339" spans="1:30" x14ac:dyDescent="0.25">
      <c r="H2339" t="s">
        <v>451</v>
      </c>
    </row>
    <row r="2340" spans="1:30" x14ac:dyDescent="0.25">
      <c r="A2340">
        <v>1167</v>
      </c>
      <c r="B2340">
        <v>2725</v>
      </c>
      <c r="C2340" t="s">
        <v>4416</v>
      </c>
      <c r="D2340" t="s">
        <v>166</v>
      </c>
      <c r="E2340" t="s">
        <v>47</v>
      </c>
      <c r="F2340" t="s">
        <v>4417</v>
      </c>
      <c r="G2340" t="str">
        <f>"00334454"</f>
        <v>00334454</v>
      </c>
      <c r="H2340">
        <v>836</v>
      </c>
      <c r="I2340">
        <v>150</v>
      </c>
      <c r="J2340">
        <v>0</v>
      </c>
      <c r="K2340">
        <v>0</v>
      </c>
      <c r="L2340">
        <v>0</v>
      </c>
      <c r="M2340">
        <v>0</v>
      </c>
      <c r="N2340">
        <v>30</v>
      </c>
      <c r="O2340">
        <v>0</v>
      </c>
      <c r="P2340">
        <v>0</v>
      </c>
      <c r="Q2340">
        <v>0</v>
      </c>
      <c r="R2340">
        <v>0</v>
      </c>
      <c r="S2340">
        <v>0</v>
      </c>
      <c r="T2340">
        <v>0</v>
      </c>
      <c r="U2340">
        <v>0</v>
      </c>
      <c r="V2340">
        <v>28</v>
      </c>
      <c r="W2340">
        <v>196</v>
      </c>
      <c r="X2340">
        <v>0</v>
      </c>
      <c r="Z2340">
        <v>0</v>
      </c>
      <c r="AA2340">
        <v>0</v>
      </c>
      <c r="AB2340">
        <v>0</v>
      </c>
      <c r="AC2340">
        <v>0</v>
      </c>
      <c r="AD2340">
        <v>1212</v>
      </c>
    </row>
    <row r="2341" spans="1:30" x14ac:dyDescent="0.25">
      <c r="H2341" t="s">
        <v>4418</v>
      </c>
    </row>
    <row r="2342" spans="1:30" x14ac:dyDescent="0.25">
      <c r="A2342">
        <v>1168</v>
      </c>
      <c r="B2342">
        <v>2024</v>
      </c>
      <c r="C2342" t="s">
        <v>1853</v>
      </c>
      <c r="D2342" t="s">
        <v>1292</v>
      </c>
      <c r="E2342" t="s">
        <v>950</v>
      </c>
      <c r="F2342" t="s">
        <v>4419</v>
      </c>
      <c r="G2342" t="str">
        <f>"201412002722"</f>
        <v>201412002722</v>
      </c>
      <c r="H2342" t="s">
        <v>1235</v>
      </c>
      <c r="I2342">
        <v>0</v>
      </c>
      <c r="J2342">
        <v>0</v>
      </c>
      <c r="K2342">
        <v>0</v>
      </c>
      <c r="L2342">
        <v>200</v>
      </c>
      <c r="M2342">
        <v>0</v>
      </c>
      <c r="N2342">
        <v>70</v>
      </c>
      <c r="O2342">
        <v>0</v>
      </c>
      <c r="P2342">
        <v>0</v>
      </c>
      <c r="Q2342">
        <v>0</v>
      </c>
      <c r="R2342">
        <v>0</v>
      </c>
      <c r="S2342">
        <v>0</v>
      </c>
      <c r="T2342">
        <v>0</v>
      </c>
      <c r="U2342">
        <v>0</v>
      </c>
      <c r="V2342">
        <v>39</v>
      </c>
      <c r="W2342">
        <v>273</v>
      </c>
      <c r="X2342">
        <v>0</v>
      </c>
      <c r="Z2342">
        <v>0</v>
      </c>
      <c r="AA2342">
        <v>0</v>
      </c>
      <c r="AB2342">
        <v>0</v>
      </c>
      <c r="AC2342">
        <v>0</v>
      </c>
      <c r="AD2342" t="s">
        <v>4420</v>
      </c>
    </row>
    <row r="2343" spans="1:30" x14ac:dyDescent="0.25">
      <c r="H2343" t="s">
        <v>4421</v>
      </c>
    </row>
    <row r="2344" spans="1:30" x14ac:dyDescent="0.25">
      <c r="A2344">
        <v>1169</v>
      </c>
      <c r="B2344">
        <v>2529</v>
      </c>
      <c r="C2344" t="s">
        <v>4422</v>
      </c>
      <c r="D2344" t="s">
        <v>694</v>
      </c>
      <c r="E2344" t="s">
        <v>509</v>
      </c>
      <c r="F2344" t="s">
        <v>4423</v>
      </c>
      <c r="G2344" t="str">
        <f>"201406018180"</f>
        <v>201406018180</v>
      </c>
      <c r="H2344" t="s">
        <v>231</v>
      </c>
      <c r="I2344">
        <v>0</v>
      </c>
      <c r="J2344">
        <v>0</v>
      </c>
      <c r="K2344">
        <v>0</v>
      </c>
      <c r="L2344">
        <v>200</v>
      </c>
      <c r="M2344">
        <v>0</v>
      </c>
      <c r="N2344">
        <v>70</v>
      </c>
      <c r="O2344">
        <v>0</v>
      </c>
      <c r="P2344">
        <v>0</v>
      </c>
      <c r="Q2344">
        <v>0</v>
      </c>
      <c r="R2344">
        <v>30</v>
      </c>
      <c r="S2344">
        <v>0</v>
      </c>
      <c r="T2344">
        <v>0</v>
      </c>
      <c r="U2344">
        <v>0</v>
      </c>
      <c r="V2344">
        <v>27</v>
      </c>
      <c r="W2344">
        <v>189</v>
      </c>
      <c r="X2344">
        <v>0</v>
      </c>
      <c r="Z2344">
        <v>0</v>
      </c>
      <c r="AA2344">
        <v>0</v>
      </c>
      <c r="AB2344">
        <v>0</v>
      </c>
      <c r="AC2344">
        <v>0</v>
      </c>
      <c r="AD2344" t="s">
        <v>4424</v>
      </c>
    </row>
    <row r="2345" spans="1:30" x14ac:dyDescent="0.25">
      <c r="H2345" t="s">
        <v>4425</v>
      </c>
    </row>
    <row r="2346" spans="1:30" x14ac:dyDescent="0.25">
      <c r="A2346">
        <v>1170</v>
      </c>
      <c r="B2346">
        <v>4927</v>
      </c>
      <c r="C2346" t="s">
        <v>4426</v>
      </c>
      <c r="D2346" t="s">
        <v>964</v>
      </c>
      <c r="E2346" t="s">
        <v>51</v>
      </c>
      <c r="F2346" t="s">
        <v>4427</v>
      </c>
      <c r="G2346" t="str">
        <f>"00322191"</f>
        <v>00322191</v>
      </c>
      <c r="H2346">
        <v>726</v>
      </c>
      <c r="I2346">
        <v>0</v>
      </c>
      <c r="J2346">
        <v>0</v>
      </c>
      <c r="K2346">
        <v>0</v>
      </c>
      <c r="L2346">
        <v>0</v>
      </c>
      <c r="M2346">
        <v>0</v>
      </c>
      <c r="N2346">
        <v>0</v>
      </c>
      <c r="O2346">
        <v>0</v>
      </c>
      <c r="P2346">
        <v>0</v>
      </c>
      <c r="Q2346">
        <v>0</v>
      </c>
      <c r="R2346">
        <v>0</v>
      </c>
      <c r="S2346">
        <v>0</v>
      </c>
      <c r="T2346">
        <v>0</v>
      </c>
      <c r="U2346">
        <v>0</v>
      </c>
      <c r="V2346">
        <v>69</v>
      </c>
      <c r="W2346">
        <v>483</v>
      </c>
      <c r="X2346">
        <v>0</v>
      </c>
      <c r="Z2346">
        <v>2</v>
      </c>
      <c r="AA2346">
        <v>0</v>
      </c>
      <c r="AB2346">
        <v>0</v>
      </c>
      <c r="AC2346">
        <v>0</v>
      </c>
      <c r="AD2346">
        <v>1209</v>
      </c>
    </row>
    <row r="2347" spans="1:30" x14ac:dyDescent="0.25">
      <c r="H2347" t="s">
        <v>2541</v>
      </c>
    </row>
    <row r="2348" spans="1:30" x14ac:dyDescent="0.25">
      <c r="A2348">
        <v>1171</v>
      </c>
      <c r="B2348">
        <v>5306</v>
      </c>
      <c r="C2348" t="s">
        <v>4428</v>
      </c>
      <c r="D2348" t="s">
        <v>804</v>
      </c>
      <c r="E2348" t="s">
        <v>40</v>
      </c>
      <c r="F2348" t="s">
        <v>4429</v>
      </c>
      <c r="G2348" t="str">
        <f>"00347312"</f>
        <v>00347312</v>
      </c>
      <c r="H2348" t="s">
        <v>431</v>
      </c>
      <c r="I2348">
        <v>0</v>
      </c>
      <c r="J2348">
        <v>0</v>
      </c>
      <c r="K2348">
        <v>0</v>
      </c>
      <c r="L2348">
        <v>0</v>
      </c>
      <c r="M2348">
        <v>0</v>
      </c>
      <c r="N2348">
        <v>30</v>
      </c>
      <c r="O2348">
        <v>0</v>
      </c>
      <c r="P2348">
        <v>0</v>
      </c>
      <c r="Q2348">
        <v>0</v>
      </c>
      <c r="R2348">
        <v>0</v>
      </c>
      <c r="S2348">
        <v>0</v>
      </c>
      <c r="T2348">
        <v>0</v>
      </c>
      <c r="U2348">
        <v>0</v>
      </c>
      <c r="V2348">
        <v>34</v>
      </c>
      <c r="W2348">
        <v>238</v>
      </c>
      <c r="X2348">
        <v>0</v>
      </c>
      <c r="Z2348">
        <v>0</v>
      </c>
      <c r="AA2348">
        <v>0</v>
      </c>
      <c r="AB2348">
        <v>0</v>
      </c>
      <c r="AC2348">
        <v>0</v>
      </c>
      <c r="AD2348" t="s">
        <v>4430</v>
      </c>
    </row>
    <row r="2349" spans="1:30" x14ac:dyDescent="0.25">
      <c r="H2349">
        <v>1247</v>
      </c>
    </row>
    <row r="2350" spans="1:30" x14ac:dyDescent="0.25">
      <c r="A2350">
        <v>1172</v>
      </c>
      <c r="B2350">
        <v>3706</v>
      </c>
      <c r="C2350" t="s">
        <v>4431</v>
      </c>
      <c r="D2350" t="s">
        <v>420</v>
      </c>
      <c r="E2350" t="s">
        <v>1276</v>
      </c>
      <c r="F2350" t="s">
        <v>4432</v>
      </c>
      <c r="G2350" t="str">
        <f>"201402007871"</f>
        <v>201402007871</v>
      </c>
      <c r="H2350" t="s">
        <v>1572</v>
      </c>
      <c r="I2350">
        <v>0</v>
      </c>
      <c r="J2350">
        <v>0</v>
      </c>
      <c r="K2350">
        <v>0</v>
      </c>
      <c r="L2350">
        <v>0</v>
      </c>
      <c r="M2350">
        <v>0</v>
      </c>
      <c r="N2350">
        <v>0</v>
      </c>
      <c r="O2350">
        <v>0</v>
      </c>
      <c r="P2350">
        <v>0</v>
      </c>
      <c r="Q2350">
        <v>0</v>
      </c>
      <c r="R2350">
        <v>0</v>
      </c>
      <c r="S2350">
        <v>0</v>
      </c>
      <c r="T2350">
        <v>0</v>
      </c>
      <c r="U2350">
        <v>0</v>
      </c>
      <c r="V2350">
        <v>70</v>
      </c>
      <c r="W2350">
        <v>490</v>
      </c>
      <c r="X2350">
        <v>0</v>
      </c>
      <c r="Z2350">
        <v>0</v>
      </c>
      <c r="AA2350">
        <v>0</v>
      </c>
      <c r="AB2350">
        <v>0</v>
      </c>
      <c r="AC2350">
        <v>0</v>
      </c>
      <c r="AD2350" t="s">
        <v>4433</v>
      </c>
    </row>
    <row r="2351" spans="1:30" x14ac:dyDescent="0.25">
      <c r="H2351" t="s">
        <v>1670</v>
      </c>
    </row>
    <row r="2352" spans="1:30" x14ac:dyDescent="0.25">
      <c r="A2352">
        <v>1173</v>
      </c>
      <c r="B2352">
        <v>2485</v>
      </c>
      <c r="C2352" t="s">
        <v>4434</v>
      </c>
      <c r="D2352" t="s">
        <v>39</v>
      </c>
      <c r="E2352" t="s">
        <v>176</v>
      </c>
      <c r="F2352" t="s">
        <v>4435</v>
      </c>
      <c r="G2352" t="str">
        <f>"201406000745"</f>
        <v>201406000745</v>
      </c>
      <c r="H2352" t="s">
        <v>1303</v>
      </c>
      <c r="I2352">
        <v>0</v>
      </c>
      <c r="J2352">
        <v>0</v>
      </c>
      <c r="K2352">
        <v>0</v>
      </c>
      <c r="L2352">
        <v>200</v>
      </c>
      <c r="M2352">
        <v>0</v>
      </c>
      <c r="N2352">
        <v>50</v>
      </c>
      <c r="O2352">
        <v>0</v>
      </c>
      <c r="P2352">
        <v>0</v>
      </c>
      <c r="Q2352">
        <v>0</v>
      </c>
      <c r="R2352">
        <v>0</v>
      </c>
      <c r="S2352">
        <v>0</v>
      </c>
      <c r="T2352">
        <v>0</v>
      </c>
      <c r="U2352">
        <v>0</v>
      </c>
      <c r="V2352">
        <v>36</v>
      </c>
      <c r="W2352">
        <v>252</v>
      </c>
      <c r="X2352">
        <v>0</v>
      </c>
      <c r="Z2352">
        <v>2</v>
      </c>
      <c r="AA2352">
        <v>0</v>
      </c>
      <c r="AB2352">
        <v>0</v>
      </c>
      <c r="AC2352">
        <v>0</v>
      </c>
      <c r="AD2352" t="s">
        <v>4436</v>
      </c>
    </row>
    <row r="2353" spans="1:30" x14ac:dyDescent="0.25">
      <c r="H2353" t="s">
        <v>4437</v>
      </c>
    </row>
    <row r="2354" spans="1:30" x14ac:dyDescent="0.25">
      <c r="A2354">
        <v>1174</v>
      </c>
      <c r="B2354">
        <v>5662</v>
      </c>
      <c r="C2354" t="s">
        <v>4438</v>
      </c>
      <c r="D2354" t="s">
        <v>509</v>
      </c>
      <c r="E2354" t="s">
        <v>47</v>
      </c>
      <c r="F2354" t="s">
        <v>4439</v>
      </c>
      <c r="G2354" t="str">
        <f>"201405000141"</f>
        <v>201405000141</v>
      </c>
      <c r="H2354" t="s">
        <v>2866</v>
      </c>
      <c r="I2354">
        <v>0</v>
      </c>
      <c r="J2354">
        <v>0</v>
      </c>
      <c r="K2354">
        <v>0</v>
      </c>
      <c r="L2354">
        <v>0</v>
      </c>
      <c r="M2354">
        <v>0</v>
      </c>
      <c r="N2354">
        <v>30</v>
      </c>
      <c r="O2354">
        <v>0</v>
      </c>
      <c r="P2354">
        <v>0</v>
      </c>
      <c r="Q2354">
        <v>0</v>
      </c>
      <c r="R2354">
        <v>0</v>
      </c>
      <c r="S2354">
        <v>0</v>
      </c>
      <c r="T2354">
        <v>0</v>
      </c>
      <c r="U2354">
        <v>0</v>
      </c>
      <c r="V2354">
        <v>75</v>
      </c>
      <c r="W2354">
        <v>525</v>
      </c>
      <c r="X2354">
        <v>0</v>
      </c>
      <c r="Z2354">
        <v>0</v>
      </c>
      <c r="AA2354">
        <v>0</v>
      </c>
      <c r="AB2354">
        <v>0</v>
      </c>
      <c r="AC2354">
        <v>0</v>
      </c>
      <c r="AD2354" t="s">
        <v>4440</v>
      </c>
    </row>
    <row r="2355" spans="1:30" x14ac:dyDescent="0.25">
      <c r="H2355" t="s">
        <v>4441</v>
      </c>
    </row>
    <row r="2356" spans="1:30" x14ac:dyDescent="0.25">
      <c r="A2356">
        <v>1175</v>
      </c>
      <c r="B2356">
        <v>3240</v>
      </c>
      <c r="C2356" t="s">
        <v>4442</v>
      </c>
      <c r="D2356" t="s">
        <v>420</v>
      </c>
      <c r="E2356" t="s">
        <v>183</v>
      </c>
      <c r="F2356" t="s">
        <v>4443</v>
      </c>
      <c r="G2356" t="str">
        <f>"00366639"</f>
        <v>00366639</v>
      </c>
      <c r="H2356" t="s">
        <v>4444</v>
      </c>
      <c r="I2356">
        <v>0</v>
      </c>
      <c r="J2356">
        <v>0</v>
      </c>
      <c r="K2356">
        <v>0</v>
      </c>
      <c r="L2356">
        <v>0</v>
      </c>
      <c r="M2356">
        <v>0</v>
      </c>
      <c r="N2356">
        <v>0</v>
      </c>
      <c r="O2356">
        <v>0</v>
      </c>
      <c r="P2356">
        <v>0</v>
      </c>
      <c r="Q2356">
        <v>0</v>
      </c>
      <c r="R2356">
        <v>0</v>
      </c>
      <c r="S2356">
        <v>0</v>
      </c>
      <c r="T2356">
        <v>0</v>
      </c>
      <c r="U2356">
        <v>0</v>
      </c>
      <c r="V2356">
        <v>84</v>
      </c>
      <c r="W2356">
        <v>588</v>
      </c>
      <c r="X2356">
        <v>0</v>
      </c>
      <c r="Z2356">
        <v>0</v>
      </c>
      <c r="AA2356">
        <v>0</v>
      </c>
      <c r="AB2356">
        <v>0</v>
      </c>
      <c r="AC2356">
        <v>0</v>
      </c>
      <c r="AD2356" t="s">
        <v>4440</v>
      </c>
    </row>
    <row r="2357" spans="1:30" x14ac:dyDescent="0.25">
      <c r="H2357" t="s">
        <v>3148</v>
      </c>
    </row>
    <row r="2358" spans="1:30" x14ac:dyDescent="0.25">
      <c r="A2358">
        <v>1176</v>
      </c>
      <c r="B2358">
        <v>1610</v>
      </c>
      <c r="C2358" t="s">
        <v>4445</v>
      </c>
      <c r="D2358" t="s">
        <v>3226</v>
      </c>
      <c r="E2358" t="s">
        <v>91</v>
      </c>
      <c r="F2358" t="s">
        <v>4446</v>
      </c>
      <c r="G2358" t="str">
        <f>"00192668"</f>
        <v>00192668</v>
      </c>
      <c r="H2358" t="s">
        <v>754</v>
      </c>
      <c r="I2358">
        <v>0</v>
      </c>
      <c r="J2358">
        <v>0</v>
      </c>
      <c r="K2358">
        <v>0</v>
      </c>
      <c r="L2358">
        <v>0</v>
      </c>
      <c r="M2358">
        <v>0</v>
      </c>
      <c r="N2358">
        <v>70</v>
      </c>
      <c r="O2358">
        <v>0</v>
      </c>
      <c r="P2358">
        <v>0</v>
      </c>
      <c r="Q2358">
        <v>0</v>
      </c>
      <c r="R2358">
        <v>0</v>
      </c>
      <c r="S2358">
        <v>0</v>
      </c>
      <c r="T2358">
        <v>0</v>
      </c>
      <c r="U2358">
        <v>0</v>
      </c>
      <c r="V2358">
        <v>59</v>
      </c>
      <c r="W2358">
        <v>413</v>
      </c>
      <c r="X2358">
        <v>0</v>
      </c>
      <c r="Z2358">
        <v>2</v>
      </c>
      <c r="AA2358">
        <v>0</v>
      </c>
      <c r="AB2358">
        <v>0</v>
      </c>
      <c r="AC2358">
        <v>0</v>
      </c>
      <c r="AD2358" t="s">
        <v>4447</v>
      </c>
    </row>
    <row r="2359" spans="1:30" x14ac:dyDescent="0.25">
      <c r="H2359">
        <v>1247</v>
      </c>
    </row>
    <row r="2360" spans="1:30" x14ac:dyDescent="0.25">
      <c r="A2360">
        <v>1177</v>
      </c>
      <c r="B2360">
        <v>4524</v>
      </c>
      <c r="C2360" t="s">
        <v>4448</v>
      </c>
      <c r="D2360" t="s">
        <v>143</v>
      </c>
      <c r="E2360" t="s">
        <v>51</v>
      </c>
      <c r="F2360" t="s">
        <v>4449</v>
      </c>
      <c r="G2360" t="str">
        <f>"201406014588"</f>
        <v>201406014588</v>
      </c>
      <c r="H2360" t="s">
        <v>3999</v>
      </c>
      <c r="I2360">
        <v>0</v>
      </c>
      <c r="J2360">
        <v>0</v>
      </c>
      <c r="K2360">
        <v>0</v>
      </c>
      <c r="L2360">
        <v>0</v>
      </c>
      <c r="M2360">
        <v>0</v>
      </c>
      <c r="N2360">
        <v>70</v>
      </c>
      <c r="O2360">
        <v>0</v>
      </c>
      <c r="P2360">
        <v>0</v>
      </c>
      <c r="Q2360">
        <v>30</v>
      </c>
      <c r="R2360">
        <v>0</v>
      </c>
      <c r="S2360">
        <v>0</v>
      </c>
      <c r="T2360">
        <v>0</v>
      </c>
      <c r="U2360">
        <v>0</v>
      </c>
      <c r="V2360">
        <v>62</v>
      </c>
      <c r="W2360">
        <v>434</v>
      </c>
      <c r="X2360">
        <v>0</v>
      </c>
      <c r="Z2360">
        <v>0</v>
      </c>
      <c r="AA2360">
        <v>0</v>
      </c>
      <c r="AB2360">
        <v>0</v>
      </c>
      <c r="AC2360">
        <v>0</v>
      </c>
      <c r="AD2360" t="s">
        <v>4450</v>
      </c>
    </row>
    <row r="2361" spans="1:30" x14ac:dyDescent="0.25">
      <c r="H2361" t="s">
        <v>4451</v>
      </c>
    </row>
    <row r="2362" spans="1:30" x14ac:dyDescent="0.25">
      <c r="A2362">
        <v>1178</v>
      </c>
      <c r="B2362">
        <v>6097</v>
      </c>
      <c r="C2362" t="s">
        <v>4452</v>
      </c>
      <c r="D2362" t="s">
        <v>98</v>
      </c>
      <c r="E2362" t="s">
        <v>162</v>
      </c>
      <c r="F2362" t="s">
        <v>4453</v>
      </c>
      <c r="G2362" t="str">
        <f>"00245913"</f>
        <v>00245913</v>
      </c>
      <c r="H2362">
        <v>770</v>
      </c>
      <c r="I2362">
        <v>0</v>
      </c>
      <c r="J2362">
        <v>0</v>
      </c>
      <c r="K2362">
        <v>0</v>
      </c>
      <c r="L2362">
        <v>0</v>
      </c>
      <c r="M2362">
        <v>0</v>
      </c>
      <c r="N2362">
        <v>0</v>
      </c>
      <c r="O2362">
        <v>0</v>
      </c>
      <c r="P2362">
        <v>0</v>
      </c>
      <c r="Q2362">
        <v>0</v>
      </c>
      <c r="R2362">
        <v>0</v>
      </c>
      <c r="S2362">
        <v>0</v>
      </c>
      <c r="T2362">
        <v>0</v>
      </c>
      <c r="U2362">
        <v>0</v>
      </c>
      <c r="V2362">
        <v>4</v>
      </c>
      <c r="W2362">
        <v>28</v>
      </c>
      <c r="X2362">
        <v>0</v>
      </c>
      <c r="Z2362">
        <v>0</v>
      </c>
      <c r="AA2362">
        <v>0</v>
      </c>
      <c r="AB2362">
        <v>24</v>
      </c>
      <c r="AC2362">
        <v>408</v>
      </c>
      <c r="AD2362">
        <v>1206</v>
      </c>
    </row>
    <row r="2363" spans="1:30" x14ac:dyDescent="0.25">
      <c r="H2363">
        <v>1247</v>
      </c>
    </row>
    <row r="2364" spans="1:30" x14ac:dyDescent="0.25">
      <c r="A2364">
        <v>1179</v>
      </c>
      <c r="B2364">
        <v>2184</v>
      </c>
      <c r="C2364" t="s">
        <v>4454</v>
      </c>
      <c r="D2364" t="s">
        <v>166</v>
      </c>
      <c r="E2364" t="s">
        <v>40</v>
      </c>
      <c r="F2364" t="s">
        <v>4455</v>
      </c>
      <c r="G2364" t="str">
        <f>"00151822"</f>
        <v>00151822</v>
      </c>
      <c r="H2364" t="s">
        <v>1998</v>
      </c>
      <c r="I2364">
        <v>0</v>
      </c>
      <c r="J2364">
        <v>0</v>
      </c>
      <c r="K2364">
        <v>0</v>
      </c>
      <c r="L2364">
        <v>260</v>
      </c>
      <c r="M2364">
        <v>0</v>
      </c>
      <c r="N2364">
        <v>70</v>
      </c>
      <c r="O2364">
        <v>0</v>
      </c>
      <c r="P2364">
        <v>0</v>
      </c>
      <c r="Q2364">
        <v>0</v>
      </c>
      <c r="R2364">
        <v>0</v>
      </c>
      <c r="S2364">
        <v>0</v>
      </c>
      <c r="T2364">
        <v>0</v>
      </c>
      <c r="U2364">
        <v>0</v>
      </c>
      <c r="V2364">
        <v>10</v>
      </c>
      <c r="W2364">
        <v>70</v>
      </c>
      <c r="X2364">
        <v>0</v>
      </c>
      <c r="Z2364">
        <v>0</v>
      </c>
      <c r="AA2364">
        <v>0</v>
      </c>
      <c r="AB2364">
        <v>0</v>
      </c>
      <c r="AC2364">
        <v>0</v>
      </c>
      <c r="AD2364" t="s">
        <v>4456</v>
      </c>
    </row>
    <row r="2365" spans="1:30" x14ac:dyDescent="0.25">
      <c r="H2365" t="s">
        <v>4457</v>
      </c>
    </row>
    <row r="2366" spans="1:30" x14ac:dyDescent="0.25">
      <c r="A2366">
        <v>1180</v>
      </c>
      <c r="B2366">
        <v>3845</v>
      </c>
      <c r="C2366" t="s">
        <v>4458</v>
      </c>
      <c r="D2366" t="s">
        <v>39</v>
      </c>
      <c r="E2366" t="s">
        <v>239</v>
      </c>
      <c r="F2366" t="s">
        <v>4459</v>
      </c>
      <c r="G2366" t="str">
        <f>"201406004776"</f>
        <v>201406004776</v>
      </c>
      <c r="H2366" t="s">
        <v>2705</v>
      </c>
      <c r="I2366">
        <v>0</v>
      </c>
      <c r="J2366">
        <v>0</v>
      </c>
      <c r="K2366">
        <v>0</v>
      </c>
      <c r="L2366">
        <v>200</v>
      </c>
      <c r="M2366">
        <v>0</v>
      </c>
      <c r="N2366">
        <v>30</v>
      </c>
      <c r="O2366">
        <v>0</v>
      </c>
      <c r="P2366">
        <v>0</v>
      </c>
      <c r="Q2366">
        <v>0</v>
      </c>
      <c r="R2366">
        <v>0</v>
      </c>
      <c r="S2366">
        <v>0</v>
      </c>
      <c r="T2366">
        <v>0</v>
      </c>
      <c r="U2366">
        <v>0</v>
      </c>
      <c r="V2366">
        <v>42</v>
      </c>
      <c r="W2366">
        <v>294</v>
      </c>
      <c r="X2366">
        <v>0</v>
      </c>
      <c r="Z2366">
        <v>0</v>
      </c>
      <c r="AA2366">
        <v>0</v>
      </c>
      <c r="AB2366">
        <v>0</v>
      </c>
      <c r="AC2366">
        <v>0</v>
      </c>
      <c r="AD2366" t="s">
        <v>4460</v>
      </c>
    </row>
    <row r="2367" spans="1:30" x14ac:dyDescent="0.25">
      <c r="H2367" t="s">
        <v>3041</v>
      </c>
    </row>
    <row r="2368" spans="1:30" x14ac:dyDescent="0.25">
      <c r="A2368">
        <v>1181</v>
      </c>
      <c r="B2368">
        <v>1748</v>
      </c>
      <c r="C2368" t="s">
        <v>452</v>
      </c>
      <c r="D2368" t="s">
        <v>14</v>
      </c>
      <c r="E2368" t="s">
        <v>47</v>
      </c>
      <c r="F2368" t="s">
        <v>4461</v>
      </c>
      <c r="G2368" t="str">
        <f>"201412005201"</f>
        <v>201412005201</v>
      </c>
      <c r="H2368">
        <v>803</v>
      </c>
      <c r="I2368">
        <v>0</v>
      </c>
      <c r="J2368">
        <v>0</v>
      </c>
      <c r="K2368">
        <v>0</v>
      </c>
      <c r="L2368">
        <v>0</v>
      </c>
      <c r="M2368">
        <v>0</v>
      </c>
      <c r="N2368">
        <v>30</v>
      </c>
      <c r="O2368">
        <v>0</v>
      </c>
      <c r="P2368">
        <v>0</v>
      </c>
      <c r="Q2368">
        <v>0</v>
      </c>
      <c r="R2368">
        <v>0</v>
      </c>
      <c r="S2368">
        <v>0</v>
      </c>
      <c r="T2368">
        <v>0</v>
      </c>
      <c r="U2368">
        <v>0</v>
      </c>
      <c r="V2368">
        <v>53</v>
      </c>
      <c r="W2368">
        <v>371</v>
      </c>
      <c r="X2368">
        <v>0</v>
      </c>
      <c r="Z2368">
        <v>0</v>
      </c>
      <c r="AA2368">
        <v>0</v>
      </c>
      <c r="AB2368">
        <v>0</v>
      </c>
      <c r="AC2368">
        <v>0</v>
      </c>
      <c r="AD2368">
        <v>1204</v>
      </c>
    </row>
    <row r="2369" spans="1:30" x14ac:dyDescent="0.25">
      <c r="H2369" t="s">
        <v>4462</v>
      </c>
    </row>
    <row r="2370" spans="1:30" x14ac:dyDescent="0.25">
      <c r="A2370">
        <v>1182</v>
      </c>
      <c r="B2370">
        <v>2799</v>
      </c>
      <c r="C2370" t="s">
        <v>4463</v>
      </c>
      <c r="D2370" t="s">
        <v>182</v>
      </c>
      <c r="E2370" t="s">
        <v>107</v>
      </c>
      <c r="F2370" t="s">
        <v>4464</v>
      </c>
      <c r="G2370" t="str">
        <f>"00149201"</f>
        <v>00149201</v>
      </c>
      <c r="H2370">
        <v>858</v>
      </c>
      <c r="I2370">
        <v>0</v>
      </c>
      <c r="J2370">
        <v>0</v>
      </c>
      <c r="K2370">
        <v>0</v>
      </c>
      <c r="L2370">
        <v>0</v>
      </c>
      <c r="M2370">
        <v>0</v>
      </c>
      <c r="N2370">
        <v>0</v>
      </c>
      <c r="O2370">
        <v>0</v>
      </c>
      <c r="P2370">
        <v>0</v>
      </c>
      <c r="Q2370">
        <v>0</v>
      </c>
      <c r="R2370">
        <v>0</v>
      </c>
      <c r="S2370">
        <v>0</v>
      </c>
      <c r="T2370">
        <v>0</v>
      </c>
      <c r="U2370">
        <v>0</v>
      </c>
      <c r="V2370">
        <v>25</v>
      </c>
      <c r="W2370">
        <v>175</v>
      </c>
      <c r="X2370">
        <v>0</v>
      </c>
      <c r="Z2370">
        <v>2</v>
      </c>
      <c r="AA2370">
        <v>0</v>
      </c>
      <c r="AB2370">
        <v>10</v>
      </c>
      <c r="AC2370">
        <v>170</v>
      </c>
      <c r="AD2370">
        <v>1203</v>
      </c>
    </row>
    <row r="2371" spans="1:30" x14ac:dyDescent="0.25">
      <c r="H2371" t="s">
        <v>1048</v>
      </c>
    </row>
    <row r="2372" spans="1:30" x14ac:dyDescent="0.25">
      <c r="A2372">
        <v>1183</v>
      </c>
      <c r="B2372">
        <v>5996</v>
      </c>
      <c r="C2372" t="s">
        <v>4465</v>
      </c>
      <c r="D2372" t="s">
        <v>330</v>
      </c>
      <c r="E2372" t="s">
        <v>51</v>
      </c>
      <c r="F2372" t="s">
        <v>4466</v>
      </c>
      <c r="G2372" t="str">
        <f>"201406014491"</f>
        <v>201406014491</v>
      </c>
      <c r="H2372">
        <v>825</v>
      </c>
      <c r="I2372">
        <v>0</v>
      </c>
      <c r="J2372">
        <v>0</v>
      </c>
      <c r="K2372">
        <v>0</v>
      </c>
      <c r="L2372">
        <v>0</v>
      </c>
      <c r="M2372">
        <v>0</v>
      </c>
      <c r="N2372">
        <v>70</v>
      </c>
      <c r="O2372">
        <v>0</v>
      </c>
      <c r="P2372">
        <v>0</v>
      </c>
      <c r="Q2372">
        <v>0</v>
      </c>
      <c r="R2372">
        <v>0</v>
      </c>
      <c r="S2372">
        <v>0</v>
      </c>
      <c r="T2372">
        <v>0</v>
      </c>
      <c r="U2372">
        <v>0</v>
      </c>
      <c r="V2372">
        <v>44</v>
      </c>
      <c r="W2372">
        <v>308</v>
      </c>
      <c r="X2372">
        <v>0</v>
      </c>
      <c r="Z2372">
        <v>0</v>
      </c>
      <c r="AA2372">
        <v>0</v>
      </c>
      <c r="AB2372">
        <v>0</v>
      </c>
      <c r="AC2372">
        <v>0</v>
      </c>
      <c r="AD2372">
        <v>1203</v>
      </c>
    </row>
    <row r="2373" spans="1:30" x14ac:dyDescent="0.25">
      <c r="H2373" t="s">
        <v>4467</v>
      </c>
    </row>
    <row r="2374" spans="1:30" x14ac:dyDescent="0.25">
      <c r="A2374">
        <v>1184</v>
      </c>
      <c r="B2374">
        <v>2794</v>
      </c>
      <c r="C2374" t="s">
        <v>4468</v>
      </c>
      <c r="D2374" t="s">
        <v>694</v>
      </c>
      <c r="E2374" t="s">
        <v>2482</v>
      </c>
      <c r="F2374" t="s">
        <v>4469</v>
      </c>
      <c r="G2374" t="str">
        <f>"00270160"</f>
        <v>00270160</v>
      </c>
      <c r="H2374" t="s">
        <v>1345</v>
      </c>
      <c r="I2374">
        <v>0</v>
      </c>
      <c r="J2374">
        <v>0</v>
      </c>
      <c r="K2374">
        <v>0</v>
      </c>
      <c r="L2374">
        <v>0</v>
      </c>
      <c r="M2374">
        <v>0</v>
      </c>
      <c r="N2374">
        <v>30</v>
      </c>
      <c r="O2374">
        <v>0</v>
      </c>
      <c r="P2374">
        <v>0</v>
      </c>
      <c r="Q2374">
        <v>0</v>
      </c>
      <c r="R2374">
        <v>0</v>
      </c>
      <c r="S2374">
        <v>0</v>
      </c>
      <c r="T2374">
        <v>0</v>
      </c>
      <c r="U2374">
        <v>0</v>
      </c>
      <c r="V2374">
        <v>61</v>
      </c>
      <c r="W2374">
        <v>427</v>
      </c>
      <c r="X2374">
        <v>0</v>
      </c>
      <c r="Z2374">
        <v>2</v>
      </c>
      <c r="AA2374">
        <v>0</v>
      </c>
      <c r="AB2374">
        <v>0</v>
      </c>
      <c r="AC2374">
        <v>0</v>
      </c>
      <c r="AD2374" t="s">
        <v>4470</v>
      </c>
    </row>
    <row r="2375" spans="1:30" x14ac:dyDescent="0.25">
      <c r="H2375">
        <v>1247</v>
      </c>
    </row>
    <row r="2376" spans="1:30" x14ac:dyDescent="0.25">
      <c r="A2376">
        <v>1185</v>
      </c>
      <c r="B2376">
        <v>2922</v>
      </c>
      <c r="C2376" t="s">
        <v>4471</v>
      </c>
      <c r="D2376" t="s">
        <v>3575</v>
      </c>
      <c r="E2376" t="s">
        <v>107</v>
      </c>
      <c r="F2376" t="s">
        <v>4472</v>
      </c>
      <c r="G2376" t="str">
        <f>"201411003472"</f>
        <v>201411003472</v>
      </c>
      <c r="H2376" t="s">
        <v>2321</v>
      </c>
      <c r="I2376">
        <v>150</v>
      </c>
      <c r="J2376">
        <v>0</v>
      </c>
      <c r="K2376">
        <v>0</v>
      </c>
      <c r="L2376">
        <v>200</v>
      </c>
      <c r="M2376">
        <v>0</v>
      </c>
      <c r="N2376">
        <v>70</v>
      </c>
      <c r="O2376">
        <v>0</v>
      </c>
      <c r="P2376">
        <v>0</v>
      </c>
      <c r="Q2376">
        <v>0</v>
      </c>
      <c r="R2376">
        <v>0</v>
      </c>
      <c r="S2376">
        <v>0</v>
      </c>
      <c r="T2376">
        <v>0</v>
      </c>
      <c r="U2376">
        <v>0</v>
      </c>
      <c r="V2376">
        <v>5</v>
      </c>
      <c r="W2376">
        <v>35</v>
      </c>
      <c r="X2376">
        <v>0</v>
      </c>
      <c r="Z2376">
        <v>0</v>
      </c>
      <c r="AA2376">
        <v>0</v>
      </c>
      <c r="AB2376">
        <v>0</v>
      </c>
      <c r="AC2376">
        <v>0</v>
      </c>
      <c r="AD2376" t="s">
        <v>4473</v>
      </c>
    </row>
    <row r="2377" spans="1:30" x14ac:dyDescent="0.25">
      <c r="H2377" t="s">
        <v>1822</v>
      </c>
    </row>
    <row r="2378" spans="1:30" x14ac:dyDescent="0.25">
      <c r="A2378">
        <v>1186</v>
      </c>
      <c r="B2378">
        <v>2421</v>
      </c>
      <c r="C2378" t="s">
        <v>4474</v>
      </c>
      <c r="D2378" t="s">
        <v>140</v>
      </c>
      <c r="E2378" t="s">
        <v>39</v>
      </c>
      <c r="F2378" t="s">
        <v>4475</v>
      </c>
      <c r="G2378" t="str">
        <f>"00143519"</f>
        <v>00143519</v>
      </c>
      <c r="H2378" t="s">
        <v>4476</v>
      </c>
      <c r="I2378">
        <v>0</v>
      </c>
      <c r="J2378">
        <v>0</v>
      </c>
      <c r="K2378">
        <v>0</v>
      </c>
      <c r="L2378">
        <v>0</v>
      </c>
      <c r="M2378">
        <v>0</v>
      </c>
      <c r="N2378">
        <v>70</v>
      </c>
      <c r="O2378">
        <v>0</v>
      </c>
      <c r="P2378">
        <v>0</v>
      </c>
      <c r="Q2378">
        <v>0</v>
      </c>
      <c r="R2378">
        <v>0</v>
      </c>
      <c r="S2378">
        <v>0</v>
      </c>
      <c r="T2378">
        <v>0</v>
      </c>
      <c r="U2378">
        <v>0</v>
      </c>
      <c r="V2378">
        <v>51</v>
      </c>
      <c r="W2378">
        <v>357</v>
      </c>
      <c r="X2378">
        <v>0</v>
      </c>
      <c r="Z2378">
        <v>0</v>
      </c>
      <c r="AA2378">
        <v>0</v>
      </c>
      <c r="AB2378">
        <v>0</v>
      </c>
      <c r="AC2378">
        <v>0</v>
      </c>
      <c r="AD2378" t="s">
        <v>4477</v>
      </c>
    </row>
    <row r="2379" spans="1:30" x14ac:dyDescent="0.25">
      <c r="H2379" t="s">
        <v>4478</v>
      </c>
    </row>
    <row r="2380" spans="1:30" x14ac:dyDescent="0.25">
      <c r="A2380">
        <v>1187</v>
      </c>
      <c r="B2380">
        <v>2692</v>
      </c>
      <c r="C2380" t="s">
        <v>2525</v>
      </c>
      <c r="D2380" t="s">
        <v>330</v>
      </c>
      <c r="E2380" t="s">
        <v>40</v>
      </c>
      <c r="F2380" t="s">
        <v>4479</v>
      </c>
      <c r="G2380" t="str">
        <f>"201412001261"</f>
        <v>201412001261</v>
      </c>
      <c r="H2380" t="s">
        <v>1101</v>
      </c>
      <c r="I2380">
        <v>0</v>
      </c>
      <c r="J2380">
        <v>0</v>
      </c>
      <c r="K2380">
        <v>0</v>
      </c>
      <c r="L2380">
        <v>200</v>
      </c>
      <c r="M2380">
        <v>0</v>
      </c>
      <c r="N2380">
        <v>30</v>
      </c>
      <c r="O2380">
        <v>30</v>
      </c>
      <c r="P2380">
        <v>0</v>
      </c>
      <c r="Q2380">
        <v>0</v>
      </c>
      <c r="R2380">
        <v>0</v>
      </c>
      <c r="S2380">
        <v>0</v>
      </c>
      <c r="T2380">
        <v>0</v>
      </c>
      <c r="U2380">
        <v>0</v>
      </c>
      <c r="V2380">
        <v>36</v>
      </c>
      <c r="W2380">
        <v>252</v>
      </c>
      <c r="X2380">
        <v>0</v>
      </c>
      <c r="Z2380">
        <v>0</v>
      </c>
      <c r="AA2380">
        <v>0</v>
      </c>
      <c r="AB2380">
        <v>0</v>
      </c>
      <c r="AC2380">
        <v>0</v>
      </c>
      <c r="AD2380" t="s">
        <v>4480</v>
      </c>
    </row>
    <row r="2381" spans="1:30" x14ac:dyDescent="0.25">
      <c r="H2381" t="s">
        <v>4481</v>
      </c>
    </row>
    <row r="2382" spans="1:30" x14ac:dyDescent="0.25">
      <c r="A2382">
        <v>1188</v>
      </c>
      <c r="B2382">
        <v>1513</v>
      </c>
      <c r="C2382" t="s">
        <v>4482</v>
      </c>
      <c r="D2382" t="s">
        <v>1599</v>
      </c>
      <c r="E2382" t="s">
        <v>107</v>
      </c>
      <c r="F2382" t="s">
        <v>4483</v>
      </c>
      <c r="G2382" t="str">
        <f>"00149171"</f>
        <v>00149171</v>
      </c>
      <c r="H2382" t="s">
        <v>933</v>
      </c>
      <c r="I2382">
        <v>0</v>
      </c>
      <c r="J2382">
        <v>0</v>
      </c>
      <c r="K2382">
        <v>0</v>
      </c>
      <c r="L2382">
        <v>0</v>
      </c>
      <c r="M2382">
        <v>0</v>
      </c>
      <c r="N2382">
        <v>0</v>
      </c>
      <c r="O2382">
        <v>0</v>
      </c>
      <c r="P2382">
        <v>0</v>
      </c>
      <c r="Q2382">
        <v>0</v>
      </c>
      <c r="R2382">
        <v>0</v>
      </c>
      <c r="S2382">
        <v>0</v>
      </c>
      <c r="T2382">
        <v>0</v>
      </c>
      <c r="U2382">
        <v>0</v>
      </c>
      <c r="V2382">
        <v>69</v>
      </c>
      <c r="W2382">
        <v>483</v>
      </c>
      <c r="X2382">
        <v>0</v>
      </c>
      <c r="Z2382">
        <v>0</v>
      </c>
      <c r="AA2382">
        <v>0</v>
      </c>
      <c r="AB2382">
        <v>0</v>
      </c>
      <c r="AC2382">
        <v>0</v>
      </c>
      <c r="AD2382" t="s">
        <v>4484</v>
      </c>
    </row>
    <row r="2383" spans="1:30" x14ac:dyDescent="0.25">
      <c r="H2383">
        <v>1250</v>
      </c>
    </row>
    <row r="2384" spans="1:30" x14ac:dyDescent="0.25">
      <c r="A2384">
        <v>1189</v>
      </c>
      <c r="B2384">
        <v>2432</v>
      </c>
      <c r="C2384" t="s">
        <v>4485</v>
      </c>
      <c r="D2384" t="s">
        <v>869</v>
      </c>
      <c r="E2384" t="s">
        <v>151</v>
      </c>
      <c r="F2384" t="s">
        <v>4486</v>
      </c>
      <c r="G2384" t="str">
        <f>"00248772"</f>
        <v>00248772</v>
      </c>
      <c r="H2384" t="s">
        <v>168</v>
      </c>
      <c r="I2384">
        <v>0</v>
      </c>
      <c r="J2384">
        <v>0</v>
      </c>
      <c r="K2384">
        <v>0</v>
      </c>
      <c r="L2384">
        <v>0</v>
      </c>
      <c r="M2384">
        <v>0</v>
      </c>
      <c r="N2384">
        <v>30</v>
      </c>
      <c r="O2384">
        <v>0</v>
      </c>
      <c r="P2384">
        <v>0</v>
      </c>
      <c r="Q2384">
        <v>0</v>
      </c>
      <c r="R2384">
        <v>0</v>
      </c>
      <c r="S2384">
        <v>0</v>
      </c>
      <c r="T2384">
        <v>0</v>
      </c>
      <c r="U2384">
        <v>0</v>
      </c>
      <c r="V2384">
        <v>54</v>
      </c>
      <c r="W2384">
        <v>378</v>
      </c>
      <c r="X2384">
        <v>0</v>
      </c>
      <c r="Z2384">
        <v>0</v>
      </c>
      <c r="AA2384">
        <v>0</v>
      </c>
      <c r="AB2384">
        <v>0</v>
      </c>
      <c r="AC2384">
        <v>0</v>
      </c>
      <c r="AD2384" t="s">
        <v>4487</v>
      </c>
    </row>
    <row r="2385" spans="1:30" x14ac:dyDescent="0.25">
      <c r="H2385" t="s">
        <v>4488</v>
      </c>
    </row>
    <row r="2386" spans="1:30" x14ac:dyDescent="0.25">
      <c r="A2386">
        <v>1190</v>
      </c>
      <c r="B2386">
        <v>835</v>
      </c>
      <c r="C2386" t="s">
        <v>4489</v>
      </c>
      <c r="D2386" t="s">
        <v>4490</v>
      </c>
      <c r="E2386" t="s">
        <v>162</v>
      </c>
      <c r="F2386" t="s">
        <v>4491</v>
      </c>
      <c r="G2386" t="str">
        <f>"00161089"</f>
        <v>00161089</v>
      </c>
      <c r="H2386" t="s">
        <v>1315</v>
      </c>
      <c r="I2386">
        <v>0</v>
      </c>
      <c r="J2386">
        <v>0</v>
      </c>
      <c r="K2386">
        <v>0</v>
      </c>
      <c r="L2386">
        <v>0</v>
      </c>
      <c r="M2386">
        <v>0</v>
      </c>
      <c r="N2386">
        <v>30</v>
      </c>
      <c r="O2386">
        <v>0</v>
      </c>
      <c r="P2386">
        <v>0</v>
      </c>
      <c r="Q2386">
        <v>0</v>
      </c>
      <c r="R2386">
        <v>0</v>
      </c>
      <c r="S2386">
        <v>0</v>
      </c>
      <c r="T2386">
        <v>0</v>
      </c>
      <c r="U2386">
        <v>0</v>
      </c>
      <c r="V2386">
        <v>67</v>
      </c>
      <c r="W2386">
        <v>469</v>
      </c>
      <c r="X2386">
        <v>0</v>
      </c>
      <c r="Z2386">
        <v>0</v>
      </c>
      <c r="AA2386">
        <v>0</v>
      </c>
      <c r="AB2386">
        <v>0</v>
      </c>
      <c r="AC2386">
        <v>0</v>
      </c>
      <c r="AD2386" t="s">
        <v>4492</v>
      </c>
    </row>
    <row r="2387" spans="1:30" x14ac:dyDescent="0.25">
      <c r="H2387">
        <v>1250</v>
      </c>
    </row>
    <row r="2388" spans="1:30" x14ac:dyDescent="0.25">
      <c r="A2388">
        <v>1191</v>
      </c>
      <c r="B2388">
        <v>3759</v>
      </c>
      <c r="C2388" t="s">
        <v>4493</v>
      </c>
      <c r="D2388" t="s">
        <v>373</v>
      </c>
      <c r="E2388" t="s">
        <v>224</v>
      </c>
      <c r="F2388" t="s">
        <v>4494</v>
      </c>
      <c r="G2388" t="str">
        <f>"201409005531"</f>
        <v>201409005531</v>
      </c>
      <c r="H2388" t="s">
        <v>1261</v>
      </c>
      <c r="I2388">
        <v>0</v>
      </c>
      <c r="J2388">
        <v>0</v>
      </c>
      <c r="K2388">
        <v>0</v>
      </c>
      <c r="L2388">
        <v>0</v>
      </c>
      <c r="M2388">
        <v>0</v>
      </c>
      <c r="N2388">
        <v>30</v>
      </c>
      <c r="O2388">
        <v>0</v>
      </c>
      <c r="P2388">
        <v>0</v>
      </c>
      <c r="Q2388">
        <v>0</v>
      </c>
      <c r="R2388">
        <v>0</v>
      </c>
      <c r="S2388">
        <v>0</v>
      </c>
      <c r="T2388">
        <v>0</v>
      </c>
      <c r="U2388">
        <v>0</v>
      </c>
      <c r="V2388">
        <v>72</v>
      </c>
      <c r="W2388">
        <v>504</v>
      </c>
      <c r="X2388">
        <v>0</v>
      </c>
      <c r="Z2388">
        <v>0</v>
      </c>
      <c r="AA2388">
        <v>0</v>
      </c>
      <c r="AB2388">
        <v>0</v>
      </c>
      <c r="AC2388">
        <v>0</v>
      </c>
      <c r="AD2388" t="s">
        <v>4495</v>
      </c>
    </row>
    <row r="2389" spans="1:30" x14ac:dyDescent="0.25">
      <c r="H2389" t="s">
        <v>4496</v>
      </c>
    </row>
    <row r="2390" spans="1:30" x14ac:dyDescent="0.25">
      <c r="A2390">
        <v>1192</v>
      </c>
      <c r="B2390">
        <v>138</v>
      </c>
      <c r="C2390" t="s">
        <v>4497</v>
      </c>
      <c r="D2390" t="s">
        <v>694</v>
      </c>
      <c r="E2390" t="s">
        <v>39</v>
      </c>
      <c r="F2390" t="s">
        <v>4498</v>
      </c>
      <c r="G2390" t="str">
        <f>"00183735"</f>
        <v>00183735</v>
      </c>
      <c r="H2390" t="s">
        <v>3441</v>
      </c>
      <c r="I2390">
        <v>0</v>
      </c>
      <c r="J2390">
        <v>0</v>
      </c>
      <c r="K2390">
        <v>0</v>
      </c>
      <c r="L2390">
        <v>0</v>
      </c>
      <c r="M2390">
        <v>0</v>
      </c>
      <c r="N2390">
        <v>0</v>
      </c>
      <c r="O2390">
        <v>0</v>
      </c>
      <c r="P2390">
        <v>0</v>
      </c>
      <c r="Q2390">
        <v>0</v>
      </c>
      <c r="R2390">
        <v>0</v>
      </c>
      <c r="S2390">
        <v>0</v>
      </c>
      <c r="T2390">
        <v>0</v>
      </c>
      <c r="U2390">
        <v>0</v>
      </c>
      <c r="V2390">
        <v>14</v>
      </c>
      <c r="W2390">
        <v>98</v>
      </c>
      <c r="X2390">
        <v>0</v>
      </c>
      <c r="Z2390">
        <v>0</v>
      </c>
      <c r="AA2390">
        <v>0</v>
      </c>
      <c r="AB2390">
        <v>24</v>
      </c>
      <c r="AC2390">
        <v>408</v>
      </c>
      <c r="AD2390" t="s">
        <v>4499</v>
      </c>
    </row>
    <row r="2391" spans="1:30" x14ac:dyDescent="0.25">
      <c r="H2391" t="s">
        <v>4500</v>
      </c>
    </row>
    <row r="2392" spans="1:30" x14ac:dyDescent="0.25">
      <c r="A2392">
        <v>1193</v>
      </c>
      <c r="B2392">
        <v>135</v>
      </c>
      <c r="C2392" t="s">
        <v>4501</v>
      </c>
      <c r="D2392" t="s">
        <v>474</v>
      </c>
      <c r="E2392" t="s">
        <v>4502</v>
      </c>
      <c r="F2392" t="s">
        <v>4503</v>
      </c>
      <c r="G2392" t="str">
        <f>"201511037725"</f>
        <v>201511037725</v>
      </c>
      <c r="H2392" t="s">
        <v>2206</v>
      </c>
      <c r="I2392">
        <v>0</v>
      </c>
      <c r="J2392">
        <v>0</v>
      </c>
      <c r="K2392">
        <v>0</v>
      </c>
      <c r="L2392">
        <v>0</v>
      </c>
      <c r="M2392">
        <v>0</v>
      </c>
      <c r="N2392">
        <v>30</v>
      </c>
      <c r="O2392">
        <v>0</v>
      </c>
      <c r="P2392">
        <v>0</v>
      </c>
      <c r="Q2392">
        <v>0</v>
      </c>
      <c r="R2392">
        <v>0</v>
      </c>
      <c r="S2392">
        <v>0</v>
      </c>
      <c r="T2392">
        <v>0</v>
      </c>
      <c r="U2392">
        <v>0</v>
      </c>
      <c r="V2392">
        <v>73</v>
      </c>
      <c r="W2392">
        <v>511</v>
      </c>
      <c r="X2392">
        <v>0</v>
      </c>
      <c r="Z2392">
        <v>0</v>
      </c>
      <c r="AA2392">
        <v>0</v>
      </c>
      <c r="AB2392">
        <v>0</v>
      </c>
      <c r="AC2392">
        <v>0</v>
      </c>
      <c r="AD2392" t="s">
        <v>4504</v>
      </c>
    </row>
    <row r="2393" spans="1:30" x14ac:dyDescent="0.25">
      <c r="H2393" t="s">
        <v>4505</v>
      </c>
    </row>
    <row r="2394" spans="1:30" x14ac:dyDescent="0.25">
      <c r="A2394">
        <v>1194</v>
      </c>
      <c r="B2394">
        <v>5658</v>
      </c>
      <c r="C2394" t="s">
        <v>4506</v>
      </c>
      <c r="D2394" t="s">
        <v>98</v>
      </c>
      <c r="E2394" t="s">
        <v>162</v>
      </c>
      <c r="F2394" t="s">
        <v>4507</v>
      </c>
      <c r="G2394" t="str">
        <f>"200802005121"</f>
        <v>200802005121</v>
      </c>
      <c r="H2394">
        <v>759</v>
      </c>
      <c r="I2394">
        <v>0</v>
      </c>
      <c r="J2394">
        <v>0</v>
      </c>
      <c r="K2394">
        <v>0</v>
      </c>
      <c r="L2394">
        <v>0</v>
      </c>
      <c r="M2394">
        <v>0</v>
      </c>
      <c r="N2394">
        <v>30</v>
      </c>
      <c r="O2394">
        <v>0</v>
      </c>
      <c r="P2394">
        <v>0</v>
      </c>
      <c r="Q2394">
        <v>0</v>
      </c>
      <c r="R2394">
        <v>0</v>
      </c>
      <c r="S2394">
        <v>0</v>
      </c>
      <c r="T2394">
        <v>0</v>
      </c>
      <c r="U2394">
        <v>0</v>
      </c>
      <c r="V2394">
        <v>58</v>
      </c>
      <c r="W2394">
        <v>406</v>
      </c>
      <c r="X2394">
        <v>0</v>
      </c>
      <c r="Z2394">
        <v>0</v>
      </c>
      <c r="AA2394">
        <v>0</v>
      </c>
      <c r="AB2394">
        <v>0</v>
      </c>
      <c r="AC2394">
        <v>0</v>
      </c>
      <c r="AD2394">
        <v>1195</v>
      </c>
    </row>
    <row r="2395" spans="1:30" x14ac:dyDescent="0.25">
      <c r="H2395" t="s">
        <v>4508</v>
      </c>
    </row>
    <row r="2396" spans="1:30" x14ac:dyDescent="0.25">
      <c r="A2396">
        <v>1195</v>
      </c>
      <c r="B2396">
        <v>3780</v>
      </c>
      <c r="C2396" t="s">
        <v>4509</v>
      </c>
      <c r="D2396" t="s">
        <v>335</v>
      </c>
      <c r="E2396" t="s">
        <v>39</v>
      </c>
      <c r="F2396" t="s">
        <v>4510</v>
      </c>
      <c r="G2396" t="str">
        <f>"201410007642"</f>
        <v>201410007642</v>
      </c>
      <c r="H2396" t="s">
        <v>412</v>
      </c>
      <c r="I2396">
        <v>0</v>
      </c>
      <c r="J2396">
        <v>0</v>
      </c>
      <c r="K2396">
        <v>0</v>
      </c>
      <c r="L2396">
        <v>0</v>
      </c>
      <c r="M2396">
        <v>0</v>
      </c>
      <c r="N2396">
        <v>30</v>
      </c>
      <c r="O2396">
        <v>0</v>
      </c>
      <c r="P2396">
        <v>0</v>
      </c>
      <c r="Q2396">
        <v>0</v>
      </c>
      <c r="R2396">
        <v>0</v>
      </c>
      <c r="S2396">
        <v>0</v>
      </c>
      <c r="T2396">
        <v>0</v>
      </c>
      <c r="U2396">
        <v>0</v>
      </c>
      <c r="V2396">
        <v>46</v>
      </c>
      <c r="W2396">
        <v>322</v>
      </c>
      <c r="X2396">
        <v>0</v>
      </c>
      <c r="Z2396">
        <v>0</v>
      </c>
      <c r="AA2396">
        <v>0</v>
      </c>
      <c r="AB2396">
        <v>0</v>
      </c>
      <c r="AC2396">
        <v>0</v>
      </c>
      <c r="AD2396" t="s">
        <v>4511</v>
      </c>
    </row>
    <row r="2397" spans="1:30" x14ac:dyDescent="0.25">
      <c r="H2397" t="s">
        <v>2565</v>
      </c>
    </row>
    <row r="2398" spans="1:30" x14ac:dyDescent="0.25">
      <c r="A2398">
        <v>1196</v>
      </c>
      <c r="B2398">
        <v>2075</v>
      </c>
      <c r="C2398" t="s">
        <v>3320</v>
      </c>
      <c r="D2398" t="s">
        <v>182</v>
      </c>
      <c r="E2398" t="s">
        <v>40</v>
      </c>
      <c r="F2398" t="s">
        <v>4512</v>
      </c>
      <c r="G2398" t="str">
        <f>"201510000078"</f>
        <v>201510000078</v>
      </c>
      <c r="H2398" t="s">
        <v>332</v>
      </c>
      <c r="I2398">
        <v>0</v>
      </c>
      <c r="J2398">
        <v>0</v>
      </c>
      <c r="K2398">
        <v>0</v>
      </c>
      <c r="L2398">
        <v>0</v>
      </c>
      <c r="M2398">
        <v>0</v>
      </c>
      <c r="N2398">
        <v>0</v>
      </c>
      <c r="O2398">
        <v>0</v>
      </c>
      <c r="P2398">
        <v>0</v>
      </c>
      <c r="Q2398">
        <v>0</v>
      </c>
      <c r="R2398">
        <v>0</v>
      </c>
      <c r="S2398">
        <v>0</v>
      </c>
      <c r="T2398">
        <v>0</v>
      </c>
      <c r="U2398">
        <v>0</v>
      </c>
      <c r="V2398">
        <v>66</v>
      </c>
      <c r="W2398">
        <v>462</v>
      </c>
      <c r="X2398">
        <v>0</v>
      </c>
      <c r="Z2398">
        <v>0</v>
      </c>
      <c r="AA2398">
        <v>0</v>
      </c>
      <c r="AB2398">
        <v>0</v>
      </c>
      <c r="AC2398">
        <v>0</v>
      </c>
      <c r="AD2398" t="s">
        <v>4511</v>
      </c>
    </row>
    <row r="2399" spans="1:30" x14ac:dyDescent="0.25">
      <c r="H2399" t="s">
        <v>4513</v>
      </c>
    </row>
    <row r="2400" spans="1:30" x14ac:dyDescent="0.25">
      <c r="A2400">
        <v>1197</v>
      </c>
      <c r="B2400">
        <v>2913</v>
      </c>
      <c r="C2400" t="s">
        <v>2921</v>
      </c>
      <c r="D2400" t="s">
        <v>699</v>
      </c>
      <c r="E2400" t="s">
        <v>162</v>
      </c>
      <c r="F2400" t="s">
        <v>4514</v>
      </c>
      <c r="G2400" t="str">
        <f>"201406000688"</f>
        <v>201406000688</v>
      </c>
      <c r="H2400" t="s">
        <v>204</v>
      </c>
      <c r="I2400">
        <v>0</v>
      </c>
      <c r="J2400">
        <v>0</v>
      </c>
      <c r="K2400">
        <v>0</v>
      </c>
      <c r="L2400">
        <v>200</v>
      </c>
      <c r="M2400">
        <v>0</v>
      </c>
      <c r="N2400">
        <v>70</v>
      </c>
      <c r="O2400">
        <v>0</v>
      </c>
      <c r="P2400">
        <v>0</v>
      </c>
      <c r="Q2400">
        <v>0</v>
      </c>
      <c r="R2400">
        <v>0</v>
      </c>
      <c r="S2400">
        <v>0</v>
      </c>
      <c r="T2400">
        <v>0</v>
      </c>
      <c r="U2400">
        <v>0</v>
      </c>
      <c r="V2400">
        <v>1</v>
      </c>
      <c r="W2400">
        <v>7</v>
      </c>
      <c r="X2400">
        <v>0</v>
      </c>
      <c r="Z2400">
        <v>0</v>
      </c>
      <c r="AA2400">
        <v>0</v>
      </c>
      <c r="AB2400">
        <v>11</v>
      </c>
      <c r="AC2400">
        <v>187</v>
      </c>
      <c r="AD2400" t="s">
        <v>4515</v>
      </c>
    </row>
    <row r="2401" spans="1:30" x14ac:dyDescent="0.25">
      <c r="H2401" t="s">
        <v>4516</v>
      </c>
    </row>
    <row r="2402" spans="1:30" x14ac:dyDescent="0.25">
      <c r="A2402">
        <v>1198</v>
      </c>
      <c r="B2402">
        <v>75</v>
      </c>
      <c r="C2402" t="s">
        <v>4517</v>
      </c>
      <c r="D2402" t="s">
        <v>636</v>
      </c>
      <c r="E2402" t="s">
        <v>482</v>
      </c>
      <c r="F2402" t="s">
        <v>4518</v>
      </c>
      <c r="G2402" t="str">
        <f>"201402010313"</f>
        <v>201402010313</v>
      </c>
      <c r="H2402" t="s">
        <v>456</v>
      </c>
      <c r="I2402">
        <v>0</v>
      </c>
      <c r="J2402">
        <v>0</v>
      </c>
      <c r="K2402">
        <v>0</v>
      </c>
      <c r="L2402">
        <v>0</v>
      </c>
      <c r="M2402">
        <v>0</v>
      </c>
      <c r="N2402">
        <v>30</v>
      </c>
      <c r="O2402">
        <v>0</v>
      </c>
      <c r="P2402">
        <v>0</v>
      </c>
      <c r="Q2402">
        <v>0</v>
      </c>
      <c r="R2402">
        <v>0</v>
      </c>
      <c r="S2402">
        <v>0</v>
      </c>
      <c r="T2402">
        <v>0</v>
      </c>
      <c r="U2402">
        <v>0</v>
      </c>
      <c r="V2402">
        <v>52</v>
      </c>
      <c r="W2402">
        <v>364</v>
      </c>
      <c r="X2402">
        <v>0</v>
      </c>
      <c r="Z2402">
        <v>1</v>
      </c>
      <c r="AA2402">
        <v>0</v>
      </c>
      <c r="AB2402">
        <v>0</v>
      </c>
      <c r="AC2402">
        <v>0</v>
      </c>
      <c r="AD2402" t="s">
        <v>4519</v>
      </c>
    </row>
    <row r="2403" spans="1:30" x14ac:dyDescent="0.25">
      <c r="H2403" t="s">
        <v>4520</v>
      </c>
    </row>
    <row r="2404" spans="1:30" x14ac:dyDescent="0.25">
      <c r="A2404">
        <v>1199</v>
      </c>
      <c r="B2404">
        <v>4860</v>
      </c>
      <c r="C2404" t="s">
        <v>4521</v>
      </c>
      <c r="D2404" t="s">
        <v>335</v>
      </c>
      <c r="E2404" t="s">
        <v>51</v>
      </c>
      <c r="F2404" t="s">
        <v>4522</v>
      </c>
      <c r="G2404" t="str">
        <f>"201512004235"</f>
        <v>201512004235</v>
      </c>
      <c r="H2404" t="s">
        <v>3862</v>
      </c>
      <c r="I2404">
        <v>0</v>
      </c>
      <c r="J2404">
        <v>0</v>
      </c>
      <c r="K2404">
        <v>0</v>
      </c>
      <c r="L2404">
        <v>0</v>
      </c>
      <c r="M2404">
        <v>0</v>
      </c>
      <c r="N2404">
        <v>70</v>
      </c>
      <c r="O2404">
        <v>0</v>
      </c>
      <c r="P2404">
        <v>0</v>
      </c>
      <c r="Q2404">
        <v>0</v>
      </c>
      <c r="R2404">
        <v>0</v>
      </c>
      <c r="S2404">
        <v>0</v>
      </c>
      <c r="T2404">
        <v>0</v>
      </c>
      <c r="U2404">
        <v>0</v>
      </c>
      <c r="V2404">
        <v>4</v>
      </c>
      <c r="W2404">
        <v>28</v>
      </c>
      <c r="X2404">
        <v>0</v>
      </c>
      <c r="Z2404">
        <v>0</v>
      </c>
      <c r="AA2404">
        <v>0</v>
      </c>
      <c r="AB2404">
        <v>24</v>
      </c>
      <c r="AC2404">
        <v>408</v>
      </c>
      <c r="AD2404" t="s">
        <v>4523</v>
      </c>
    </row>
    <row r="2405" spans="1:30" x14ac:dyDescent="0.25">
      <c r="H2405" t="s">
        <v>4524</v>
      </c>
    </row>
    <row r="2406" spans="1:30" x14ac:dyDescent="0.25">
      <c r="A2406">
        <v>1200</v>
      </c>
      <c r="B2406">
        <v>2626</v>
      </c>
      <c r="C2406" t="s">
        <v>4525</v>
      </c>
      <c r="D2406" t="s">
        <v>223</v>
      </c>
      <c r="E2406" t="s">
        <v>378</v>
      </c>
      <c r="F2406" t="s">
        <v>4526</v>
      </c>
      <c r="G2406" t="str">
        <f>"201510002528"</f>
        <v>201510002528</v>
      </c>
      <c r="H2406" t="s">
        <v>402</v>
      </c>
      <c r="I2406">
        <v>0</v>
      </c>
      <c r="J2406">
        <v>0</v>
      </c>
      <c r="K2406">
        <v>0</v>
      </c>
      <c r="L2406">
        <v>0</v>
      </c>
      <c r="M2406">
        <v>0</v>
      </c>
      <c r="N2406">
        <v>30</v>
      </c>
      <c r="O2406">
        <v>0</v>
      </c>
      <c r="P2406">
        <v>0</v>
      </c>
      <c r="Q2406">
        <v>0</v>
      </c>
      <c r="R2406">
        <v>0</v>
      </c>
      <c r="S2406">
        <v>0</v>
      </c>
      <c r="T2406">
        <v>0</v>
      </c>
      <c r="U2406">
        <v>0</v>
      </c>
      <c r="V2406">
        <v>11</v>
      </c>
      <c r="W2406">
        <v>77</v>
      </c>
      <c r="X2406">
        <v>0</v>
      </c>
      <c r="Z2406">
        <v>0</v>
      </c>
      <c r="AA2406">
        <v>0</v>
      </c>
      <c r="AB2406">
        <v>24</v>
      </c>
      <c r="AC2406">
        <v>408</v>
      </c>
      <c r="AD2406" t="s">
        <v>4527</v>
      </c>
    </row>
    <row r="2407" spans="1:30" x14ac:dyDescent="0.25">
      <c r="H2407" t="s">
        <v>4528</v>
      </c>
    </row>
    <row r="2408" spans="1:30" x14ac:dyDescent="0.25">
      <c r="A2408">
        <v>1201</v>
      </c>
      <c r="B2408">
        <v>5223</v>
      </c>
      <c r="C2408" t="s">
        <v>1969</v>
      </c>
      <c r="D2408" t="s">
        <v>869</v>
      </c>
      <c r="E2408" t="s">
        <v>39</v>
      </c>
      <c r="F2408" t="s">
        <v>4529</v>
      </c>
      <c r="G2408" t="str">
        <f>"00225167"</f>
        <v>00225167</v>
      </c>
      <c r="H2408" t="s">
        <v>1825</v>
      </c>
      <c r="I2408">
        <v>0</v>
      </c>
      <c r="J2408">
        <v>0</v>
      </c>
      <c r="K2408">
        <v>0</v>
      </c>
      <c r="L2408">
        <v>0</v>
      </c>
      <c r="M2408">
        <v>0</v>
      </c>
      <c r="N2408">
        <v>30</v>
      </c>
      <c r="O2408">
        <v>0</v>
      </c>
      <c r="P2408">
        <v>0</v>
      </c>
      <c r="Q2408">
        <v>0</v>
      </c>
      <c r="R2408">
        <v>0</v>
      </c>
      <c r="S2408">
        <v>0</v>
      </c>
      <c r="T2408">
        <v>0</v>
      </c>
      <c r="U2408">
        <v>0</v>
      </c>
      <c r="V2408">
        <v>60</v>
      </c>
      <c r="W2408">
        <v>420</v>
      </c>
      <c r="X2408">
        <v>0</v>
      </c>
      <c r="Z2408">
        <v>2</v>
      </c>
      <c r="AA2408">
        <v>0</v>
      </c>
      <c r="AB2408">
        <v>0</v>
      </c>
      <c r="AC2408">
        <v>0</v>
      </c>
      <c r="AD2408" t="s">
        <v>4530</v>
      </c>
    </row>
    <row r="2409" spans="1:30" x14ac:dyDescent="0.25">
      <c r="H2409" t="s">
        <v>4531</v>
      </c>
    </row>
    <row r="2410" spans="1:30" x14ac:dyDescent="0.25">
      <c r="A2410">
        <v>1202</v>
      </c>
      <c r="B2410">
        <v>4768</v>
      </c>
      <c r="C2410" t="s">
        <v>4088</v>
      </c>
      <c r="D2410" t="s">
        <v>107</v>
      </c>
      <c r="E2410" t="s">
        <v>40</v>
      </c>
      <c r="F2410" t="s">
        <v>4532</v>
      </c>
      <c r="G2410" t="str">
        <f>"201406005113"</f>
        <v>201406005113</v>
      </c>
      <c r="H2410" t="s">
        <v>1511</v>
      </c>
      <c r="I2410">
        <v>0</v>
      </c>
      <c r="J2410">
        <v>0</v>
      </c>
      <c r="K2410">
        <v>0</v>
      </c>
      <c r="L2410">
        <v>200</v>
      </c>
      <c r="M2410">
        <v>0</v>
      </c>
      <c r="N2410">
        <v>30</v>
      </c>
      <c r="O2410">
        <v>0</v>
      </c>
      <c r="P2410">
        <v>0</v>
      </c>
      <c r="Q2410">
        <v>0</v>
      </c>
      <c r="R2410">
        <v>0</v>
      </c>
      <c r="S2410">
        <v>0</v>
      </c>
      <c r="T2410">
        <v>0</v>
      </c>
      <c r="U2410">
        <v>0</v>
      </c>
      <c r="V2410">
        <v>38</v>
      </c>
      <c r="W2410">
        <v>266</v>
      </c>
      <c r="X2410">
        <v>0</v>
      </c>
      <c r="Z2410">
        <v>0</v>
      </c>
      <c r="AA2410">
        <v>0</v>
      </c>
      <c r="AB2410">
        <v>0</v>
      </c>
      <c r="AC2410">
        <v>0</v>
      </c>
      <c r="AD2410" t="s">
        <v>4533</v>
      </c>
    </row>
    <row r="2411" spans="1:30" x14ac:dyDescent="0.25">
      <c r="H2411" t="s">
        <v>4534</v>
      </c>
    </row>
    <row r="2412" spans="1:30" x14ac:dyDescent="0.25">
      <c r="A2412">
        <v>1203</v>
      </c>
      <c r="B2412">
        <v>38</v>
      </c>
      <c r="C2412" t="s">
        <v>4535</v>
      </c>
      <c r="D2412" t="s">
        <v>40</v>
      </c>
      <c r="E2412" t="s">
        <v>115</v>
      </c>
      <c r="F2412" t="s">
        <v>4536</v>
      </c>
      <c r="G2412" t="str">
        <f>"200903000479"</f>
        <v>200903000479</v>
      </c>
      <c r="H2412" t="s">
        <v>1256</v>
      </c>
      <c r="I2412">
        <v>0</v>
      </c>
      <c r="J2412">
        <v>0</v>
      </c>
      <c r="K2412">
        <v>0</v>
      </c>
      <c r="L2412">
        <v>0</v>
      </c>
      <c r="M2412">
        <v>0</v>
      </c>
      <c r="N2412">
        <v>0</v>
      </c>
      <c r="O2412">
        <v>0</v>
      </c>
      <c r="P2412">
        <v>0</v>
      </c>
      <c r="Q2412">
        <v>0</v>
      </c>
      <c r="R2412">
        <v>0</v>
      </c>
      <c r="S2412">
        <v>0</v>
      </c>
      <c r="T2412">
        <v>0</v>
      </c>
      <c r="U2412">
        <v>0</v>
      </c>
      <c r="V2412">
        <v>75</v>
      </c>
      <c r="W2412">
        <v>525</v>
      </c>
      <c r="X2412">
        <v>0</v>
      </c>
      <c r="Z2412">
        <v>0</v>
      </c>
      <c r="AA2412">
        <v>0</v>
      </c>
      <c r="AB2412">
        <v>0</v>
      </c>
      <c r="AC2412">
        <v>0</v>
      </c>
      <c r="AD2412" t="s">
        <v>4537</v>
      </c>
    </row>
    <row r="2413" spans="1:30" x14ac:dyDescent="0.25">
      <c r="H2413" t="s">
        <v>4538</v>
      </c>
    </row>
    <row r="2414" spans="1:30" x14ac:dyDescent="0.25">
      <c r="A2414">
        <v>1204</v>
      </c>
      <c r="B2414">
        <v>5702</v>
      </c>
      <c r="C2414" t="s">
        <v>4539</v>
      </c>
      <c r="D2414" t="s">
        <v>4540</v>
      </c>
      <c r="E2414" t="s">
        <v>290</v>
      </c>
      <c r="F2414" t="s">
        <v>4541</v>
      </c>
      <c r="G2414" t="str">
        <f>"200802003845"</f>
        <v>200802003845</v>
      </c>
      <c r="H2414" t="s">
        <v>2446</v>
      </c>
      <c r="I2414">
        <v>0</v>
      </c>
      <c r="J2414">
        <v>0</v>
      </c>
      <c r="K2414">
        <v>0</v>
      </c>
      <c r="L2414">
        <v>200</v>
      </c>
      <c r="M2414">
        <v>0</v>
      </c>
      <c r="N2414">
        <v>30</v>
      </c>
      <c r="O2414">
        <v>0</v>
      </c>
      <c r="P2414">
        <v>0</v>
      </c>
      <c r="Q2414">
        <v>0</v>
      </c>
      <c r="R2414">
        <v>0</v>
      </c>
      <c r="S2414">
        <v>0</v>
      </c>
      <c r="T2414">
        <v>0</v>
      </c>
      <c r="U2414">
        <v>0</v>
      </c>
      <c r="V2414">
        <v>14</v>
      </c>
      <c r="W2414">
        <v>98</v>
      </c>
      <c r="X2414">
        <v>0</v>
      </c>
      <c r="Z2414">
        <v>0</v>
      </c>
      <c r="AA2414">
        <v>0</v>
      </c>
      <c r="AB2414">
        <v>0</v>
      </c>
      <c r="AC2414">
        <v>0</v>
      </c>
      <c r="AD2414" t="s">
        <v>4542</v>
      </c>
    </row>
    <row r="2415" spans="1:30" x14ac:dyDescent="0.25">
      <c r="H2415" t="s">
        <v>4543</v>
      </c>
    </row>
    <row r="2416" spans="1:30" x14ac:dyDescent="0.25">
      <c r="A2416">
        <v>1205</v>
      </c>
      <c r="B2416">
        <v>2826</v>
      </c>
      <c r="C2416" t="s">
        <v>4544</v>
      </c>
      <c r="D2416" t="s">
        <v>40</v>
      </c>
      <c r="E2416" t="s">
        <v>595</v>
      </c>
      <c r="F2416" t="s">
        <v>4545</v>
      </c>
      <c r="G2416" t="str">
        <f>"00196486"</f>
        <v>00196486</v>
      </c>
      <c r="H2416" t="s">
        <v>2742</v>
      </c>
      <c r="I2416">
        <v>0</v>
      </c>
      <c r="J2416">
        <v>0</v>
      </c>
      <c r="K2416">
        <v>0</v>
      </c>
      <c r="L2416">
        <v>0</v>
      </c>
      <c r="M2416">
        <v>0</v>
      </c>
      <c r="N2416">
        <v>30</v>
      </c>
      <c r="O2416">
        <v>0</v>
      </c>
      <c r="P2416">
        <v>0</v>
      </c>
      <c r="Q2416">
        <v>0</v>
      </c>
      <c r="R2416">
        <v>0</v>
      </c>
      <c r="S2416">
        <v>0</v>
      </c>
      <c r="T2416">
        <v>0</v>
      </c>
      <c r="U2416">
        <v>0</v>
      </c>
      <c r="V2416">
        <v>60</v>
      </c>
      <c r="W2416">
        <v>420</v>
      </c>
      <c r="X2416">
        <v>0</v>
      </c>
      <c r="Z2416">
        <v>0</v>
      </c>
      <c r="AA2416">
        <v>0</v>
      </c>
      <c r="AB2416">
        <v>0</v>
      </c>
      <c r="AC2416">
        <v>0</v>
      </c>
      <c r="AD2416" t="s">
        <v>4546</v>
      </c>
    </row>
    <row r="2417" spans="1:30" x14ac:dyDescent="0.25">
      <c r="H2417" t="s">
        <v>4547</v>
      </c>
    </row>
    <row r="2418" spans="1:30" x14ac:dyDescent="0.25">
      <c r="A2418">
        <v>1206</v>
      </c>
      <c r="B2418">
        <v>1894</v>
      </c>
      <c r="C2418" t="s">
        <v>4548</v>
      </c>
      <c r="D2418" t="s">
        <v>47</v>
      </c>
      <c r="E2418" t="s">
        <v>40</v>
      </c>
      <c r="F2418" t="s">
        <v>4549</v>
      </c>
      <c r="G2418" t="str">
        <f>"00110930"</f>
        <v>00110930</v>
      </c>
      <c r="H2418">
        <v>704</v>
      </c>
      <c r="I2418">
        <v>0</v>
      </c>
      <c r="J2418">
        <v>0</v>
      </c>
      <c r="K2418">
        <v>0</v>
      </c>
      <c r="L2418">
        <v>0</v>
      </c>
      <c r="M2418">
        <v>0</v>
      </c>
      <c r="N2418">
        <v>70</v>
      </c>
      <c r="O2418">
        <v>0</v>
      </c>
      <c r="P2418">
        <v>30</v>
      </c>
      <c r="Q2418">
        <v>0</v>
      </c>
      <c r="R2418">
        <v>0</v>
      </c>
      <c r="S2418">
        <v>0</v>
      </c>
      <c r="T2418">
        <v>0</v>
      </c>
      <c r="U2418">
        <v>0</v>
      </c>
      <c r="V2418">
        <v>55</v>
      </c>
      <c r="W2418">
        <v>385</v>
      </c>
      <c r="X2418">
        <v>0</v>
      </c>
      <c r="Z2418">
        <v>0</v>
      </c>
      <c r="AA2418">
        <v>0</v>
      </c>
      <c r="AB2418">
        <v>0</v>
      </c>
      <c r="AC2418">
        <v>0</v>
      </c>
      <c r="AD2418">
        <v>1189</v>
      </c>
    </row>
    <row r="2419" spans="1:30" x14ac:dyDescent="0.25">
      <c r="H2419" t="s">
        <v>4550</v>
      </c>
    </row>
    <row r="2420" spans="1:30" x14ac:dyDescent="0.25">
      <c r="A2420">
        <v>1207</v>
      </c>
      <c r="B2420">
        <v>2605</v>
      </c>
      <c r="C2420" t="s">
        <v>4551</v>
      </c>
      <c r="D2420" t="s">
        <v>47</v>
      </c>
      <c r="E2420" t="s">
        <v>15</v>
      </c>
      <c r="F2420" t="s">
        <v>4552</v>
      </c>
      <c r="G2420" t="str">
        <f>"201405000685"</f>
        <v>201405000685</v>
      </c>
      <c r="H2420" t="s">
        <v>94</v>
      </c>
      <c r="I2420">
        <v>0</v>
      </c>
      <c r="J2420">
        <v>0</v>
      </c>
      <c r="K2420">
        <v>0</v>
      </c>
      <c r="L2420">
        <v>200</v>
      </c>
      <c r="M2420">
        <v>0</v>
      </c>
      <c r="N2420">
        <v>70</v>
      </c>
      <c r="O2420">
        <v>0</v>
      </c>
      <c r="P2420">
        <v>0</v>
      </c>
      <c r="Q2420">
        <v>0</v>
      </c>
      <c r="R2420">
        <v>0</v>
      </c>
      <c r="S2420">
        <v>0</v>
      </c>
      <c r="T2420">
        <v>0</v>
      </c>
      <c r="U2420">
        <v>0</v>
      </c>
      <c r="V2420">
        <v>24</v>
      </c>
      <c r="W2420">
        <v>168</v>
      </c>
      <c r="X2420">
        <v>0</v>
      </c>
      <c r="Z2420">
        <v>1</v>
      </c>
      <c r="AA2420">
        <v>0</v>
      </c>
      <c r="AB2420">
        <v>0</v>
      </c>
      <c r="AC2420">
        <v>0</v>
      </c>
      <c r="AD2420" t="s">
        <v>4553</v>
      </c>
    </row>
    <row r="2421" spans="1:30" x14ac:dyDescent="0.25">
      <c r="H2421" t="s">
        <v>4554</v>
      </c>
    </row>
    <row r="2422" spans="1:30" x14ac:dyDescent="0.25">
      <c r="A2422">
        <v>1208</v>
      </c>
      <c r="B2422">
        <v>66</v>
      </c>
      <c r="C2422" t="s">
        <v>4555</v>
      </c>
      <c r="D2422" t="s">
        <v>869</v>
      </c>
      <c r="E2422" t="s">
        <v>51</v>
      </c>
      <c r="F2422" t="s">
        <v>4556</v>
      </c>
      <c r="G2422" t="str">
        <f>"200802001051"</f>
        <v>200802001051</v>
      </c>
      <c r="H2422">
        <v>913</v>
      </c>
      <c r="I2422">
        <v>0</v>
      </c>
      <c r="J2422">
        <v>0</v>
      </c>
      <c r="K2422">
        <v>0</v>
      </c>
      <c r="L2422">
        <v>0</v>
      </c>
      <c r="M2422">
        <v>0</v>
      </c>
      <c r="N2422">
        <v>30</v>
      </c>
      <c r="O2422">
        <v>0</v>
      </c>
      <c r="P2422">
        <v>0</v>
      </c>
      <c r="Q2422">
        <v>0</v>
      </c>
      <c r="R2422">
        <v>0</v>
      </c>
      <c r="S2422">
        <v>0</v>
      </c>
      <c r="T2422">
        <v>0</v>
      </c>
      <c r="U2422">
        <v>0</v>
      </c>
      <c r="V2422">
        <v>35</v>
      </c>
      <c r="W2422">
        <v>245</v>
      </c>
      <c r="X2422">
        <v>0</v>
      </c>
      <c r="Z2422">
        <v>0</v>
      </c>
      <c r="AA2422">
        <v>0</v>
      </c>
      <c r="AB2422">
        <v>0</v>
      </c>
      <c r="AC2422">
        <v>0</v>
      </c>
      <c r="AD2422">
        <v>1188</v>
      </c>
    </row>
    <row r="2423" spans="1:30" x14ac:dyDescent="0.25">
      <c r="H2423" t="s">
        <v>4557</v>
      </c>
    </row>
    <row r="2424" spans="1:30" x14ac:dyDescent="0.25">
      <c r="A2424">
        <v>1209</v>
      </c>
      <c r="B2424">
        <v>4743</v>
      </c>
      <c r="C2424" t="s">
        <v>4558</v>
      </c>
      <c r="D2424" t="s">
        <v>804</v>
      </c>
      <c r="E2424" t="s">
        <v>4559</v>
      </c>
      <c r="F2424" t="s">
        <v>4560</v>
      </c>
      <c r="G2424" t="str">
        <f>"00226261"</f>
        <v>00226261</v>
      </c>
      <c r="H2424">
        <v>814</v>
      </c>
      <c r="I2424">
        <v>0</v>
      </c>
      <c r="J2424">
        <v>0</v>
      </c>
      <c r="K2424">
        <v>0</v>
      </c>
      <c r="L2424">
        <v>0</v>
      </c>
      <c r="M2424">
        <v>0</v>
      </c>
      <c r="N2424">
        <v>0</v>
      </c>
      <c r="O2424">
        <v>0</v>
      </c>
      <c r="P2424">
        <v>0</v>
      </c>
      <c r="Q2424">
        <v>0</v>
      </c>
      <c r="R2424">
        <v>0</v>
      </c>
      <c r="S2424">
        <v>0</v>
      </c>
      <c r="T2424">
        <v>0</v>
      </c>
      <c r="U2424">
        <v>0</v>
      </c>
      <c r="V2424">
        <v>53</v>
      </c>
      <c r="W2424">
        <v>371</v>
      </c>
      <c r="X2424">
        <v>0</v>
      </c>
      <c r="Z2424">
        <v>0</v>
      </c>
      <c r="AA2424">
        <v>0</v>
      </c>
      <c r="AB2424">
        <v>0</v>
      </c>
      <c r="AC2424">
        <v>0</v>
      </c>
      <c r="AD2424">
        <v>1185</v>
      </c>
    </row>
    <row r="2425" spans="1:30" x14ac:dyDescent="0.25">
      <c r="H2425" t="s">
        <v>4561</v>
      </c>
    </row>
    <row r="2426" spans="1:30" x14ac:dyDescent="0.25">
      <c r="A2426">
        <v>1210</v>
      </c>
      <c r="B2426">
        <v>6221</v>
      </c>
      <c r="C2426" t="s">
        <v>4562</v>
      </c>
      <c r="D2426" t="s">
        <v>223</v>
      </c>
      <c r="E2426" t="s">
        <v>151</v>
      </c>
      <c r="F2426" t="s">
        <v>4563</v>
      </c>
      <c r="G2426" t="str">
        <f>"00366726"</f>
        <v>00366726</v>
      </c>
      <c r="H2426" t="s">
        <v>2705</v>
      </c>
      <c r="I2426">
        <v>0</v>
      </c>
      <c r="J2426">
        <v>0</v>
      </c>
      <c r="K2426">
        <v>0</v>
      </c>
      <c r="L2426">
        <v>0</v>
      </c>
      <c r="M2426">
        <v>0</v>
      </c>
      <c r="N2426">
        <v>0</v>
      </c>
      <c r="O2426">
        <v>0</v>
      </c>
      <c r="P2426">
        <v>0</v>
      </c>
      <c r="Q2426">
        <v>0</v>
      </c>
      <c r="R2426">
        <v>0</v>
      </c>
      <c r="S2426">
        <v>0</v>
      </c>
      <c r="T2426">
        <v>0</v>
      </c>
      <c r="U2426">
        <v>0</v>
      </c>
      <c r="V2426">
        <v>72</v>
      </c>
      <c r="W2426">
        <v>504</v>
      </c>
      <c r="X2426">
        <v>0</v>
      </c>
      <c r="Z2426">
        <v>0</v>
      </c>
      <c r="AA2426">
        <v>0</v>
      </c>
      <c r="AB2426">
        <v>0</v>
      </c>
      <c r="AC2426">
        <v>0</v>
      </c>
      <c r="AD2426" t="s">
        <v>4564</v>
      </c>
    </row>
    <row r="2427" spans="1:30" x14ac:dyDescent="0.25">
      <c r="H2427" t="s">
        <v>4565</v>
      </c>
    </row>
    <row r="2428" spans="1:30" x14ac:dyDescent="0.25">
      <c r="A2428">
        <v>1211</v>
      </c>
      <c r="B2428">
        <v>1028</v>
      </c>
      <c r="C2428" t="s">
        <v>4555</v>
      </c>
      <c r="D2428" t="s">
        <v>1810</v>
      </c>
      <c r="E2428" t="s">
        <v>51</v>
      </c>
      <c r="F2428" t="s">
        <v>4566</v>
      </c>
      <c r="G2428" t="str">
        <f>"200802001745"</f>
        <v>200802001745</v>
      </c>
      <c r="H2428">
        <v>902</v>
      </c>
      <c r="I2428">
        <v>0</v>
      </c>
      <c r="J2428">
        <v>0</v>
      </c>
      <c r="K2428">
        <v>0</v>
      </c>
      <c r="L2428">
        <v>0</v>
      </c>
      <c r="M2428">
        <v>0</v>
      </c>
      <c r="N2428">
        <v>30</v>
      </c>
      <c r="O2428">
        <v>0</v>
      </c>
      <c r="P2428">
        <v>0</v>
      </c>
      <c r="Q2428">
        <v>0</v>
      </c>
      <c r="R2428">
        <v>0</v>
      </c>
      <c r="S2428">
        <v>0</v>
      </c>
      <c r="T2428">
        <v>0</v>
      </c>
      <c r="U2428">
        <v>0</v>
      </c>
      <c r="V2428">
        <v>36</v>
      </c>
      <c r="W2428">
        <v>252</v>
      </c>
      <c r="X2428">
        <v>0</v>
      </c>
      <c r="Z2428">
        <v>0</v>
      </c>
      <c r="AA2428">
        <v>0</v>
      </c>
      <c r="AB2428">
        <v>0</v>
      </c>
      <c r="AC2428">
        <v>0</v>
      </c>
      <c r="AD2428">
        <v>1184</v>
      </c>
    </row>
    <row r="2429" spans="1:30" x14ac:dyDescent="0.25">
      <c r="H2429" t="s">
        <v>4567</v>
      </c>
    </row>
    <row r="2430" spans="1:30" x14ac:dyDescent="0.25">
      <c r="A2430">
        <v>1212</v>
      </c>
      <c r="B2430">
        <v>724</v>
      </c>
      <c r="C2430" t="s">
        <v>4568</v>
      </c>
      <c r="D2430" t="s">
        <v>526</v>
      </c>
      <c r="E2430" t="s">
        <v>40</v>
      </c>
      <c r="F2430" t="s">
        <v>4569</v>
      </c>
      <c r="G2430" t="str">
        <f>"201402008116"</f>
        <v>201402008116</v>
      </c>
      <c r="H2430" t="s">
        <v>422</v>
      </c>
      <c r="I2430">
        <v>0</v>
      </c>
      <c r="J2430">
        <v>0</v>
      </c>
      <c r="K2430">
        <v>0</v>
      </c>
      <c r="L2430">
        <v>200</v>
      </c>
      <c r="M2430">
        <v>0</v>
      </c>
      <c r="N2430">
        <v>50</v>
      </c>
      <c r="O2430">
        <v>0</v>
      </c>
      <c r="P2430">
        <v>0</v>
      </c>
      <c r="Q2430">
        <v>0</v>
      </c>
      <c r="R2430">
        <v>0</v>
      </c>
      <c r="S2430">
        <v>0</v>
      </c>
      <c r="T2430">
        <v>0</v>
      </c>
      <c r="U2430">
        <v>0</v>
      </c>
      <c r="V2430">
        <v>35</v>
      </c>
      <c r="W2430">
        <v>245</v>
      </c>
      <c r="X2430">
        <v>0</v>
      </c>
      <c r="Z2430">
        <v>0</v>
      </c>
      <c r="AA2430">
        <v>0</v>
      </c>
      <c r="AB2430">
        <v>0</v>
      </c>
      <c r="AC2430">
        <v>0</v>
      </c>
      <c r="AD2430" t="s">
        <v>4570</v>
      </c>
    </row>
    <row r="2431" spans="1:30" x14ac:dyDescent="0.25">
      <c r="H2431" t="s">
        <v>4571</v>
      </c>
    </row>
    <row r="2432" spans="1:30" x14ac:dyDescent="0.25">
      <c r="A2432">
        <v>1213</v>
      </c>
      <c r="B2432">
        <v>2933</v>
      </c>
      <c r="C2432" t="s">
        <v>4572</v>
      </c>
      <c r="D2432" t="s">
        <v>661</v>
      </c>
      <c r="E2432" t="s">
        <v>107</v>
      </c>
      <c r="F2432" t="s">
        <v>4573</v>
      </c>
      <c r="G2432" t="str">
        <f>"00092118"</f>
        <v>00092118</v>
      </c>
      <c r="H2432" t="s">
        <v>1546</v>
      </c>
      <c r="I2432">
        <v>0</v>
      </c>
      <c r="J2432">
        <v>0</v>
      </c>
      <c r="K2432">
        <v>0</v>
      </c>
      <c r="L2432">
        <v>0</v>
      </c>
      <c r="M2432">
        <v>0</v>
      </c>
      <c r="N2432">
        <v>50</v>
      </c>
      <c r="O2432">
        <v>0</v>
      </c>
      <c r="P2432">
        <v>0</v>
      </c>
      <c r="Q2432">
        <v>0</v>
      </c>
      <c r="R2432">
        <v>0</v>
      </c>
      <c r="S2432">
        <v>0</v>
      </c>
      <c r="T2432">
        <v>0</v>
      </c>
      <c r="U2432">
        <v>0</v>
      </c>
      <c r="V2432">
        <v>0</v>
      </c>
      <c r="W2432">
        <v>0</v>
      </c>
      <c r="X2432">
        <v>0</v>
      </c>
      <c r="Z2432">
        <v>0</v>
      </c>
      <c r="AA2432">
        <v>0</v>
      </c>
      <c r="AB2432">
        <v>23</v>
      </c>
      <c r="AC2432">
        <v>391</v>
      </c>
      <c r="AD2432" t="s">
        <v>4574</v>
      </c>
    </row>
    <row r="2433" spans="1:30" x14ac:dyDescent="0.25">
      <c r="H2433" t="s">
        <v>4575</v>
      </c>
    </row>
    <row r="2434" spans="1:30" x14ac:dyDescent="0.25">
      <c r="A2434">
        <v>1214</v>
      </c>
      <c r="B2434">
        <v>5939</v>
      </c>
      <c r="C2434" t="s">
        <v>4576</v>
      </c>
      <c r="D2434" t="s">
        <v>14</v>
      </c>
      <c r="E2434" t="s">
        <v>595</v>
      </c>
      <c r="F2434" t="s">
        <v>4577</v>
      </c>
      <c r="G2434" t="str">
        <f>"00158892"</f>
        <v>00158892</v>
      </c>
      <c r="H2434">
        <v>825</v>
      </c>
      <c r="I2434">
        <v>0</v>
      </c>
      <c r="J2434">
        <v>0</v>
      </c>
      <c r="K2434">
        <v>0</v>
      </c>
      <c r="L2434">
        <v>0</v>
      </c>
      <c r="M2434">
        <v>0</v>
      </c>
      <c r="N2434">
        <v>0</v>
      </c>
      <c r="O2434">
        <v>0</v>
      </c>
      <c r="P2434">
        <v>0</v>
      </c>
      <c r="Q2434">
        <v>0</v>
      </c>
      <c r="R2434">
        <v>0</v>
      </c>
      <c r="S2434">
        <v>0</v>
      </c>
      <c r="T2434">
        <v>0</v>
      </c>
      <c r="U2434">
        <v>0</v>
      </c>
      <c r="V2434">
        <v>51</v>
      </c>
      <c r="W2434">
        <v>357</v>
      </c>
      <c r="X2434">
        <v>0</v>
      </c>
      <c r="Z2434">
        <v>1</v>
      </c>
      <c r="AA2434">
        <v>0</v>
      </c>
      <c r="AB2434">
        <v>0</v>
      </c>
      <c r="AC2434">
        <v>0</v>
      </c>
      <c r="AD2434">
        <v>1182</v>
      </c>
    </row>
    <row r="2435" spans="1:30" x14ac:dyDescent="0.25">
      <c r="H2435" t="s">
        <v>4578</v>
      </c>
    </row>
    <row r="2436" spans="1:30" x14ac:dyDescent="0.25">
      <c r="A2436">
        <v>1215</v>
      </c>
      <c r="B2436">
        <v>2694</v>
      </c>
      <c r="C2436" t="s">
        <v>4579</v>
      </c>
      <c r="D2436" t="s">
        <v>86</v>
      </c>
      <c r="E2436" t="s">
        <v>107</v>
      </c>
      <c r="F2436" t="s">
        <v>4580</v>
      </c>
      <c r="G2436" t="str">
        <f>"201406015109"</f>
        <v>201406015109</v>
      </c>
      <c r="H2436">
        <v>660</v>
      </c>
      <c r="I2436">
        <v>0</v>
      </c>
      <c r="J2436">
        <v>0</v>
      </c>
      <c r="K2436">
        <v>0</v>
      </c>
      <c r="L2436">
        <v>0</v>
      </c>
      <c r="M2436">
        <v>0</v>
      </c>
      <c r="N2436">
        <v>0</v>
      </c>
      <c r="O2436">
        <v>0</v>
      </c>
      <c r="P2436">
        <v>0</v>
      </c>
      <c r="Q2436">
        <v>0</v>
      </c>
      <c r="R2436">
        <v>0</v>
      </c>
      <c r="S2436">
        <v>0</v>
      </c>
      <c r="T2436">
        <v>0</v>
      </c>
      <c r="U2436">
        <v>0</v>
      </c>
      <c r="V2436">
        <v>16</v>
      </c>
      <c r="W2436">
        <v>112</v>
      </c>
      <c r="X2436">
        <v>0</v>
      </c>
      <c r="Z2436">
        <v>0</v>
      </c>
      <c r="AA2436">
        <v>0</v>
      </c>
      <c r="AB2436">
        <v>24</v>
      </c>
      <c r="AC2436">
        <v>408</v>
      </c>
      <c r="AD2436">
        <v>1180</v>
      </c>
    </row>
    <row r="2437" spans="1:30" x14ac:dyDescent="0.25">
      <c r="H2437" t="s">
        <v>4581</v>
      </c>
    </row>
    <row r="2438" spans="1:30" x14ac:dyDescent="0.25">
      <c r="A2438">
        <v>1216</v>
      </c>
      <c r="B2438">
        <v>5168</v>
      </c>
      <c r="C2438" t="s">
        <v>4582</v>
      </c>
      <c r="D2438" t="s">
        <v>804</v>
      </c>
      <c r="E2438" t="s">
        <v>176</v>
      </c>
      <c r="F2438" t="s">
        <v>4583</v>
      </c>
      <c r="G2438" t="str">
        <f>"00322365"</f>
        <v>00322365</v>
      </c>
      <c r="H2438" t="s">
        <v>1511</v>
      </c>
      <c r="I2438">
        <v>0</v>
      </c>
      <c r="J2438">
        <v>0</v>
      </c>
      <c r="K2438">
        <v>0</v>
      </c>
      <c r="L2438">
        <v>0</v>
      </c>
      <c r="M2438">
        <v>0</v>
      </c>
      <c r="N2438">
        <v>30</v>
      </c>
      <c r="O2438">
        <v>0</v>
      </c>
      <c r="P2438">
        <v>0</v>
      </c>
      <c r="Q2438">
        <v>0</v>
      </c>
      <c r="R2438">
        <v>0</v>
      </c>
      <c r="S2438">
        <v>0</v>
      </c>
      <c r="T2438">
        <v>0</v>
      </c>
      <c r="U2438">
        <v>0</v>
      </c>
      <c r="V2438">
        <v>65</v>
      </c>
      <c r="W2438">
        <v>455</v>
      </c>
      <c r="X2438">
        <v>0</v>
      </c>
      <c r="Z2438">
        <v>0</v>
      </c>
      <c r="AA2438">
        <v>0</v>
      </c>
      <c r="AB2438">
        <v>0</v>
      </c>
      <c r="AC2438">
        <v>0</v>
      </c>
      <c r="AD2438" t="s">
        <v>4584</v>
      </c>
    </row>
    <row r="2439" spans="1:30" x14ac:dyDescent="0.25">
      <c r="H2439" t="s">
        <v>1852</v>
      </c>
    </row>
    <row r="2440" spans="1:30" x14ac:dyDescent="0.25">
      <c r="A2440">
        <v>1217</v>
      </c>
      <c r="B2440">
        <v>41</v>
      </c>
      <c r="C2440" t="s">
        <v>1153</v>
      </c>
      <c r="D2440" t="s">
        <v>599</v>
      </c>
      <c r="E2440" t="s">
        <v>183</v>
      </c>
      <c r="F2440" t="s">
        <v>4585</v>
      </c>
      <c r="G2440" t="str">
        <f>"201511009441"</f>
        <v>201511009441</v>
      </c>
      <c r="H2440" t="s">
        <v>988</v>
      </c>
      <c r="I2440">
        <v>0</v>
      </c>
      <c r="J2440">
        <v>0</v>
      </c>
      <c r="K2440">
        <v>0</v>
      </c>
      <c r="L2440">
        <v>0</v>
      </c>
      <c r="M2440">
        <v>0</v>
      </c>
      <c r="N2440">
        <v>30</v>
      </c>
      <c r="O2440">
        <v>0</v>
      </c>
      <c r="P2440">
        <v>0</v>
      </c>
      <c r="Q2440">
        <v>0</v>
      </c>
      <c r="R2440">
        <v>0</v>
      </c>
      <c r="S2440">
        <v>0</v>
      </c>
      <c r="T2440">
        <v>0</v>
      </c>
      <c r="U2440">
        <v>0</v>
      </c>
      <c r="V2440">
        <v>53</v>
      </c>
      <c r="W2440">
        <v>371</v>
      </c>
      <c r="X2440">
        <v>0</v>
      </c>
      <c r="Z2440">
        <v>0</v>
      </c>
      <c r="AA2440">
        <v>0</v>
      </c>
      <c r="AB2440">
        <v>0</v>
      </c>
      <c r="AC2440">
        <v>0</v>
      </c>
      <c r="AD2440" t="s">
        <v>4586</v>
      </c>
    </row>
    <row r="2441" spans="1:30" x14ac:dyDescent="0.25">
      <c r="H2441" t="s">
        <v>4587</v>
      </c>
    </row>
    <row r="2442" spans="1:30" x14ac:dyDescent="0.25">
      <c r="A2442">
        <v>1218</v>
      </c>
      <c r="B2442">
        <v>4733</v>
      </c>
      <c r="C2442" t="s">
        <v>4588</v>
      </c>
      <c r="D2442" t="s">
        <v>4589</v>
      </c>
      <c r="E2442" t="s">
        <v>140</v>
      </c>
      <c r="F2442" t="s">
        <v>4590</v>
      </c>
      <c r="G2442" t="str">
        <f>"00230271"</f>
        <v>00230271</v>
      </c>
      <c r="H2442" t="s">
        <v>2301</v>
      </c>
      <c r="I2442">
        <v>0</v>
      </c>
      <c r="J2442">
        <v>0</v>
      </c>
      <c r="K2442">
        <v>0</v>
      </c>
      <c r="L2442">
        <v>0</v>
      </c>
      <c r="M2442">
        <v>0</v>
      </c>
      <c r="N2442">
        <v>30</v>
      </c>
      <c r="O2442">
        <v>0</v>
      </c>
      <c r="P2442">
        <v>0</v>
      </c>
      <c r="Q2442">
        <v>0</v>
      </c>
      <c r="R2442">
        <v>0</v>
      </c>
      <c r="S2442">
        <v>0</v>
      </c>
      <c r="T2442">
        <v>0</v>
      </c>
      <c r="U2442">
        <v>0</v>
      </c>
      <c r="V2442">
        <v>50</v>
      </c>
      <c r="W2442">
        <v>350</v>
      </c>
      <c r="X2442">
        <v>0</v>
      </c>
      <c r="Z2442">
        <v>0</v>
      </c>
      <c r="AA2442">
        <v>0</v>
      </c>
      <c r="AB2442">
        <v>0</v>
      </c>
      <c r="AC2442">
        <v>0</v>
      </c>
      <c r="AD2442" t="s">
        <v>4591</v>
      </c>
    </row>
    <row r="2443" spans="1:30" x14ac:dyDescent="0.25">
      <c r="H2443" t="s">
        <v>4592</v>
      </c>
    </row>
    <row r="2444" spans="1:30" x14ac:dyDescent="0.25">
      <c r="A2444">
        <v>1219</v>
      </c>
      <c r="B2444">
        <v>4427</v>
      </c>
      <c r="C2444" t="s">
        <v>4593</v>
      </c>
      <c r="D2444" t="s">
        <v>1289</v>
      </c>
      <c r="E2444" t="s">
        <v>107</v>
      </c>
      <c r="F2444" t="s">
        <v>4594</v>
      </c>
      <c r="G2444" t="str">
        <f>"201512001592"</f>
        <v>201512001592</v>
      </c>
      <c r="H2444" t="s">
        <v>4595</v>
      </c>
      <c r="I2444">
        <v>0</v>
      </c>
      <c r="J2444">
        <v>0</v>
      </c>
      <c r="K2444">
        <v>0</v>
      </c>
      <c r="L2444">
        <v>0</v>
      </c>
      <c r="M2444">
        <v>0</v>
      </c>
      <c r="N2444">
        <v>0</v>
      </c>
      <c r="O2444">
        <v>0</v>
      </c>
      <c r="P2444">
        <v>0</v>
      </c>
      <c r="Q2444">
        <v>0</v>
      </c>
      <c r="R2444">
        <v>0</v>
      </c>
      <c r="S2444">
        <v>0</v>
      </c>
      <c r="T2444">
        <v>0</v>
      </c>
      <c r="U2444">
        <v>0</v>
      </c>
      <c r="V2444">
        <v>84</v>
      </c>
      <c r="W2444">
        <v>588</v>
      </c>
      <c r="X2444">
        <v>0</v>
      </c>
      <c r="Z2444">
        <v>0</v>
      </c>
      <c r="AA2444">
        <v>0</v>
      </c>
      <c r="AB2444">
        <v>0</v>
      </c>
      <c r="AC2444">
        <v>0</v>
      </c>
      <c r="AD2444" t="s">
        <v>4596</v>
      </c>
    </row>
    <row r="2445" spans="1:30" x14ac:dyDescent="0.25">
      <c r="H2445" t="s">
        <v>4597</v>
      </c>
    </row>
    <row r="2446" spans="1:30" x14ac:dyDescent="0.25">
      <c r="A2446">
        <v>1220</v>
      </c>
      <c r="B2446">
        <v>3501</v>
      </c>
      <c r="C2446" t="s">
        <v>4598</v>
      </c>
      <c r="D2446" t="s">
        <v>551</v>
      </c>
      <c r="E2446" t="s">
        <v>650</v>
      </c>
      <c r="F2446" t="s">
        <v>4599</v>
      </c>
      <c r="G2446" t="str">
        <f>"00369537"</f>
        <v>00369537</v>
      </c>
      <c r="H2446" t="s">
        <v>696</v>
      </c>
      <c r="I2446">
        <v>150</v>
      </c>
      <c r="J2446">
        <v>0</v>
      </c>
      <c r="K2446">
        <v>0</v>
      </c>
      <c r="L2446">
        <v>0</v>
      </c>
      <c r="M2446">
        <v>0</v>
      </c>
      <c r="N2446">
        <v>70</v>
      </c>
      <c r="O2446">
        <v>0</v>
      </c>
      <c r="P2446">
        <v>0</v>
      </c>
      <c r="Q2446">
        <v>0</v>
      </c>
      <c r="R2446">
        <v>0</v>
      </c>
      <c r="S2446">
        <v>0</v>
      </c>
      <c r="T2446">
        <v>0</v>
      </c>
      <c r="U2446">
        <v>0</v>
      </c>
      <c r="V2446">
        <v>26</v>
      </c>
      <c r="W2446">
        <v>182</v>
      </c>
      <c r="X2446">
        <v>0</v>
      </c>
      <c r="Z2446">
        <v>0</v>
      </c>
      <c r="AA2446">
        <v>0</v>
      </c>
      <c r="AB2446">
        <v>0</v>
      </c>
      <c r="AC2446">
        <v>0</v>
      </c>
      <c r="AD2446" t="s">
        <v>4600</v>
      </c>
    </row>
    <row r="2447" spans="1:30" x14ac:dyDescent="0.25">
      <c r="H2447" t="s">
        <v>4601</v>
      </c>
    </row>
    <row r="2448" spans="1:30" x14ac:dyDescent="0.25">
      <c r="A2448">
        <v>1221</v>
      </c>
      <c r="B2448">
        <v>5886</v>
      </c>
      <c r="C2448" t="s">
        <v>4602</v>
      </c>
      <c r="D2448" t="s">
        <v>4603</v>
      </c>
      <c r="E2448" t="s">
        <v>40</v>
      </c>
      <c r="F2448" t="s">
        <v>4604</v>
      </c>
      <c r="G2448" t="str">
        <f>"00352223"</f>
        <v>00352223</v>
      </c>
      <c r="H2448" t="s">
        <v>311</v>
      </c>
      <c r="I2448">
        <v>0</v>
      </c>
      <c r="J2448">
        <v>0</v>
      </c>
      <c r="K2448">
        <v>0</v>
      </c>
      <c r="L2448">
        <v>0</v>
      </c>
      <c r="M2448">
        <v>0</v>
      </c>
      <c r="N2448">
        <v>70</v>
      </c>
      <c r="O2448">
        <v>0</v>
      </c>
      <c r="P2448">
        <v>0</v>
      </c>
      <c r="Q2448">
        <v>0</v>
      </c>
      <c r="R2448">
        <v>0</v>
      </c>
      <c r="S2448">
        <v>0</v>
      </c>
      <c r="T2448">
        <v>0</v>
      </c>
      <c r="U2448">
        <v>0</v>
      </c>
      <c r="V2448">
        <v>54</v>
      </c>
      <c r="W2448">
        <v>378</v>
      </c>
      <c r="X2448">
        <v>0</v>
      </c>
      <c r="Z2448">
        <v>0</v>
      </c>
      <c r="AA2448">
        <v>0</v>
      </c>
      <c r="AB2448">
        <v>0</v>
      </c>
      <c r="AC2448">
        <v>0</v>
      </c>
      <c r="AD2448" t="s">
        <v>4605</v>
      </c>
    </row>
    <row r="2449" spans="1:30" x14ac:dyDescent="0.25">
      <c r="H2449" t="s">
        <v>4606</v>
      </c>
    </row>
    <row r="2450" spans="1:30" x14ac:dyDescent="0.25">
      <c r="A2450">
        <v>1222</v>
      </c>
      <c r="B2450">
        <v>1477</v>
      </c>
      <c r="C2450" t="s">
        <v>4607</v>
      </c>
      <c r="D2450" t="s">
        <v>4608</v>
      </c>
      <c r="E2450" t="s">
        <v>4609</v>
      </c>
      <c r="F2450" t="s">
        <v>4610</v>
      </c>
      <c r="G2450" t="str">
        <f>"00258234"</f>
        <v>00258234</v>
      </c>
      <c r="H2450" t="s">
        <v>388</v>
      </c>
      <c r="I2450">
        <v>0</v>
      </c>
      <c r="J2450">
        <v>0</v>
      </c>
      <c r="K2450">
        <v>0</v>
      </c>
      <c r="L2450">
        <v>0</v>
      </c>
      <c r="M2450">
        <v>0</v>
      </c>
      <c r="N2450">
        <v>50</v>
      </c>
      <c r="O2450">
        <v>0</v>
      </c>
      <c r="P2450">
        <v>0</v>
      </c>
      <c r="Q2450">
        <v>0</v>
      </c>
      <c r="R2450">
        <v>0</v>
      </c>
      <c r="S2450">
        <v>0</v>
      </c>
      <c r="T2450">
        <v>0</v>
      </c>
      <c r="U2450">
        <v>0</v>
      </c>
      <c r="V2450">
        <v>61</v>
      </c>
      <c r="W2450">
        <v>427</v>
      </c>
      <c r="X2450">
        <v>0</v>
      </c>
      <c r="Z2450">
        <v>0</v>
      </c>
      <c r="AA2450">
        <v>0</v>
      </c>
      <c r="AB2450">
        <v>0</v>
      </c>
      <c r="AC2450">
        <v>0</v>
      </c>
      <c r="AD2450" t="s">
        <v>4611</v>
      </c>
    </row>
    <row r="2451" spans="1:30" x14ac:dyDescent="0.25">
      <c r="H2451" t="s">
        <v>273</v>
      </c>
    </row>
    <row r="2452" spans="1:30" x14ac:dyDescent="0.25">
      <c r="A2452">
        <v>1223</v>
      </c>
      <c r="B2452">
        <v>5607</v>
      </c>
      <c r="C2452" t="s">
        <v>4612</v>
      </c>
      <c r="D2452" t="s">
        <v>1576</v>
      </c>
      <c r="E2452" t="s">
        <v>107</v>
      </c>
      <c r="F2452" t="s">
        <v>4613</v>
      </c>
      <c r="G2452" t="str">
        <f>"00016284"</f>
        <v>00016284</v>
      </c>
      <c r="H2452">
        <v>693</v>
      </c>
      <c r="I2452">
        <v>0</v>
      </c>
      <c r="J2452">
        <v>0</v>
      </c>
      <c r="K2452">
        <v>0</v>
      </c>
      <c r="L2452">
        <v>0</v>
      </c>
      <c r="M2452">
        <v>0</v>
      </c>
      <c r="N2452">
        <v>0</v>
      </c>
      <c r="O2452">
        <v>0</v>
      </c>
      <c r="P2452">
        <v>0</v>
      </c>
      <c r="Q2452">
        <v>0</v>
      </c>
      <c r="R2452">
        <v>0</v>
      </c>
      <c r="S2452">
        <v>0</v>
      </c>
      <c r="T2452">
        <v>0</v>
      </c>
      <c r="U2452">
        <v>0</v>
      </c>
      <c r="V2452">
        <v>69</v>
      </c>
      <c r="W2452">
        <v>483</v>
      </c>
      <c r="X2452">
        <v>0</v>
      </c>
      <c r="Z2452">
        <v>0</v>
      </c>
      <c r="AA2452">
        <v>0</v>
      </c>
      <c r="AB2452">
        <v>0</v>
      </c>
      <c r="AC2452">
        <v>0</v>
      </c>
      <c r="AD2452">
        <v>1176</v>
      </c>
    </row>
    <row r="2453" spans="1:30" x14ac:dyDescent="0.25">
      <c r="H2453" t="s">
        <v>4614</v>
      </c>
    </row>
    <row r="2454" spans="1:30" x14ac:dyDescent="0.25">
      <c r="A2454">
        <v>1224</v>
      </c>
      <c r="B2454">
        <v>3067</v>
      </c>
      <c r="C2454" t="s">
        <v>2319</v>
      </c>
      <c r="D2454" t="s">
        <v>526</v>
      </c>
      <c r="E2454" t="s">
        <v>183</v>
      </c>
      <c r="F2454" t="s">
        <v>4615</v>
      </c>
      <c r="G2454" t="str">
        <f>"201511029238"</f>
        <v>201511029238</v>
      </c>
      <c r="H2454" t="s">
        <v>735</v>
      </c>
      <c r="I2454">
        <v>0</v>
      </c>
      <c r="J2454">
        <v>0</v>
      </c>
      <c r="K2454">
        <v>0</v>
      </c>
      <c r="L2454">
        <v>0</v>
      </c>
      <c r="M2454">
        <v>0</v>
      </c>
      <c r="N2454">
        <v>0</v>
      </c>
      <c r="O2454">
        <v>0</v>
      </c>
      <c r="P2454">
        <v>0</v>
      </c>
      <c r="Q2454">
        <v>0</v>
      </c>
      <c r="R2454">
        <v>0</v>
      </c>
      <c r="S2454">
        <v>0</v>
      </c>
      <c r="T2454">
        <v>0</v>
      </c>
      <c r="U2454">
        <v>0</v>
      </c>
      <c r="V2454">
        <v>51</v>
      </c>
      <c r="W2454">
        <v>357</v>
      </c>
      <c r="X2454">
        <v>0</v>
      </c>
      <c r="Z2454">
        <v>2</v>
      </c>
      <c r="AA2454">
        <v>0</v>
      </c>
      <c r="AB2454">
        <v>0</v>
      </c>
      <c r="AC2454">
        <v>0</v>
      </c>
      <c r="AD2454" t="s">
        <v>4616</v>
      </c>
    </row>
    <row r="2455" spans="1:30" x14ac:dyDescent="0.25">
      <c r="H2455" t="s">
        <v>4617</v>
      </c>
    </row>
    <row r="2456" spans="1:30" x14ac:dyDescent="0.25">
      <c r="A2456">
        <v>1225</v>
      </c>
      <c r="B2456">
        <v>1125</v>
      </c>
      <c r="C2456" t="s">
        <v>4618</v>
      </c>
      <c r="D2456" t="s">
        <v>4619</v>
      </c>
      <c r="E2456" t="s">
        <v>4620</v>
      </c>
      <c r="F2456" t="s">
        <v>4621</v>
      </c>
      <c r="G2456" t="str">
        <f>"00285128"</f>
        <v>00285128</v>
      </c>
      <c r="H2456" t="s">
        <v>1572</v>
      </c>
      <c r="I2456">
        <v>0</v>
      </c>
      <c r="J2456">
        <v>0</v>
      </c>
      <c r="K2456">
        <v>0</v>
      </c>
      <c r="L2456">
        <v>0</v>
      </c>
      <c r="M2456">
        <v>0</v>
      </c>
      <c r="N2456">
        <v>30</v>
      </c>
      <c r="O2456">
        <v>0</v>
      </c>
      <c r="P2456">
        <v>0</v>
      </c>
      <c r="Q2456">
        <v>0</v>
      </c>
      <c r="R2456">
        <v>0</v>
      </c>
      <c r="S2456">
        <v>0</v>
      </c>
      <c r="T2456">
        <v>0</v>
      </c>
      <c r="U2456">
        <v>0</v>
      </c>
      <c r="V2456">
        <v>10</v>
      </c>
      <c r="W2456">
        <v>70</v>
      </c>
      <c r="X2456">
        <v>0</v>
      </c>
      <c r="Z2456">
        <v>0</v>
      </c>
      <c r="AA2456">
        <v>0</v>
      </c>
      <c r="AB2456">
        <v>21</v>
      </c>
      <c r="AC2456">
        <v>357</v>
      </c>
      <c r="AD2456" t="s">
        <v>4622</v>
      </c>
    </row>
    <row r="2457" spans="1:30" x14ac:dyDescent="0.25">
      <c r="H2457" t="s">
        <v>4623</v>
      </c>
    </row>
    <row r="2458" spans="1:30" x14ac:dyDescent="0.25">
      <c r="A2458">
        <v>1226</v>
      </c>
      <c r="B2458">
        <v>2851</v>
      </c>
      <c r="C2458" t="s">
        <v>4624</v>
      </c>
      <c r="D2458" t="s">
        <v>39</v>
      </c>
      <c r="E2458" t="s">
        <v>51</v>
      </c>
      <c r="F2458" t="s">
        <v>4625</v>
      </c>
      <c r="G2458" t="str">
        <f>"200806000407"</f>
        <v>200806000407</v>
      </c>
      <c r="H2458">
        <v>627</v>
      </c>
      <c r="I2458">
        <v>150</v>
      </c>
      <c r="J2458">
        <v>0</v>
      </c>
      <c r="K2458">
        <v>0</v>
      </c>
      <c r="L2458">
        <v>200</v>
      </c>
      <c r="M2458">
        <v>0</v>
      </c>
      <c r="N2458">
        <v>30</v>
      </c>
      <c r="O2458">
        <v>0</v>
      </c>
      <c r="P2458">
        <v>0</v>
      </c>
      <c r="Q2458">
        <v>0</v>
      </c>
      <c r="R2458">
        <v>0</v>
      </c>
      <c r="S2458">
        <v>0</v>
      </c>
      <c r="T2458">
        <v>0</v>
      </c>
      <c r="U2458">
        <v>0</v>
      </c>
      <c r="V2458">
        <v>24</v>
      </c>
      <c r="W2458">
        <v>168</v>
      </c>
      <c r="X2458">
        <v>0</v>
      </c>
      <c r="Z2458">
        <v>0</v>
      </c>
      <c r="AA2458">
        <v>0</v>
      </c>
      <c r="AB2458">
        <v>0</v>
      </c>
      <c r="AC2458">
        <v>0</v>
      </c>
      <c r="AD2458">
        <v>1175</v>
      </c>
    </row>
    <row r="2459" spans="1:30" x14ac:dyDescent="0.25">
      <c r="H2459" t="s">
        <v>4626</v>
      </c>
    </row>
    <row r="2460" spans="1:30" x14ac:dyDescent="0.25">
      <c r="A2460">
        <v>1227</v>
      </c>
      <c r="B2460">
        <v>1853</v>
      </c>
      <c r="C2460" t="s">
        <v>2725</v>
      </c>
      <c r="D2460" t="s">
        <v>420</v>
      </c>
      <c r="E2460" t="s">
        <v>115</v>
      </c>
      <c r="F2460" t="s">
        <v>4627</v>
      </c>
      <c r="G2460" t="str">
        <f>"00229389"</f>
        <v>00229389</v>
      </c>
      <c r="H2460" t="s">
        <v>178</v>
      </c>
      <c r="I2460">
        <v>0</v>
      </c>
      <c r="J2460">
        <v>0</v>
      </c>
      <c r="K2460">
        <v>0</v>
      </c>
      <c r="L2460">
        <v>0</v>
      </c>
      <c r="M2460">
        <v>0</v>
      </c>
      <c r="N2460">
        <v>30</v>
      </c>
      <c r="O2460">
        <v>0</v>
      </c>
      <c r="P2460">
        <v>0</v>
      </c>
      <c r="Q2460">
        <v>0</v>
      </c>
      <c r="R2460">
        <v>0</v>
      </c>
      <c r="S2460">
        <v>0</v>
      </c>
      <c r="T2460">
        <v>0</v>
      </c>
      <c r="U2460">
        <v>0</v>
      </c>
      <c r="V2460">
        <v>35</v>
      </c>
      <c r="W2460">
        <v>245</v>
      </c>
      <c r="X2460">
        <v>0</v>
      </c>
      <c r="Z2460">
        <v>0</v>
      </c>
      <c r="AA2460">
        <v>0</v>
      </c>
      <c r="AB2460">
        <v>0</v>
      </c>
      <c r="AC2460">
        <v>0</v>
      </c>
      <c r="AD2460" t="s">
        <v>4628</v>
      </c>
    </row>
    <row r="2461" spans="1:30" x14ac:dyDescent="0.25">
      <c r="H2461" t="s">
        <v>4629</v>
      </c>
    </row>
    <row r="2462" spans="1:30" x14ac:dyDescent="0.25">
      <c r="A2462">
        <v>1228</v>
      </c>
      <c r="B2462">
        <v>2252</v>
      </c>
      <c r="C2462" t="s">
        <v>4630</v>
      </c>
      <c r="D2462" t="s">
        <v>1269</v>
      </c>
      <c r="E2462" t="s">
        <v>290</v>
      </c>
      <c r="F2462" t="s">
        <v>4631</v>
      </c>
      <c r="G2462" t="str">
        <f>"200712000747"</f>
        <v>200712000747</v>
      </c>
      <c r="H2462">
        <v>759</v>
      </c>
      <c r="I2462">
        <v>0</v>
      </c>
      <c r="J2462">
        <v>0</v>
      </c>
      <c r="K2462">
        <v>0</v>
      </c>
      <c r="L2462">
        <v>0</v>
      </c>
      <c r="M2462">
        <v>0</v>
      </c>
      <c r="N2462">
        <v>70</v>
      </c>
      <c r="O2462">
        <v>0</v>
      </c>
      <c r="P2462">
        <v>0</v>
      </c>
      <c r="Q2462">
        <v>30</v>
      </c>
      <c r="R2462">
        <v>0</v>
      </c>
      <c r="S2462">
        <v>0</v>
      </c>
      <c r="T2462">
        <v>0</v>
      </c>
      <c r="U2462">
        <v>0</v>
      </c>
      <c r="V2462">
        <v>45</v>
      </c>
      <c r="W2462">
        <v>315</v>
      </c>
      <c r="X2462">
        <v>0</v>
      </c>
      <c r="Z2462">
        <v>0</v>
      </c>
      <c r="AA2462">
        <v>0</v>
      </c>
      <c r="AB2462">
        <v>0</v>
      </c>
      <c r="AC2462">
        <v>0</v>
      </c>
      <c r="AD2462">
        <v>1174</v>
      </c>
    </row>
    <row r="2463" spans="1:30" x14ac:dyDescent="0.25">
      <c r="H2463" t="s">
        <v>4632</v>
      </c>
    </row>
    <row r="2464" spans="1:30" x14ac:dyDescent="0.25">
      <c r="A2464">
        <v>1229</v>
      </c>
      <c r="B2464">
        <v>1739</v>
      </c>
      <c r="C2464" t="s">
        <v>4633</v>
      </c>
      <c r="D2464" t="s">
        <v>183</v>
      </c>
      <c r="E2464" t="s">
        <v>495</v>
      </c>
      <c r="F2464" t="s">
        <v>4634</v>
      </c>
      <c r="G2464" t="str">
        <f>"00247827"</f>
        <v>00247827</v>
      </c>
      <c r="H2464" t="s">
        <v>65</v>
      </c>
      <c r="I2464">
        <v>0</v>
      </c>
      <c r="J2464">
        <v>0</v>
      </c>
      <c r="K2464">
        <v>0</v>
      </c>
      <c r="L2464">
        <v>200</v>
      </c>
      <c r="M2464">
        <v>0</v>
      </c>
      <c r="N2464">
        <v>70</v>
      </c>
      <c r="O2464">
        <v>0</v>
      </c>
      <c r="P2464">
        <v>0</v>
      </c>
      <c r="Q2464">
        <v>0</v>
      </c>
      <c r="R2464">
        <v>0</v>
      </c>
      <c r="S2464">
        <v>0</v>
      </c>
      <c r="T2464">
        <v>0</v>
      </c>
      <c r="U2464">
        <v>0</v>
      </c>
      <c r="V2464">
        <v>0</v>
      </c>
      <c r="W2464">
        <v>0</v>
      </c>
      <c r="X2464">
        <v>0</v>
      </c>
      <c r="Z2464">
        <v>0</v>
      </c>
      <c r="AA2464">
        <v>0</v>
      </c>
      <c r="AB2464">
        <v>0</v>
      </c>
      <c r="AC2464">
        <v>0</v>
      </c>
      <c r="AD2464" t="s">
        <v>4635</v>
      </c>
    </row>
    <row r="2465" spans="1:30" x14ac:dyDescent="0.25">
      <c r="H2465" t="s">
        <v>4636</v>
      </c>
    </row>
    <row r="2466" spans="1:30" x14ac:dyDescent="0.25">
      <c r="A2466">
        <v>1230</v>
      </c>
      <c r="B2466">
        <v>5880</v>
      </c>
      <c r="C2466" t="s">
        <v>1274</v>
      </c>
      <c r="D2466" t="s">
        <v>3226</v>
      </c>
      <c r="E2466" t="s">
        <v>4637</v>
      </c>
      <c r="F2466" t="s">
        <v>4638</v>
      </c>
      <c r="G2466" t="str">
        <f>"00247876"</f>
        <v>00247876</v>
      </c>
      <c r="H2466">
        <v>704</v>
      </c>
      <c r="I2466">
        <v>0</v>
      </c>
      <c r="J2466">
        <v>0</v>
      </c>
      <c r="K2466">
        <v>0</v>
      </c>
      <c r="L2466">
        <v>0</v>
      </c>
      <c r="M2466">
        <v>0</v>
      </c>
      <c r="N2466">
        <v>0</v>
      </c>
      <c r="O2466">
        <v>0</v>
      </c>
      <c r="P2466">
        <v>0</v>
      </c>
      <c r="Q2466">
        <v>0</v>
      </c>
      <c r="R2466">
        <v>0</v>
      </c>
      <c r="S2466">
        <v>0</v>
      </c>
      <c r="T2466">
        <v>0</v>
      </c>
      <c r="U2466">
        <v>0</v>
      </c>
      <c r="V2466">
        <v>67</v>
      </c>
      <c r="W2466">
        <v>469</v>
      </c>
      <c r="X2466">
        <v>0</v>
      </c>
      <c r="Z2466">
        <v>0</v>
      </c>
      <c r="AA2466">
        <v>0</v>
      </c>
      <c r="AB2466">
        <v>0</v>
      </c>
      <c r="AC2466">
        <v>0</v>
      </c>
      <c r="AD2466">
        <v>1173</v>
      </c>
    </row>
    <row r="2467" spans="1:30" x14ac:dyDescent="0.25">
      <c r="H2467" t="s">
        <v>4639</v>
      </c>
    </row>
    <row r="2468" spans="1:30" x14ac:dyDescent="0.25">
      <c r="A2468">
        <v>1231</v>
      </c>
      <c r="B2468">
        <v>3673</v>
      </c>
      <c r="C2468" t="s">
        <v>4640</v>
      </c>
      <c r="D2468" t="s">
        <v>1039</v>
      </c>
      <c r="E2468" t="s">
        <v>39</v>
      </c>
      <c r="F2468" t="s">
        <v>4641</v>
      </c>
      <c r="G2468" t="str">
        <f>"201604002449"</f>
        <v>201604002449</v>
      </c>
      <c r="H2468" t="s">
        <v>422</v>
      </c>
      <c r="I2468">
        <v>0</v>
      </c>
      <c r="J2468">
        <v>0</v>
      </c>
      <c r="K2468">
        <v>0</v>
      </c>
      <c r="L2468">
        <v>200</v>
      </c>
      <c r="M2468">
        <v>30</v>
      </c>
      <c r="N2468">
        <v>30</v>
      </c>
      <c r="O2468">
        <v>0</v>
      </c>
      <c r="P2468">
        <v>0</v>
      </c>
      <c r="Q2468">
        <v>0</v>
      </c>
      <c r="R2468">
        <v>0</v>
      </c>
      <c r="S2468">
        <v>0</v>
      </c>
      <c r="T2468">
        <v>0</v>
      </c>
      <c r="U2468">
        <v>0</v>
      </c>
      <c r="V2468">
        <v>32</v>
      </c>
      <c r="W2468">
        <v>224</v>
      </c>
      <c r="X2468">
        <v>0</v>
      </c>
      <c r="Z2468">
        <v>2</v>
      </c>
      <c r="AA2468">
        <v>0</v>
      </c>
      <c r="AB2468">
        <v>0</v>
      </c>
      <c r="AC2468">
        <v>0</v>
      </c>
      <c r="AD2468" t="s">
        <v>4642</v>
      </c>
    </row>
    <row r="2469" spans="1:30" x14ac:dyDescent="0.25">
      <c r="H2469" t="s">
        <v>4643</v>
      </c>
    </row>
    <row r="2470" spans="1:30" x14ac:dyDescent="0.25">
      <c r="A2470">
        <v>1232</v>
      </c>
      <c r="B2470">
        <v>6294</v>
      </c>
      <c r="C2470" t="s">
        <v>4644</v>
      </c>
      <c r="D2470" t="s">
        <v>4645</v>
      </c>
      <c r="E2470" t="s">
        <v>33</v>
      </c>
      <c r="F2470" t="s">
        <v>4646</v>
      </c>
      <c r="G2470" t="str">
        <f>"00190621"</f>
        <v>00190621</v>
      </c>
      <c r="H2470" t="s">
        <v>2325</v>
      </c>
      <c r="I2470">
        <v>0</v>
      </c>
      <c r="J2470">
        <v>0</v>
      </c>
      <c r="K2470">
        <v>0</v>
      </c>
      <c r="L2470">
        <v>200</v>
      </c>
      <c r="M2470">
        <v>0</v>
      </c>
      <c r="N2470">
        <v>70</v>
      </c>
      <c r="O2470">
        <v>30</v>
      </c>
      <c r="P2470">
        <v>0</v>
      </c>
      <c r="Q2470">
        <v>0</v>
      </c>
      <c r="R2470">
        <v>0</v>
      </c>
      <c r="S2470">
        <v>0</v>
      </c>
      <c r="T2470">
        <v>0</v>
      </c>
      <c r="U2470">
        <v>0</v>
      </c>
      <c r="V2470">
        <v>17</v>
      </c>
      <c r="W2470">
        <v>119</v>
      </c>
      <c r="X2470">
        <v>0</v>
      </c>
      <c r="Z2470">
        <v>1</v>
      </c>
      <c r="AA2470">
        <v>0</v>
      </c>
      <c r="AB2470">
        <v>0</v>
      </c>
      <c r="AC2470">
        <v>0</v>
      </c>
      <c r="AD2470" t="s">
        <v>4647</v>
      </c>
    </row>
    <row r="2471" spans="1:30" x14ac:dyDescent="0.25">
      <c r="H2471" t="s">
        <v>4648</v>
      </c>
    </row>
    <row r="2472" spans="1:30" x14ac:dyDescent="0.25">
      <c r="A2472">
        <v>1233</v>
      </c>
      <c r="B2472">
        <v>1396</v>
      </c>
      <c r="C2472" t="s">
        <v>4649</v>
      </c>
      <c r="D2472" t="s">
        <v>183</v>
      </c>
      <c r="E2472" t="s">
        <v>87</v>
      </c>
      <c r="F2472" t="s">
        <v>4650</v>
      </c>
      <c r="G2472" t="str">
        <f>"201504000936"</f>
        <v>201504000936</v>
      </c>
      <c r="H2472" t="s">
        <v>82</v>
      </c>
      <c r="I2472">
        <v>0</v>
      </c>
      <c r="J2472">
        <v>0</v>
      </c>
      <c r="K2472">
        <v>0</v>
      </c>
      <c r="L2472">
        <v>0</v>
      </c>
      <c r="M2472">
        <v>0</v>
      </c>
      <c r="N2472">
        <v>30</v>
      </c>
      <c r="O2472">
        <v>0</v>
      </c>
      <c r="P2472">
        <v>0</v>
      </c>
      <c r="Q2472">
        <v>0</v>
      </c>
      <c r="R2472">
        <v>0</v>
      </c>
      <c r="S2472">
        <v>0</v>
      </c>
      <c r="T2472">
        <v>0</v>
      </c>
      <c r="U2472">
        <v>0</v>
      </c>
      <c r="V2472">
        <v>34</v>
      </c>
      <c r="W2472">
        <v>238</v>
      </c>
      <c r="X2472">
        <v>0</v>
      </c>
      <c r="Z2472">
        <v>0</v>
      </c>
      <c r="AA2472">
        <v>0</v>
      </c>
      <c r="AB2472">
        <v>0</v>
      </c>
      <c r="AC2472">
        <v>0</v>
      </c>
      <c r="AD2472" t="s">
        <v>4651</v>
      </c>
    </row>
    <row r="2473" spans="1:30" x14ac:dyDescent="0.25">
      <c r="H2473" t="s">
        <v>4652</v>
      </c>
    </row>
    <row r="2474" spans="1:30" x14ac:dyDescent="0.25">
      <c r="A2474">
        <v>1234</v>
      </c>
      <c r="B2474">
        <v>3112</v>
      </c>
      <c r="C2474" t="s">
        <v>1960</v>
      </c>
      <c r="D2474" t="s">
        <v>661</v>
      </c>
      <c r="E2474" t="s">
        <v>151</v>
      </c>
      <c r="F2474" t="s">
        <v>4653</v>
      </c>
      <c r="G2474" t="str">
        <f>"00195951"</f>
        <v>00195951</v>
      </c>
      <c r="H2474" t="s">
        <v>754</v>
      </c>
      <c r="I2474">
        <v>0</v>
      </c>
      <c r="J2474">
        <v>0</v>
      </c>
      <c r="K2474">
        <v>0</v>
      </c>
      <c r="L2474">
        <v>0</v>
      </c>
      <c r="M2474">
        <v>0</v>
      </c>
      <c r="N2474">
        <v>0</v>
      </c>
      <c r="O2474">
        <v>0</v>
      </c>
      <c r="P2474">
        <v>0</v>
      </c>
      <c r="Q2474">
        <v>0</v>
      </c>
      <c r="R2474">
        <v>0</v>
      </c>
      <c r="S2474">
        <v>0</v>
      </c>
      <c r="T2474">
        <v>0</v>
      </c>
      <c r="U2474">
        <v>0</v>
      </c>
      <c r="V2474">
        <v>64</v>
      </c>
      <c r="W2474">
        <v>448</v>
      </c>
      <c r="X2474">
        <v>0</v>
      </c>
      <c r="Z2474">
        <v>1</v>
      </c>
      <c r="AA2474">
        <v>0</v>
      </c>
      <c r="AB2474">
        <v>0</v>
      </c>
      <c r="AC2474">
        <v>0</v>
      </c>
      <c r="AD2474" t="s">
        <v>4654</v>
      </c>
    </row>
    <row r="2475" spans="1:30" x14ac:dyDescent="0.25">
      <c r="H2475" t="s">
        <v>4655</v>
      </c>
    </row>
    <row r="2476" spans="1:30" x14ac:dyDescent="0.25">
      <c r="A2476">
        <v>1235</v>
      </c>
      <c r="B2476">
        <v>3661</v>
      </c>
      <c r="C2476" t="s">
        <v>4656</v>
      </c>
      <c r="D2476" t="s">
        <v>636</v>
      </c>
      <c r="E2476" t="s">
        <v>162</v>
      </c>
      <c r="F2476" t="s">
        <v>4657</v>
      </c>
      <c r="G2476" t="str">
        <f>"201406003397"</f>
        <v>201406003397</v>
      </c>
      <c r="H2476">
        <v>616</v>
      </c>
      <c r="I2476">
        <v>0</v>
      </c>
      <c r="J2476">
        <v>0</v>
      </c>
      <c r="K2476">
        <v>0</v>
      </c>
      <c r="L2476">
        <v>0</v>
      </c>
      <c r="M2476">
        <v>0</v>
      </c>
      <c r="N2476">
        <v>30</v>
      </c>
      <c r="O2476">
        <v>0</v>
      </c>
      <c r="P2476">
        <v>0</v>
      </c>
      <c r="Q2476">
        <v>0</v>
      </c>
      <c r="R2476">
        <v>0</v>
      </c>
      <c r="S2476">
        <v>0</v>
      </c>
      <c r="T2476">
        <v>0</v>
      </c>
      <c r="U2476">
        <v>0</v>
      </c>
      <c r="V2476">
        <v>75</v>
      </c>
      <c r="W2476">
        <v>525</v>
      </c>
      <c r="X2476">
        <v>0</v>
      </c>
      <c r="Z2476">
        <v>0</v>
      </c>
      <c r="AA2476">
        <v>0</v>
      </c>
      <c r="AB2476">
        <v>0</v>
      </c>
      <c r="AC2476">
        <v>0</v>
      </c>
      <c r="AD2476">
        <v>1171</v>
      </c>
    </row>
    <row r="2477" spans="1:30" x14ac:dyDescent="0.25">
      <c r="H2477" t="s">
        <v>1697</v>
      </c>
    </row>
    <row r="2478" spans="1:30" x14ac:dyDescent="0.25">
      <c r="A2478">
        <v>1236</v>
      </c>
      <c r="B2478">
        <v>2679</v>
      </c>
      <c r="C2478" t="s">
        <v>4658</v>
      </c>
      <c r="D2478" t="s">
        <v>86</v>
      </c>
      <c r="E2478" t="s">
        <v>107</v>
      </c>
      <c r="F2478" t="s">
        <v>4659</v>
      </c>
      <c r="G2478" t="str">
        <f>"201406000450"</f>
        <v>201406000450</v>
      </c>
      <c r="H2478" t="s">
        <v>1806</v>
      </c>
      <c r="I2478">
        <v>0</v>
      </c>
      <c r="J2478">
        <v>0</v>
      </c>
      <c r="K2478">
        <v>0</v>
      </c>
      <c r="L2478">
        <v>0</v>
      </c>
      <c r="M2478">
        <v>0</v>
      </c>
      <c r="N2478">
        <v>50</v>
      </c>
      <c r="O2478">
        <v>0</v>
      </c>
      <c r="P2478">
        <v>0</v>
      </c>
      <c r="Q2478">
        <v>0</v>
      </c>
      <c r="R2478">
        <v>0</v>
      </c>
      <c r="S2478">
        <v>0</v>
      </c>
      <c r="T2478">
        <v>0</v>
      </c>
      <c r="U2478">
        <v>0</v>
      </c>
      <c r="V2478">
        <v>54</v>
      </c>
      <c r="W2478">
        <v>378</v>
      </c>
      <c r="X2478">
        <v>6</v>
      </c>
      <c r="Y2478">
        <v>1251</v>
      </c>
      <c r="Z2478">
        <v>0</v>
      </c>
      <c r="AA2478">
        <v>0</v>
      </c>
      <c r="AB2478">
        <v>0</v>
      </c>
      <c r="AC2478">
        <v>0</v>
      </c>
      <c r="AD2478" t="s">
        <v>4660</v>
      </c>
    </row>
    <row r="2479" spans="1:30" x14ac:dyDescent="0.25">
      <c r="H2479" t="s">
        <v>4661</v>
      </c>
    </row>
    <row r="2480" spans="1:30" x14ac:dyDescent="0.25">
      <c r="A2480">
        <v>1237</v>
      </c>
      <c r="B2480">
        <v>2679</v>
      </c>
      <c r="C2480" t="s">
        <v>4658</v>
      </c>
      <c r="D2480" t="s">
        <v>86</v>
      </c>
      <c r="E2480" t="s">
        <v>107</v>
      </c>
      <c r="F2480" t="s">
        <v>4659</v>
      </c>
      <c r="G2480" t="str">
        <f>"201406000450"</f>
        <v>201406000450</v>
      </c>
      <c r="H2480" t="s">
        <v>1806</v>
      </c>
      <c r="I2480">
        <v>0</v>
      </c>
      <c r="J2480">
        <v>0</v>
      </c>
      <c r="K2480">
        <v>0</v>
      </c>
      <c r="L2480">
        <v>0</v>
      </c>
      <c r="M2480">
        <v>0</v>
      </c>
      <c r="N2480">
        <v>50</v>
      </c>
      <c r="O2480">
        <v>0</v>
      </c>
      <c r="P2480">
        <v>0</v>
      </c>
      <c r="Q2480">
        <v>0</v>
      </c>
      <c r="R2480">
        <v>0</v>
      </c>
      <c r="S2480">
        <v>0</v>
      </c>
      <c r="T2480">
        <v>0</v>
      </c>
      <c r="U2480">
        <v>0</v>
      </c>
      <c r="V2480">
        <v>54</v>
      </c>
      <c r="W2480">
        <v>378</v>
      </c>
      <c r="X2480">
        <v>0</v>
      </c>
      <c r="Z2480">
        <v>0</v>
      </c>
      <c r="AA2480">
        <v>0</v>
      </c>
      <c r="AB2480">
        <v>0</v>
      </c>
      <c r="AC2480">
        <v>0</v>
      </c>
      <c r="AD2480" t="s">
        <v>4660</v>
      </c>
    </row>
    <row r="2481" spans="1:30" x14ac:dyDescent="0.25">
      <c r="H2481" t="s">
        <v>4661</v>
      </c>
    </row>
    <row r="2482" spans="1:30" x14ac:dyDescent="0.25">
      <c r="A2482">
        <v>1238</v>
      </c>
      <c r="B2482">
        <v>2698</v>
      </c>
      <c r="C2482" t="s">
        <v>4662</v>
      </c>
      <c r="D2482" t="s">
        <v>547</v>
      </c>
      <c r="E2482" t="s">
        <v>151</v>
      </c>
      <c r="F2482" t="s">
        <v>4663</v>
      </c>
      <c r="G2482" t="str">
        <f>"201505000486"</f>
        <v>201505000486</v>
      </c>
      <c r="H2482" t="s">
        <v>1315</v>
      </c>
      <c r="I2482">
        <v>0</v>
      </c>
      <c r="J2482">
        <v>0</v>
      </c>
      <c r="K2482">
        <v>0</v>
      </c>
      <c r="L2482">
        <v>0</v>
      </c>
      <c r="M2482">
        <v>0</v>
      </c>
      <c r="N2482">
        <v>30</v>
      </c>
      <c r="O2482">
        <v>0</v>
      </c>
      <c r="P2482">
        <v>0</v>
      </c>
      <c r="Q2482">
        <v>0</v>
      </c>
      <c r="R2482">
        <v>0</v>
      </c>
      <c r="S2482">
        <v>0</v>
      </c>
      <c r="T2482">
        <v>0</v>
      </c>
      <c r="U2482">
        <v>0</v>
      </c>
      <c r="V2482">
        <v>63</v>
      </c>
      <c r="W2482">
        <v>441</v>
      </c>
      <c r="X2482">
        <v>0</v>
      </c>
      <c r="Z2482">
        <v>0</v>
      </c>
      <c r="AA2482">
        <v>0</v>
      </c>
      <c r="AB2482">
        <v>0</v>
      </c>
      <c r="AC2482">
        <v>0</v>
      </c>
      <c r="AD2482" t="s">
        <v>4664</v>
      </c>
    </row>
    <row r="2483" spans="1:30" x14ac:dyDescent="0.25">
      <c r="H2483" t="s">
        <v>4665</v>
      </c>
    </row>
    <row r="2484" spans="1:30" x14ac:dyDescent="0.25">
      <c r="A2484">
        <v>1239</v>
      </c>
      <c r="B2484">
        <v>6138</v>
      </c>
      <c r="C2484" t="s">
        <v>4666</v>
      </c>
      <c r="D2484" t="s">
        <v>51</v>
      </c>
      <c r="E2484" t="s">
        <v>47</v>
      </c>
      <c r="F2484" t="s">
        <v>4667</v>
      </c>
      <c r="G2484" t="str">
        <f>"201504004314"</f>
        <v>201504004314</v>
      </c>
      <c r="H2484">
        <v>693</v>
      </c>
      <c r="I2484">
        <v>150</v>
      </c>
      <c r="J2484">
        <v>0</v>
      </c>
      <c r="K2484">
        <v>0</v>
      </c>
      <c r="L2484">
        <v>200</v>
      </c>
      <c r="M2484">
        <v>0</v>
      </c>
      <c r="N2484">
        <v>0</v>
      </c>
      <c r="O2484">
        <v>0</v>
      </c>
      <c r="P2484">
        <v>0</v>
      </c>
      <c r="Q2484">
        <v>0</v>
      </c>
      <c r="R2484">
        <v>0</v>
      </c>
      <c r="S2484">
        <v>0</v>
      </c>
      <c r="T2484">
        <v>0</v>
      </c>
      <c r="U2484">
        <v>0</v>
      </c>
      <c r="V2484">
        <v>18</v>
      </c>
      <c r="W2484">
        <v>126</v>
      </c>
      <c r="X2484">
        <v>0</v>
      </c>
      <c r="Z2484">
        <v>0</v>
      </c>
      <c r="AA2484">
        <v>0</v>
      </c>
      <c r="AB2484">
        <v>0</v>
      </c>
      <c r="AC2484">
        <v>0</v>
      </c>
      <c r="AD2484">
        <v>1169</v>
      </c>
    </row>
    <row r="2485" spans="1:30" x14ac:dyDescent="0.25">
      <c r="H2485" t="s">
        <v>273</v>
      </c>
    </row>
    <row r="2486" spans="1:30" x14ac:dyDescent="0.25">
      <c r="A2486">
        <v>1240</v>
      </c>
      <c r="B2486">
        <v>2910</v>
      </c>
      <c r="C2486" t="s">
        <v>4668</v>
      </c>
      <c r="D2486" t="s">
        <v>681</v>
      </c>
      <c r="E2486" t="s">
        <v>140</v>
      </c>
      <c r="F2486" t="s">
        <v>4669</v>
      </c>
      <c r="G2486" t="str">
        <f>"201406003542"</f>
        <v>201406003542</v>
      </c>
      <c r="H2486" t="s">
        <v>933</v>
      </c>
      <c r="I2486">
        <v>0</v>
      </c>
      <c r="J2486">
        <v>0</v>
      </c>
      <c r="K2486">
        <v>0</v>
      </c>
      <c r="L2486">
        <v>0</v>
      </c>
      <c r="M2486">
        <v>0</v>
      </c>
      <c r="N2486">
        <v>30</v>
      </c>
      <c r="O2486">
        <v>0</v>
      </c>
      <c r="P2486">
        <v>0</v>
      </c>
      <c r="Q2486">
        <v>0</v>
      </c>
      <c r="R2486">
        <v>0</v>
      </c>
      <c r="S2486">
        <v>0</v>
      </c>
      <c r="T2486">
        <v>0</v>
      </c>
      <c r="U2486">
        <v>0</v>
      </c>
      <c r="V2486">
        <v>60</v>
      </c>
      <c r="W2486">
        <v>420</v>
      </c>
      <c r="X2486">
        <v>0</v>
      </c>
      <c r="Z2486">
        <v>0</v>
      </c>
      <c r="AA2486">
        <v>0</v>
      </c>
      <c r="AB2486">
        <v>0</v>
      </c>
      <c r="AC2486">
        <v>0</v>
      </c>
      <c r="AD2486" t="s">
        <v>4670</v>
      </c>
    </row>
    <row r="2487" spans="1:30" x14ac:dyDescent="0.25">
      <c r="H2487" t="s">
        <v>4671</v>
      </c>
    </row>
    <row r="2488" spans="1:30" x14ac:dyDescent="0.25">
      <c r="A2488">
        <v>1241</v>
      </c>
      <c r="B2488">
        <v>6141</v>
      </c>
      <c r="C2488" t="s">
        <v>4672</v>
      </c>
      <c r="D2488" t="s">
        <v>144</v>
      </c>
      <c r="E2488" t="s">
        <v>108</v>
      </c>
      <c r="F2488" t="s">
        <v>4673</v>
      </c>
      <c r="G2488" t="str">
        <f>"00225250"</f>
        <v>00225250</v>
      </c>
      <c r="H2488" t="s">
        <v>1345</v>
      </c>
      <c r="I2488">
        <v>150</v>
      </c>
      <c r="J2488">
        <v>0</v>
      </c>
      <c r="K2488">
        <v>0</v>
      </c>
      <c r="L2488">
        <v>200</v>
      </c>
      <c r="M2488">
        <v>0</v>
      </c>
      <c r="N2488">
        <v>70</v>
      </c>
      <c r="O2488">
        <v>0</v>
      </c>
      <c r="P2488">
        <v>0</v>
      </c>
      <c r="Q2488">
        <v>0</v>
      </c>
      <c r="R2488">
        <v>0</v>
      </c>
      <c r="S2488">
        <v>0</v>
      </c>
      <c r="T2488">
        <v>0</v>
      </c>
      <c r="U2488">
        <v>0</v>
      </c>
      <c r="V2488">
        <v>0</v>
      </c>
      <c r="W2488">
        <v>0</v>
      </c>
      <c r="X2488">
        <v>0</v>
      </c>
      <c r="Z2488">
        <v>0</v>
      </c>
      <c r="AA2488">
        <v>0</v>
      </c>
      <c r="AB2488">
        <v>0</v>
      </c>
      <c r="AC2488">
        <v>0</v>
      </c>
      <c r="AD2488" t="s">
        <v>4674</v>
      </c>
    </row>
    <row r="2489" spans="1:30" x14ac:dyDescent="0.25">
      <c r="H2489" t="s">
        <v>4675</v>
      </c>
    </row>
    <row r="2490" spans="1:30" x14ac:dyDescent="0.25">
      <c r="A2490">
        <v>1242</v>
      </c>
      <c r="B2490">
        <v>5958</v>
      </c>
      <c r="C2490" t="s">
        <v>467</v>
      </c>
      <c r="D2490" t="s">
        <v>1552</v>
      </c>
      <c r="E2490" t="s">
        <v>91</v>
      </c>
      <c r="F2490" t="s">
        <v>4676</v>
      </c>
      <c r="G2490" t="str">
        <f>"00158418"</f>
        <v>00158418</v>
      </c>
      <c r="H2490">
        <v>715</v>
      </c>
      <c r="I2490">
        <v>0</v>
      </c>
      <c r="J2490">
        <v>0</v>
      </c>
      <c r="K2490">
        <v>0</v>
      </c>
      <c r="L2490">
        <v>0</v>
      </c>
      <c r="M2490">
        <v>0</v>
      </c>
      <c r="N2490">
        <v>30</v>
      </c>
      <c r="O2490">
        <v>0</v>
      </c>
      <c r="P2490">
        <v>0</v>
      </c>
      <c r="Q2490">
        <v>0</v>
      </c>
      <c r="R2490">
        <v>0</v>
      </c>
      <c r="S2490">
        <v>0</v>
      </c>
      <c r="T2490">
        <v>0</v>
      </c>
      <c r="U2490">
        <v>0</v>
      </c>
      <c r="V2490">
        <v>60</v>
      </c>
      <c r="W2490">
        <v>420</v>
      </c>
      <c r="X2490">
        <v>0</v>
      </c>
      <c r="Z2490">
        <v>0</v>
      </c>
      <c r="AA2490">
        <v>0</v>
      </c>
      <c r="AB2490">
        <v>0</v>
      </c>
      <c r="AC2490">
        <v>0</v>
      </c>
      <c r="AD2490">
        <v>1165</v>
      </c>
    </row>
    <row r="2491" spans="1:30" x14ac:dyDescent="0.25">
      <c r="H2491" t="s">
        <v>4677</v>
      </c>
    </row>
    <row r="2492" spans="1:30" x14ac:dyDescent="0.25">
      <c r="A2492">
        <v>1243</v>
      </c>
      <c r="B2492">
        <v>3212</v>
      </c>
      <c r="C2492" t="s">
        <v>1586</v>
      </c>
      <c r="D2492" t="s">
        <v>1186</v>
      </c>
      <c r="E2492" t="s">
        <v>39</v>
      </c>
      <c r="F2492" t="s">
        <v>4678</v>
      </c>
      <c r="G2492" t="str">
        <f>"00252244"</f>
        <v>00252244</v>
      </c>
      <c r="H2492" t="s">
        <v>705</v>
      </c>
      <c r="I2492">
        <v>0</v>
      </c>
      <c r="J2492">
        <v>0</v>
      </c>
      <c r="K2492">
        <v>0</v>
      </c>
      <c r="L2492">
        <v>200</v>
      </c>
      <c r="M2492">
        <v>0</v>
      </c>
      <c r="N2492">
        <v>30</v>
      </c>
      <c r="O2492">
        <v>0</v>
      </c>
      <c r="P2492">
        <v>0</v>
      </c>
      <c r="Q2492">
        <v>0</v>
      </c>
      <c r="R2492">
        <v>0</v>
      </c>
      <c r="S2492">
        <v>0</v>
      </c>
      <c r="T2492">
        <v>0</v>
      </c>
      <c r="U2492">
        <v>0</v>
      </c>
      <c r="V2492">
        <v>24</v>
      </c>
      <c r="W2492">
        <v>168</v>
      </c>
      <c r="X2492">
        <v>0</v>
      </c>
      <c r="Z2492">
        <v>2</v>
      </c>
      <c r="AA2492">
        <v>0</v>
      </c>
      <c r="AB2492">
        <v>0</v>
      </c>
      <c r="AC2492">
        <v>0</v>
      </c>
      <c r="AD2492" t="s">
        <v>4679</v>
      </c>
    </row>
    <row r="2493" spans="1:30" x14ac:dyDescent="0.25">
      <c r="H2493" t="s">
        <v>4680</v>
      </c>
    </row>
    <row r="2494" spans="1:30" x14ac:dyDescent="0.25">
      <c r="A2494">
        <v>1244</v>
      </c>
      <c r="B2494">
        <v>2276</v>
      </c>
      <c r="C2494" t="s">
        <v>4681</v>
      </c>
      <c r="D2494" t="s">
        <v>182</v>
      </c>
      <c r="E2494" t="s">
        <v>40</v>
      </c>
      <c r="F2494" t="s">
        <v>4682</v>
      </c>
      <c r="G2494" t="str">
        <f>"201402000841"</f>
        <v>201402000841</v>
      </c>
      <c r="H2494" t="s">
        <v>2742</v>
      </c>
      <c r="I2494">
        <v>0</v>
      </c>
      <c r="J2494">
        <v>0</v>
      </c>
      <c r="K2494">
        <v>0</v>
      </c>
      <c r="L2494">
        <v>0</v>
      </c>
      <c r="M2494">
        <v>0</v>
      </c>
      <c r="N2494">
        <v>30</v>
      </c>
      <c r="O2494">
        <v>0</v>
      </c>
      <c r="P2494">
        <v>0</v>
      </c>
      <c r="Q2494">
        <v>0</v>
      </c>
      <c r="R2494">
        <v>0</v>
      </c>
      <c r="S2494">
        <v>0</v>
      </c>
      <c r="T2494">
        <v>0</v>
      </c>
      <c r="U2494">
        <v>0</v>
      </c>
      <c r="V2494">
        <v>56</v>
      </c>
      <c r="W2494">
        <v>392</v>
      </c>
      <c r="X2494">
        <v>0</v>
      </c>
      <c r="Z2494">
        <v>0</v>
      </c>
      <c r="AA2494">
        <v>0</v>
      </c>
      <c r="AB2494">
        <v>0</v>
      </c>
      <c r="AC2494">
        <v>0</v>
      </c>
      <c r="AD2494" t="s">
        <v>4683</v>
      </c>
    </row>
    <row r="2495" spans="1:30" x14ac:dyDescent="0.25">
      <c r="H2495" t="s">
        <v>4684</v>
      </c>
    </row>
    <row r="2496" spans="1:30" x14ac:dyDescent="0.25">
      <c r="A2496">
        <v>1245</v>
      </c>
      <c r="B2496">
        <v>226</v>
      </c>
      <c r="C2496" t="s">
        <v>4685</v>
      </c>
      <c r="D2496" t="s">
        <v>166</v>
      </c>
      <c r="E2496" t="s">
        <v>468</v>
      </c>
      <c r="F2496" t="s">
        <v>4686</v>
      </c>
      <c r="G2496" t="str">
        <f>"00161018"</f>
        <v>00161018</v>
      </c>
      <c r="H2496" t="s">
        <v>1345</v>
      </c>
      <c r="I2496">
        <v>0</v>
      </c>
      <c r="J2496">
        <v>0</v>
      </c>
      <c r="K2496">
        <v>0</v>
      </c>
      <c r="L2496">
        <v>0</v>
      </c>
      <c r="M2496">
        <v>0</v>
      </c>
      <c r="N2496">
        <v>30</v>
      </c>
      <c r="O2496">
        <v>0</v>
      </c>
      <c r="P2496">
        <v>0</v>
      </c>
      <c r="Q2496">
        <v>0</v>
      </c>
      <c r="R2496">
        <v>0</v>
      </c>
      <c r="S2496">
        <v>0</v>
      </c>
      <c r="T2496">
        <v>0</v>
      </c>
      <c r="U2496">
        <v>0</v>
      </c>
      <c r="V2496">
        <v>55</v>
      </c>
      <c r="W2496">
        <v>385</v>
      </c>
      <c r="X2496">
        <v>0</v>
      </c>
      <c r="Z2496">
        <v>0</v>
      </c>
      <c r="AA2496">
        <v>0</v>
      </c>
      <c r="AB2496">
        <v>0</v>
      </c>
      <c r="AC2496">
        <v>0</v>
      </c>
      <c r="AD2496" t="s">
        <v>4687</v>
      </c>
    </row>
    <row r="2497" spans="1:30" x14ac:dyDescent="0.25">
      <c r="H2497" t="s">
        <v>4688</v>
      </c>
    </row>
    <row r="2498" spans="1:30" x14ac:dyDescent="0.25">
      <c r="A2498">
        <v>1246</v>
      </c>
      <c r="B2498">
        <v>4781</v>
      </c>
      <c r="C2498" t="s">
        <v>4689</v>
      </c>
      <c r="D2498" t="s">
        <v>51</v>
      </c>
      <c r="E2498" t="s">
        <v>239</v>
      </c>
      <c r="F2498" t="s">
        <v>4690</v>
      </c>
      <c r="G2498" t="str">
        <f>"00348780"</f>
        <v>00348780</v>
      </c>
      <c r="H2498" t="s">
        <v>553</v>
      </c>
      <c r="I2498">
        <v>0</v>
      </c>
      <c r="J2498">
        <v>0</v>
      </c>
      <c r="K2498">
        <v>0</v>
      </c>
      <c r="L2498">
        <v>0</v>
      </c>
      <c r="M2498">
        <v>0</v>
      </c>
      <c r="N2498">
        <v>70</v>
      </c>
      <c r="O2498">
        <v>0</v>
      </c>
      <c r="P2498">
        <v>50</v>
      </c>
      <c r="Q2498">
        <v>0</v>
      </c>
      <c r="R2498">
        <v>0</v>
      </c>
      <c r="S2498">
        <v>0</v>
      </c>
      <c r="T2498">
        <v>0</v>
      </c>
      <c r="U2498">
        <v>0</v>
      </c>
      <c r="V2498">
        <v>33</v>
      </c>
      <c r="W2498">
        <v>231</v>
      </c>
      <c r="X2498">
        <v>0</v>
      </c>
      <c r="Z2498">
        <v>0</v>
      </c>
      <c r="AA2498">
        <v>0</v>
      </c>
      <c r="AB2498">
        <v>0</v>
      </c>
      <c r="AC2498">
        <v>0</v>
      </c>
      <c r="AD2498" t="s">
        <v>4691</v>
      </c>
    </row>
    <row r="2499" spans="1:30" x14ac:dyDescent="0.25">
      <c r="H2499" t="s">
        <v>4692</v>
      </c>
    </row>
    <row r="2500" spans="1:30" x14ac:dyDescent="0.25">
      <c r="A2500">
        <v>1247</v>
      </c>
      <c r="B2500">
        <v>1002</v>
      </c>
      <c r="C2500" t="s">
        <v>467</v>
      </c>
      <c r="D2500" t="s">
        <v>75</v>
      </c>
      <c r="E2500" t="s">
        <v>974</v>
      </c>
      <c r="F2500">
        <v>895454</v>
      </c>
      <c r="G2500" t="str">
        <f>"00215722"</f>
        <v>00215722</v>
      </c>
      <c r="H2500" t="s">
        <v>352</v>
      </c>
      <c r="I2500">
        <v>0</v>
      </c>
      <c r="J2500">
        <v>0</v>
      </c>
      <c r="K2500">
        <v>0</v>
      </c>
      <c r="L2500">
        <v>0</v>
      </c>
      <c r="M2500">
        <v>0</v>
      </c>
      <c r="N2500">
        <v>70</v>
      </c>
      <c r="O2500">
        <v>0</v>
      </c>
      <c r="P2500">
        <v>30</v>
      </c>
      <c r="Q2500">
        <v>0</v>
      </c>
      <c r="R2500">
        <v>0</v>
      </c>
      <c r="S2500">
        <v>0</v>
      </c>
      <c r="T2500">
        <v>0</v>
      </c>
      <c r="U2500">
        <v>0</v>
      </c>
      <c r="V2500">
        <v>41</v>
      </c>
      <c r="W2500">
        <v>287</v>
      </c>
      <c r="X2500">
        <v>0</v>
      </c>
      <c r="Z2500">
        <v>0</v>
      </c>
      <c r="AA2500">
        <v>0</v>
      </c>
      <c r="AB2500">
        <v>0</v>
      </c>
      <c r="AC2500">
        <v>0</v>
      </c>
      <c r="AD2500" t="s">
        <v>4693</v>
      </c>
    </row>
    <row r="2501" spans="1:30" x14ac:dyDescent="0.25">
      <c r="H2501" t="s">
        <v>4694</v>
      </c>
    </row>
    <row r="2502" spans="1:30" x14ac:dyDescent="0.25">
      <c r="A2502">
        <v>1248</v>
      </c>
      <c r="B2502">
        <v>2453</v>
      </c>
      <c r="C2502" t="s">
        <v>4695</v>
      </c>
      <c r="D2502" t="s">
        <v>420</v>
      </c>
      <c r="E2502" t="s">
        <v>595</v>
      </c>
      <c r="F2502" t="s">
        <v>4696</v>
      </c>
      <c r="G2502" t="str">
        <f>"00019302"</f>
        <v>00019302</v>
      </c>
      <c r="H2502" t="s">
        <v>2185</v>
      </c>
      <c r="I2502">
        <v>0</v>
      </c>
      <c r="J2502">
        <v>0</v>
      </c>
      <c r="K2502">
        <v>0</v>
      </c>
      <c r="L2502">
        <v>0</v>
      </c>
      <c r="M2502">
        <v>0</v>
      </c>
      <c r="N2502">
        <v>30</v>
      </c>
      <c r="O2502">
        <v>0</v>
      </c>
      <c r="P2502">
        <v>0</v>
      </c>
      <c r="Q2502">
        <v>0</v>
      </c>
      <c r="R2502">
        <v>0</v>
      </c>
      <c r="S2502">
        <v>0</v>
      </c>
      <c r="T2502">
        <v>0</v>
      </c>
      <c r="U2502">
        <v>0</v>
      </c>
      <c r="V2502">
        <v>49</v>
      </c>
      <c r="W2502">
        <v>343</v>
      </c>
      <c r="X2502">
        <v>0</v>
      </c>
      <c r="Z2502">
        <v>0</v>
      </c>
      <c r="AA2502">
        <v>0</v>
      </c>
      <c r="AB2502">
        <v>0</v>
      </c>
      <c r="AC2502">
        <v>0</v>
      </c>
      <c r="AD2502" t="s">
        <v>4697</v>
      </c>
    </row>
    <row r="2503" spans="1:30" x14ac:dyDescent="0.25">
      <c r="H2503" t="s">
        <v>4698</v>
      </c>
    </row>
    <row r="2504" spans="1:30" x14ac:dyDescent="0.25">
      <c r="A2504">
        <v>1249</v>
      </c>
      <c r="B2504">
        <v>5103</v>
      </c>
      <c r="C2504" t="s">
        <v>4699</v>
      </c>
      <c r="D2504" t="s">
        <v>335</v>
      </c>
      <c r="E2504" t="s">
        <v>40</v>
      </c>
      <c r="F2504" t="s">
        <v>4700</v>
      </c>
      <c r="G2504" t="str">
        <f>"201304003330"</f>
        <v>201304003330</v>
      </c>
      <c r="H2504" t="s">
        <v>4701</v>
      </c>
      <c r="I2504">
        <v>0</v>
      </c>
      <c r="J2504">
        <v>0</v>
      </c>
      <c r="K2504">
        <v>0</v>
      </c>
      <c r="L2504">
        <v>0</v>
      </c>
      <c r="M2504">
        <v>0</v>
      </c>
      <c r="N2504">
        <v>50</v>
      </c>
      <c r="O2504">
        <v>0</v>
      </c>
      <c r="P2504">
        <v>0</v>
      </c>
      <c r="Q2504">
        <v>30</v>
      </c>
      <c r="R2504">
        <v>0</v>
      </c>
      <c r="S2504">
        <v>0</v>
      </c>
      <c r="T2504">
        <v>0</v>
      </c>
      <c r="U2504">
        <v>0</v>
      </c>
      <c r="V2504">
        <v>22</v>
      </c>
      <c r="W2504">
        <v>154</v>
      </c>
      <c r="X2504">
        <v>0</v>
      </c>
      <c r="Z2504">
        <v>0</v>
      </c>
      <c r="AA2504">
        <v>0</v>
      </c>
      <c r="AB2504">
        <v>0</v>
      </c>
      <c r="AC2504">
        <v>0</v>
      </c>
      <c r="AD2504" t="s">
        <v>4702</v>
      </c>
    </row>
    <row r="2505" spans="1:30" x14ac:dyDescent="0.25">
      <c r="H2505" t="s">
        <v>4703</v>
      </c>
    </row>
    <row r="2506" spans="1:30" x14ac:dyDescent="0.25">
      <c r="A2506">
        <v>1250</v>
      </c>
      <c r="B2506">
        <v>340</v>
      </c>
      <c r="C2506" t="s">
        <v>4704</v>
      </c>
      <c r="D2506" t="s">
        <v>420</v>
      </c>
      <c r="E2506" t="s">
        <v>202</v>
      </c>
      <c r="F2506" t="s">
        <v>4705</v>
      </c>
      <c r="G2506" t="str">
        <f>"201401001539"</f>
        <v>201401001539</v>
      </c>
      <c r="H2506" t="s">
        <v>4706</v>
      </c>
      <c r="I2506">
        <v>0</v>
      </c>
      <c r="J2506">
        <v>0</v>
      </c>
      <c r="K2506">
        <v>0</v>
      </c>
      <c r="L2506">
        <v>0</v>
      </c>
      <c r="M2506">
        <v>0</v>
      </c>
      <c r="N2506">
        <v>30</v>
      </c>
      <c r="O2506">
        <v>0</v>
      </c>
      <c r="P2506">
        <v>0</v>
      </c>
      <c r="Q2506">
        <v>0</v>
      </c>
      <c r="R2506">
        <v>0</v>
      </c>
      <c r="S2506">
        <v>0</v>
      </c>
      <c r="T2506">
        <v>0</v>
      </c>
      <c r="U2506">
        <v>0</v>
      </c>
      <c r="V2506">
        <v>70</v>
      </c>
      <c r="W2506">
        <v>490</v>
      </c>
      <c r="X2506">
        <v>0</v>
      </c>
      <c r="Z2506">
        <v>0</v>
      </c>
      <c r="AA2506">
        <v>0</v>
      </c>
      <c r="AB2506">
        <v>0</v>
      </c>
      <c r="AC2506">
        <v>0</v>
      </c>
      <c r="AD2506" t="s">
        <v>4702</v>
      </c>
    </row>
    <row r="2507" spans="1:30" x14ac:dyDescent="0.25">
      <c r="H2507" t="s">
        <v>4707</v>
      </c>
    </row>
    <row r="2508" spans="1:30" x14ac:dyDescent="0.25">
      <c r="A2508">
        <v>1251</v>
      </c>
      <c r="B2508">
        <v>5055</v>
      </c>
      <c r="C2508" t="s">
        <v>4708</v>
      </c>
      <c r="D2508" t="s">
        <v>4709</v>
      </c>
      <c r="E2508" t="s">
        <v>39</v>
      </c>
      <c r="F2508" t="s">
        <v>4710</v>
      </c>
      <c r="G2508" t="str">
        <f>"201406016221"</f>
        <v>201406016221</v>
      </c>
      <c r="H2508" t="s">
        <v>1371</v>
      </c>
      <c r="I2508">
        <v>0</v>
      </c>
      <c r="J2508">
        <v>0</v>
      </c>
      <c r="K2508">
        <v>0</v>
      </c>
      <c r="L2508">
        <v>200</v>
      </c>
      <c r="M2508">
        <v>0</v>
      </c>
      <c r="N2508">
        <v>70</v>
      </c>
      <c r="O2508">
        <v>0</v>
      </c>
      <c r="P2508">
        <v>0</v>
      </c>
      <c r="Q2508">
        <v>0</v>
      </c>
      <c r="R2508">
        <v>0</v>
      </c>
      <c r="S2508">
        <v>0</v>
      </c>
      <c r="T2508">
        <v>0</v>
      </c>
      <c r="U2508">
        <v>0</v>
      </c>
      <c r="V2508">
        <v>18</v>
      </c>
      <c r="W2508">
        <v>126</v>
      </c>
      <c r="X2508">
        <v>0</v>
      </c>
      <c r="Z2508">
        <v>0</v>
      </c>
      <c r="AA2508">
        <v>0</v>
      </c>
      <c r="AB2508">
        <v>0</v>
      </c>
      <c r="AC2508">
        <v>0</v>
      </c>
      <c r="AD2508" t="s">
        <v>4711</v>
      </c>
    </row>
    <row r="2509" spans="1:30" x14ac:dyDescent="0.25">
      <c r="H2509" t="s">
        <v>3908</v>
      </c>
    </row>
    <row r="2510" spans="1:30" x14ac:dyDescent="0.25">
      <c r="A2510">
        <v>1252</v>
      </c>
      <c r="B2510">
        <v>4414</v>
      </c>
      <c r="C2510" t="s">
        <v>4712</v>
      </c>
      <c r="D2510" t="s">
        <v>335</v>
      </c>
      <c r="E2510" t="s">
        <v>509</v>
      </c>
      <c r="F2510" t="s">
        <v>4713</v>
      </c>
      <c r="G2510" t="str">
        <f>"00160033"</f>
        <v>00160033</v>
      </c>
      <c r="H2510" t="s">
        <v>2545</v>
      </c>
      <c r="I2510">
        <v>0</v>
      </c>
      <c r="J2510">
        <v>0</v>
      </c>
      <c r="K2510">
        <v>0</v>
      </c>
      <c r="L2510">
        <v>0</v>
      </c>
      <c r="M2510">
        <v>0</v>
      </c>
      <c r="N2510">
        <v>50</v>
      </c>
      <c r="O2510">
        <v>0</v>
      </c>
      <c r="P2510">
        <v>0</v>
      </c>
      <c r="Q2510">
        <v>0</v>
      </c>
      <c r="R2510">
        <v>0</v>
      </c>
      <c r="S2510">
        <v>0</v>
      </c>
      <c r="T2510">
        <v>0</v>
      </c>
      <c r="U2510">
        <v>0</v>
      </c>
      <c r="V2510">
        <v>50</v>
      </c>
      <c r="W2510">
        <v>350</v>
      </c>
      <c r="X2510">
        <v>0</v>
      </c>
      <c r="Z2510">
        <v>1</v>
      </c>
      <c r="AA2510">
        <v>0</v>
      </c>
      <c r="AB2510">
        <v>0</v>
      </c>
      <c r="AC2510">
        <v>0</v>
      </c>
      <c r="AD2510" t="s">
        <v>4714</v>
      </c>
    </row>
    <row r="2511" spans="1:30" x14ac:dyDescent="0.25">
      <c r="H2511" t="s">
        <v>4715</v>
      </c>
    </row>
    <row r="2512" spans="1:30" x14ac:dyDescent="0.25">
      <c r="A2512">
        <v>1253</v>
      </c>
      <c r="B2512">
        <v>5625</v>
      </c>
      <c r="C2512" t="s">
        <v>4716</v>
      </c>
      <c r="D2512" t="s">
        <v>665</v>
      </c>
      <c r="E2512" t="s">
        <v>162</v>
      </c>
      <c r="F2512" t="s">
        <v>4717</v>
      </c>
      <c r="G2512" t="str">
        <f>"201406017468"</f>
        <v>201406017468</v>
      </c>
      <c r="H2512" t="s">
        <v>4718</v>
      </c>
      <c r="I2512">
        <v>0</v>
      </c>
      <c r="J2512">
        <v>0</v>
      </c>
      <c r="K2512">
        <v>0</v>
      </c>
      <c r="L2512">
        <v>0</v>
      </c>
      <c r="M2512">
        <v>0</v>
      </c>
      <c r="N2512">
        <v>30</v>
      </c>
      <c r="O2512">
        <v>0</v>
      </c>
      <c r="P2512">
        <v>0</v>
      </c>
      <c r="Q2512">
        <v>0</v>
      </c>
      <c r="R2512">
        <v>0</v>
      </c>
      <c r="S2512">
        <v>0</v>
      </c>
      <c r="T2512">
        <v>0</v>
      </c>
      <c r="U2512">
        <v>0</v>
      </c>
      <c r="V2512">
        <v>67</v>
      </c>
      <c r="W2512">
        <v>469</v>
      </c>
      <c r="X2512">
        <v>0</v>
      </c>
      <c r="Z2512">
        <v>0</v>
      </c>
      <c r="AA2512">
        <v>0</v>
      </c>
      <c r="AB2512">
        <v>0</v>
      </c>
      <c r="AC2512">
        <v>0</v>
      </c>
      <c r="AD2512" t="s">
        <v>4714</v>
      </c>
    </row>
    <row r="2513" spans="1:30" x14ac:dyDescent="0.25">
      <c r="H2513" t="s">
        <v>4719</v>
      </c>
    </row>
    <row r="2514" spans="1:30" x14ac:dyDescent="0.25">
      <c r="A2514">
        <v>1254</v>
      </c>
      <c r="B2514">
        <v>4137</v>
      </c>
      <c r="C2514" t="s">
        <v>4720</v>
      </c>
      <c r="D2514" t="s">
        <v>4721</v>
      </c>
      <c r="E2514" t="s">
        <v>190</v>
      </c>
      <c r="F2514" t="s">
        <v>4722</v>
      </c>
      <c r="G2514" t="str">
        <f>"00174045"</f>
        <v>00174045</v>
      </c>
      <c r="H2514" t="s">
        <v>2325</v>
      </c>
      <c r="I2514">
        <v>0</v>
      </c>
      <c r="J2514">
        <v>0</v>
      </c>
      <c r="K2514">
        <v>0</v>
      </c>
      <c r="L2514">
        <v>0</v>
      </c>
      <c r="M2514">
        <v>100</v>
      </c>
      <c r="N2514">
        <v>70</v>
      </c>
      <c r="O2514">
        <v>0</v>
      </c>
      <c r="P2514">
        <v>30</v>
      </c>
      <c r="Q2514">
        <v>0</v>
      </c>
      <c r="R2514">
        <v>0</v>
      </c>
      <c r="S2514">
        <v>0</v>
      </c>
      <c r="T2514">
        <v>0</v>
      </c>
      <c r="U2514">
        <v>0</v>
      </c>
      <c r="V2514">
        <v>29</v>
      </c>
      <c r="W2514">
        <v>203</v>
      </c>
      <c r="X2514">
        <v>0</v>
      </c>
      <c r="Z2514">
        <v>0</v>
      </c>
      <c r="AA2514">
        <v>0</v>
      </c>
      <c r="AB2514">
        <v>0</v>
      </c>
      <c r="AC2514">
        <v>0</v>
      </c>
      <c r="AD2514" t="s">
        <v>4723</v>
      </c>
    </row>
    <row r="2515" spans="1:30" x14ac:dyDescent="0.25">
      <c r="H2515" t="s">
        <v>4724</v>
      </c>
    </row>
    <row r="2516" spans="1:30" x14ac:dyDescent="0.25">
      <c r="A2516">
        <v>1255</v>
      </c>
      <c r="B2516">
        <v>1619</v>
      </c>
      <c r="C2516" t="s">
        <v>4725</v>
      </c>
      <c r="D2516" t="s">
        <v>162</v>
      </c>
      <c r="E2516" t="s">
        <v>47</v>
      </c>
      <c r="F2516" t="s">
        <v>4726</v>
      </c>
      <c r="G2516" t="str">
        <f>"201403000038"</f>
        <v>201403000038</v>
      </c>
      <c r="H2516">
        <v>781</v>
      </c>
      <c r="I2516">
        <v>0</v>
      </c>
      <c r="J2516">
        <v>0</v>
      </c>
      <c r="K2516">
        <v>0</v>
      </c>
      <c r="L2516">
        <v>0</v>
      </c>
      <c r="M2516">
        <v>0</v>
      </c>
      <c r="N2516">
        <v>30</v>
      </c>
      <c r="O2516">
        <v>0</v>
      </c>
      <c r="P2516">
        <v>30</v>
      </c>
      <c r="Q2516">
        <v>0</v>
      </c>
      <c r="R2516">
        <v>0</v>
      </c>
      <c r="S2516">
        <v>0</v>
      </c>
      <c r="T2516">
        <v>0</v>
      </c>
      <c r="U2516">
        <v>0</v>
      </c>
      <c r="V2516">
        <v>45</v>
      </c>
      <c r="W2516">
        <v>315</v>
      </c>
      <c r="X2516">
        <v>0</v>
      </c>
      <c r="Z2516">
        <v>0</v>
      </c>
      <c r="AA2516">
        <v>0</v>
      </c>
      <c r="AB2516">
        <v>0</v>
      </c>
      <c r="AC2516">
        <v>0</v>
      </c>
      <c r="AD2516">
        <v>1156</v>
      </c>
    </row>
    <row r="2517" spans="1:30" x14ac:dyDescent="0.25">
      <c r="H2517" t="s">
        <v>4727</v>
      </c>
    </row>
    <row r="2518" spans="1:30" x14ac:dyDescent="0.25">
      <c r="A2518">
        <v>1256</v>
      </c>
      <c r="B2518">
        <v>386</v>
      </c>
      <c r="C2518" t="s">
        <v>4728</v>
      </c>
      <c r="D2518" t="s">
        <v>39</v>
      </c>
      <c r="E2518" t="s">
        <v>1061</v>
      </c>
      <c r="F2518" t="s">
        <v>4729</v>
      </c>
      <c r="G2518" t="str">
        <f>"00253093"</f>
        <v>00253093</v>
      </c>
      <c r="H2518" t="s">
        <v>818</v>
      </c>
      <c r="I2518">
        <v>0</v>
      </c>
      <c r="J2518">
        <v>0</v>
      </c>
      <c r="K2518">
        <v>0</v>
      </c>
      <c r="L2518">
        <v>0</v>
      </c>
      <c r="M2518">
        <v>0</v>
      </c>
      <c r="N2518">
        <v>30</v>
      </c>
      <c r="O2518">
        <v>30</v>
      </c>
      <c r="P2518">
        <v>0</v>
      </c>
      <c r="Q2518">
        <v>0</v>
      </c>
      <c r="R2518">
        <v>0</v>
      </c>
      <c r="S2518">
        <v>0</v>
      </c>
      <c r="T2518">
        <v>0</v>
      </c>
      <c r="U2518">
        <v>0</v>
      </c>
      <c r="V2518">
        <v>47</v>
      </c>
      <c r="W2518">
        <v>329</v>
      </c>
      <c r="X2518">
        <v>0</v>
      </c>
      <c r="Z2518">
        <v>0</v>
      </c>
      <c r="AA2518">
        <v>0</v>
      </c>
      <c r="AB2518">
        <v>0</v>
      </c>
      <c r="AC2518">
        <v>0</v>
      </c>
      <c r="AD2518" t="s">
        <v>4730</v>
      </c>
    </row>
    <row r="2519" spans="1:30" x14ac:dyDescent="0.25">
      <c r="H2519" t="s">
        <v>4731</v>
      </c>
    </row>
    <row r="2520" spans="1:30" x14ac:dyDescent="0.25">
      <c r="A2520">
        <v>1257</v>
      </c>
      <c r="B2520">
        <v>4007</v>
      </c>
      <c r="C2520" t="s">
        <v>4732</v>
      </c>
      <c r="D2520" t="s">
        <v>2049</v>
      </c>
      <c r="E2520" t="s">
        <v>968</v>
      </c>
      <c r="F2520" t="s">
        <v>4733</v>
      </c>
      <c r="G2520" t="str">
        <f>"201406015850"</f>
        <v>201406015850</v>
      </c>
      <c r="H2520">
        <v>616</v>
      </c>
      <c r="I2520">
        <v>0</v>
      </c>
      <c r="J2520">
        <v>0</v>
      </c>
      <c r="K2520">
        <v>0</v>
      </c>
      <c r="L2520">
        <v>0</v>
      </c>
      <c r="M2520">
        <v>0</v>
      </c>
      <c r="N2520">
        <v>0</v>
      </c>
      <c r="O2520">
        <v>0</v>
      </c>
      <c r="P2520">
        <v>0</v>
      </c>
      <c r="Q2520">
        <v>0</v>
      </c>
      <c r="R2520">
        <v>0</v>
      </c>
      <c r="S2520">
        <v>0</v>
      </c>
      <c r="T2520">
        <v>0</v>
      </c>
      <c r="U2520">
        <v>0</v>
      </c>
      <c r="V2520">
        <v>77</v>
      </c>
      <c r="W2520">
        <v>539</v>
      </c>
      <c r="X2520">
        <v>0</v>
      </c>
      <c r="Z2520">
        <v>1</v>
      </c>
      <c r="AA2520">
        <v>0</v>
      </c>
      <c r="AB2520">
        <v>0</v>
      </c>
      <c r="AC2520">
        <v>0</v>
      </c>
      <c r="AD2520">
        <v>1155</v>
      </c>
    </row>
    <row r="2521" spans="1:30" x14ac:dyDescent="0.25">
      <c r="H2521" t="s">
        <v>4734</v>
      </c>
    </row>
    <row r="2522" spans="1:30" x14ac:dyDescent="0.25">
      <c r="A2522">
        <v>1258</v>
      </c>
      <c r="B2522">
        <v>579</v>
      </c>
      <c r="C2522" t="s">
        <v>956</v>
      </c>
      <c r="D2522" t="s">
        <v>420</v>
      </c>
      <c r="E2522" t="s">
        <v>291</v>
      </c>
      <c r="F2522" t="s">
        <v>4735</v>
      </c>
      <c r="G2522" t="str">
        <f>"00188340"</f>
        <v>00188340</v>
      </c>
      <c r="H2522" t="s">
        <v>3482</v>
      </c>
      <c r="I2522">
        <v>150</v>
      </c>
      <c r="J2522">
        <v>0</v>
      </c>
      <c r="K2522">
        <v>0</v>
      </c>
      <c r="L2522">
        <v>0</v>
      </c>
      <c r="M2522">
        <v>0</v>
      </c>
      <c r="N2522">
        <v>0</v>
      </c>
      <c r="O2522">
        <v>0</v>
      </c>
      <c r="P2522">
        <v>0</v>
      </c>
      <c r="Q2522">
        <v>0</v>
      </c>
      <c r="R2522">
        <v>0</v>
      </c>
      <c r="S2522">
        <v>0</v>
      </c>
      <c r="T2522">
        <v>0</v>
      </c>
      <c r="U2522">
        <v>0</v>
      </c>
      <c r="V2522">
        <v>41</v>
      </c>
      <c r="W2522">
        <v>287</v>
      </c>
      <c r="X2522">
        <v>0</v>
      </c>
      <c r="Z2522">
        <v>2</v>
      </c>
      <c r="AA2522">
        <v>0</v>
      </c>
      <c r="AB2522">
        <v>0</v>
      </c>
      <c r="AC2522">
        <v>0</v>
      </c>
      <c r="AD2522" t="s">
        <v>4736</v>
      </c>
    </row>
    <row r="2523" spans="1:30" x14ac:dyDescent="0.25">
      <c r="H2523" t="s">
        <v>4737</v>
      </c>
    </row>
    <row r="2524" spans="1:30" x14ac:dyDescent="0.25">
      <c r="A2524">
        <v>1259</v>
      </c>
      <c r="B2524">
        <v>4527</v>
      </c>
      <c r="C2524" t="s">
        <v>4738</v>
      </c>
      <c r="D2524" t="s">
        <v>346</v>
      </c>
      <c r="E2524" t="s">
        <v>482</v>
      </c>
      <c r="F2524" t="s">
        <v>4739</v>
      </c>
      <c r="G2524" t="str">
        <f>"201410000098"</f>
        <v>201410000098</v>
      </c>
      <c r="H2524">
        <v>627</v>
      </c>
      <c r="I2524">
        <v>0</v>
      </c>
      <c r="J2524">
        <v>0</v>
      </c>
      <c r="K2524">
        <v>0</v>
      </c>
      <c r="L2524">
        <v>0</v>
      </c>
      <c r="M2524">
        <v>0</v>
      </c>
      <c r="N2524">
        <v>0</v>
      </c>
      <c r="O2524">
        <v>0</v>
      </c>
      <c r="P2524">
        <v>0</v>
      </c>
      <c r="Q2524">
        <v>0</v>
      </c>
      <c r="R2524">
        <v>0</v>
      </c>
      <c r="S2524">
        <v>0</v>
      </c>
      <c r="T2524">
        <v>0</v>
      </c>
      <c r="U2524">
        <v>0</v>
      </c>
      <c r="V2524">
        <v>75</v>
      </c>
      <c r="W2524">
        <v>525</v>
      </c>
      <c r="X2524">
        <v>0</v>
      </c>
      <c r="Z2524">
        <v>0</v>
      </c>
      <c r="AA2524">
        <v>0</v>
      </c>
      <c r="AB2524">
        <v>0</v>
      </c>
      <c r="AC2524">
        <v>0</v>
      </c>
      <c r="AD2524">
        <v>1152</v>
      </c>
    </row>
    <row r="2525" spans="1:30" x14ac:dyDescent="0.25">
      <c r="H2525" t="s">
        <v>4740</v>
      </c>
    </row>
    <row r="2526" spans="1:30" x14ac:dyDescent="0.25">
      <c r="A2526">
        <v>1260</v>
      </c>
      <c r="B2526">
        <v>4430</v>
      </c>
      <c r="C2526" t="s">
        <v>3786</v>
      </c>
      <c r="D2526" t="s">
        <v>1453</v>
      </c>
      <c r="E2526" t="s">
        <v>454</v>
      </c>
      <c r="F2526" t="s">
        <v>4741</v>
      </c>
      <c r="G2526" t="str">
        <f>"00251422"</f>
        <v>00251422</v>
      </c>
      <c r="H2526" t="s">
        <v>562</v>
      </c>
      <c r="I2526">
        <v>0</v>
      </c>
      <c r="J2526">
        <v>0</v>
      </c>
      <c r="K2526">
        <v>0</v>
      </c>
      <c r="L2526">
        <v>0</v>
      </c>
      <c r="M2526">
        <v>0</v>
      </c>
      <c r="N2526">
        <v>30</v>
      </c>
      <c r="O2526">
        <v>30</v>
      </c>
      <c r="P2526">
        <v>0</v>
      </c>
      <c r="Q2526">
        <v>0</v>
      </c>
      <c r="R2526">
        <v>0</v>
      </c>
      <c r="S2526">
        <v>0</v>
      </c>
      <c r="T2526">
        <v>0</v>
      </c>
      <c r="U2526">
        <v>0</v>
      </c>
      <c r="V2526">
        <v>0</v>
      </c>
      <c r="W2526">
        <v>0</v>
      </c>
      <c r="X2526">
        <v>0</v>
      </c>
      <c r="Z2526">
        <v>0</v>
      </c>
      <c r="AA2526">
        <v>0</v>
      </c>
      <c r="AB2526">
        <v>24</v>
      </c>
      <c r="AC2526">
        <v>408</v>
      </c>
      <c r="AD2526" t="s">
        <v>4742</v>
      </c>
    </row>
    <row r="2527" spans="1:30" x14ac:dyDescent="0.25">
      <c r="H2527" t="s">
        <v>4743</v>
      </c>
    </row>
    <row r="2528" spans="1:30" x14ac:dyDescent="0.25">
      <c r="A2528">
        <v>1261</v>
      </c>
      <c r="B2528">
        <v>271</v>
      </c>
      <c r="C2528" t="s">
        <v>4744</v>
      </c>
      <c r="D2528" t="s">
        <v>335</v>
      </c>
      <c r="E2528" t="s">
        <v>190</v>
      </c>
      <c r="F2528" t="s">
        <v>4745</v>
      </c>
      <c r="G2528" t="str">
        <f>"00221567"</f>
        <v>00221567</v>
      </c>
      <c r="H2528" t="s">
        <v>123</v>
      </c>
      <c r="I2528">
        <v>0</v>
      </c>
      <c r="J2528">
        <v>0</v>
      </c>
      <c r="K2528">
        <v>0</v>
      </c>
      <c r="L2528">
        <v>0</v>
      </c>
      <c r="M2528">
        <v>0</v>
      </c>
      <c r="N2528">
        <v>30</v>
      </c>
      <c r="O2528">
        <v>0</v>
      </c>
      <c r="P2528">
        <v>0</v>
      </c>
      <c r="Q2528">
        <v>0</v>
      </c>
      <c r="R2528">
        <v>0</v>
      </c>
      <c r="S2528">
        <v>0</v>
      </c>
      <c r="T2528">
        <v>0</v>
      </c>
      <c r="U2528">
        <v>0</v>
      </c>
      <c r="V2528">
        <v>55</v>
      </c>
      <c r="W2528">
        <v>385</v>
      </c>
      <c r="X2528">
        <v>0</v>
      </c>
      <c r="Z2528">
        <v>0</v>
      </c>
      <c r="AA2528">
        <v>0</v>
      </c>
      <c r="AB2528">
        <v>0</v>
      </c>
      <c r="AC2528">
        <v>0</v>
      </c>
      <c r="AD2528" t="s">
        <v>4746</v>
      </c>
    </row>
    <row r="2529" spans="1:30" x14ac:dyDescent="0.25">
      <c r="H2529" t="s">
        <v>4747</v>
      </c>
    </row>
    <row r="2530" spans="1:30" x14ac:dyDescent="0.25">
      <c r="A2530">
        <v>1262</v>
      </c>
      <c r="B2530">
        <v>5994</v>
      </c>
      <c r="C2530" t="s">
        <v>4748</v>
      </c>
      <c r="D2530" t="s">
        <v>1039</v>
      </c>
      <c r="E2530" t="s">
        <v>107</v>
      </c>
      <c r="F2530" t="s">
        <v>4749</v>
      </c>
      <c r="G2530" t="str">
        <f>"201511017765"</f>
        <v>201511017765</v>
      </c>
      <c r="H2530" t="s">
        <v>264</v>
      </c>
      <c r="I2530">
        <v>0</v>
      </c>
      <c r="J2530">
        <v>0</v>
      </c>
      <c r="K2530">
        <v>0</v>
      </c>
      <c r="L2530">
        <v>200</v>
      </c>
      <c r="M2530">
        <v>0</v>
      </c>
      <c r="N2530">
        <v>70</v>
      </c>
      <c r="O2530">
        <v>0</v>
      </c>
      <c r="P2530">
        <v>0</v>
      </c>
      <c r="Q2530">
        <v>0</v>
      </c>
      <c r="R2530">
        <v>0</v>
      </c>
      <c r="S2530">
        <v>0</v>
      </c>
      <c r="T2530">
        <v>0</v>
      </c>
      <c r="U2530">
        <v>0</v>
      </c>
      <c r="V2530">
        <v>13</v>
      </c>
      <c r="W2530">
        <v>91</v>
      </c>
      <c r="X2530">
        <v>0</v>
      </c>
      <c r="Z2530">
        <v>2</v>
      </c>
      <c r="AA2530">
        <v>0</v>
      </c>
      <c r="AB2530">
        <v>0</v>
      </c>
      <c r="AC2530">
        <v>0</v>
      </c>
      <c r="AD2530" t="s">
        <v>4750</v>
      </c>
    </row>
    <row r="2531" spans="1:30" x14ac:dyDescent="0.25">
      <c r="H2531" t="s">
        <v>4751</v>
      </c>
    </row>
    <row r="2532" spans="1:30" x14ac:dyDescent="0.25">
      <c r="A2532">
        <v>1263</v>
      </c>
      <c r="B2532">
        <v>4804</v>
      </c>
      <c r="C2532" t="s">
        <v>4752</v>
      </c>
      <c r="D2532" t="s">
        <v>400</v>
      </c>
      <c r="E2532" t="s">
        <v>183</v>
      </c>
      <c r="F2532" t="s">
        <v>4753</v>
      </c>
      <c r="G2532" t="str">
        <f>"00345742"</f>
        <v>00345742</v>
      </c>
      <c r="H2532" t="s">
        <v>988</v>
      </c>
      <c r="I2532">
        <v>0</v>
      </c>
      <c r="J2532">
        <v>0</v>
      </c>
      <c r="K2532">
        <v>0</v>
      </c>
      <c r="L2532">
        <v>0</v>
      </c>
      <c r="M2532">
        <v>0</v>
      </c>
      <c r="N2532">
        <v>70</v>
      </c>
      <c r="O2532">
        <v>0</v>
      </c>
      <c r="P2532">
        <v>30</v>
      </c>
      <c r="Q2532">
        <v>0</v>
      </c>
      <c r="R2532">
        <v>0</v>
      </c>
      <c r="S2532">
        <v>0</v>
      </c>
      <c r="T2532">
        <v>0</v>
      </c>
      <c r="U2532">
        <v>0</v>
      </c>
      <c r="V2532">
        <v>39</v>
      </c>
      <c r="W2532">
        <v>273</v>
      </c>
      <c r="X2532">
        <v>0</v>
      </c>
      <c r="Z2532">
        <v>0</v>
      </c>
      <c r="AA2532">
        <v>0</v>
      </c>
      <c r="AB2532">
        <v>0</v>
      </c>
      <c r="AC2532">
        <v>0</v>
      </c>
      <c r="AD2532" t="s">
        <v>4754</v>
      </c>
    </row>
    <row r="2533" spans="1:30" x14ac:dyDescent="0.25">
      <c r="H2533" t="s">
        <v>4755</v>
      </c>
    </row>
    <row r="2534" spans="1:30" x14ac:dyDescent="0.25">
      <c r="A2534">
        <v>1264</v>
      </c>
      <c r="B2534">
        <v>1852</v>
      </c>
      <c r="C2534" t="s">
        <v>3084</v>
      </c>
      <c r="D2534" t="s">
        <v>166</v>
      </c>
      <c r="E2534" t="s">
        <v>290</v>
      </c>
      <c r="F2534" t="s">
        <v>4756</v>
      </c>
      <c r="G2534" t="str">
        <f>"00269866"</f>
        <v>00269866</v>
      </c>
      <c r="H2534" t="s">
        <v>1930</v>
      </c>
      <c r="I2534">
        <v>0</v>
      </c>
      <c r="J2534">
        <v>0</v>
      </c>
      <c r="K2534">
        <v>0</v>
      </c>
      <c r="L2534">
        <v>0</v>
      </c>
      <c r="M2534">
        <v>0</v>
      </c>
      <c r="N2534">
        <v>30</v>
      </c>
      <c r="O2534">
        <v>0</v>
      </c>
      <c r="P2534">
        <v>0</v>
      </c>
      <c r="Q2534">
        <v>0</v>
      </c>
      <c r="R2534">
        <v>0</v>
      </c>
      <c r="S2534">
        <v>0</v>
      </c>
      <c r="T2534">
        <v>0</v>
      </c>
      <c r="U2534">
        <v>0</v>
      </c>
      <c r="V2534">
        <v>60</v>
      </c>
      <c r="W2534">
        <v>420</v>
      </c>
      <c r="X2534">
        <v>0</v>
      </c>
      <c r="Z2534">
        <v>0</v>
      </c>
      <c r="AA2534">
        <v>0</v>
      </c>
      <c r="AB2534">
        <v>0</v>
      </c>
      <c r="AC2534">
        <v>0</v>
      </c>
      <c r="AD2534" t="s">
        <v>4754</v>
      </c>
    </row>
    <row r="2535" spans="1:30" x14ac:dyDescent="0.25">
      <c r="H2535" t="s">
        <v>4757</v>
      </c>
    </row>
    <row r="2536" spans="1:30" x14ac:dyDescent="0.25">
      <c r="A2536">
        <v>1265</v>
      </c>
      <c r="B2536">
        <v>3888</v>
      </c>
      <c r="C2536" t="s">
        <v>4758</v>
      </c>
      <c r="D2536" t="s">
        <v>75</v>
      </c>
      <c r="E2536" t="s">
        <v>190</v>
      </c>
      <c r="F2536" t="s">
        <v>4759</v>
      </c>
      <c r="G2536" t="str">
        <f>"00360610"</f>
        <v>00360610</v>
      </c>
      <c r="H2536" t="s">
        <v>1136</v>
      </c>
      <c r="I2536">
        <v>0</v>
      </c>
      <c r="J2536">
        <v>0</v>
      </c>
      <c r="K2536">
        <v>0</v>
      </c>
      <c r="L2536">
        <v>0</v>
      </c>
      <c r="M2536">
        <v>0</v>
      </c>
      <c r="N2536">
        <v>0</v>
      </c>
      <c r="O2536">
        <v>0</v>
      </c>
      <c r="P2536">
        <v>0</v>
      </c>
      <c r="Q2536">
        <v>0</v>
      </c>
      <c r="R2536">
        <v>0</v>
      </c>
      <c r="S2536">
        <v>0</v>
      </c>
      <c r="T2536">
        <v>0</v>
      </c>
      <c r="U2536">
        <v>0</v>
      </c>
      <c r="V2536">
        <v>53</v>
      </c>
      <c r="W2536">
        <v>371</v>
      </c>
      <c r="X2536">
        <v>0</v>
      </c>
      <c r="Z2536">
        <v>0</v>
      </c>
      <c r="AA2536">
        <v>0</v>
      </c>
      <c r="AB2536">
        <v>0</v>
      </c>
      <c r="AC2536">
        <v>0</v>
      </c>
      <c r="AD2536" t="s">
        <v>4760</v>
      </c>
    </row>
    <row r="2537" spans="1:30" x14ac:dyDescent="0.25">
      <c r="H2537" t="s">
        <v>4761</v>
      </c>
    </row>
    <row r="2538" spans="1:30" x14ac:dyDescent="0.25">
      <c r="A2538">
        <v>1266</v>
      </c>
      <c r="B2538">
        <v>2157</v>
      </c>
      <c r="C2538" t="s">
        <v>4762</v>
      </c>
      <c r="D2538" t="s">
        <v>439</v>
      </c>
      <c r="E2538" t="s">
        <v>595</v>
      </c>
      <c r="F2538" t="s">
        <v>4763</v>
      </c>
      <c r="G2538" t="str">
        <f>"00222434"</f>
        <v>00222434</v>
      </c>
      <c r="H2538" t="s">
        <v>4764</v>
      </c>
      <c r="I2538">
        <v>0</v>
      </c>
      <c r="J2538">
        <v>0</v>
      </c>
      <c r="K2538">
        <v>0</v>
      </c>
      <c r="L2538">
        <v>0</v>
      </c>
      <c r="M2538">
        <v>0</v>
      </c>
      <c r="N2538">
        <v>70</v>
      </c>
      <c r="O2538">
        <v>0</v>
      </c>
      <c r="P2538">
        <v>0</v>
      </c>
      <c r="Q2538">
        <v>0</v>
      </c>
      <c r="R2538">
        <v>0</v>
      </c>
      <c r="S2538">
        <v>0</v>
      </c>
      <c r="T2538">
        <v>0</v>
      </c>
      <c r="U2538">
        <v>0</v>
      </c>
      <c r="V2538">
        <v>24</v>
      </c>
      <c r="W2538">
        <v>168</v>
      </c>
      <c r="X2538">
        <v>6</v>
      </c>
      <c r="Y2538">
        <v>1251</v>
      </c>
      <c r="Z2538">
        <v>0</v>
      </c>
      <c r="AA2538">
        <v>0</v>
      </c>
      <c r="AB2538">
        <v>0</v>
      </c>
      <c r="AC2538">
        <v>0</v>
      </c>
      <c r="AD2538" t="s">
        <v>4765</v>
      </c>
    </row>
    <row r="2539" spans="1:30" x14ac:dyDescent="0.25">
      <c r="H2539" t="s">
        <v>4766</v>
      </c>
    </row>
    <row r="2540" spans="1:30" x14ac:dyDescent="0.25">
      <c r="A2540">
        <v>1267</v>
      </c>
      <c r="B2540">
        <v>2157</v>
      </c>
      <c r="C2540" t="s">
        <v>4762</v>
      </c>
      <c r="D2540" t="s">
        <v>439</v>
      </c>
      <c r="E2540" t="s">
        <v>595</v>
      </c>
      <c r="F2540" t="s">
        <v>4763</v>
      </c>
      <c r="G2540" t="str">
        <f>"00222434"</f>
        <v>00222434</v>
      </c>
      <c r="H2540" t="s">
        <v>4764</v>
      </c>
      <c r="I2540">
        <v>0</v>
      </c>
      <c r="J2540">
        <v>0</v>
      </c>
      <c r="K2540">
        <v>0</v>
      </c>
      <c r="L2540">
        <v>0</v>
      </c>
      <c r="M2540">
        <v>0</v>
      </c>
      <c r="N2540">
        <v>70</v>
      </c>
      <c r="O2540">
        <v>0</v>
      </c>
      <c r="P2540">
        <v>0</v>
      </c>
      <c r="Q2540">
        <v>0</v>
      </c>
      <c r="R2540">
        <v>0</v>
      </c>
      <c r="S2540">
        <v>0</v>
      </c>
      <c r="T2540">
        <v>0</v>
      </c>
      <c r="U2540">
        <v>0</v>
      </c>
      <c r="V2540">
        <v>24</v>
      </c>
      <c r="W2540">
        <v>168</v>
      </c>
      <c r="X2540">
        <v>0</v>
      </c>
      <c r="Z2540">
        <v>0</v>
      </c>
      <c r="AA2540">
        <v>0</v>
      </c>
      <c r="AB2540">
        <v>0</v>
      </c>
      <c r="AC2540">
        <v>0</v>
      </c>
      <c r="AD2540" t="s">
        <v>4765</v>
      </c>
    </row>
    <row r="2541" spans="1:30" x14ac:dyDescent="0.25">
      <c r="H2541" t="s">
        <v>4766</v>
      </c>
    </row>
    <row r="2542" spans="1:30" x14ac:dyDescent="0.25">
      <c r="A2542">
        <v>1268</v>
      </c>
      <c r="B2542">
        <v>4338</v>
      </c>
      <c r="C2542" t="s">
        <v>4767</v>
      </c>
      <c r="D2542" t="s">
        <v>420</v>
      </c>
      <c r="E2542" t="s">
        <v>162</v>
      </c>
      <c r="F2542" t="s">
        <v>4768</v>
      </c>
      <c r="G2542" t="str">
        <f>"200801007558"</f>
        <v>200801007558</v>
      </c>
      <c r="H2542" t="s">
        <v>3862</v>
      </c>
      <c r="I2542">
        <v>0</v>
      </c>
      <c r="J2542">
        <v>0</v>
      </c>
      <c r="K2542">
        <v>0</v>
      </c>
      <c r="L2542">
        <v>0</v>
      </c>
      <c r="M2542">
        <v>0</v>
      </c>
      <c r="N2542">
        <v>30</v>
      </c>
      <c r="O2542">
        <v>0</v>
      </c>
      <c r="P2542">
        <v>0</v>
      </c>
      <c r="Q2542">
        <v>0</v>
      </c>
      <c r="R2542">
        <v>0</v>
      </c>
      <c r="S2542">
        <v>0</v>
      </c>
      <c r="T2542">
        <v>0</v>
      </c>
      <c r="U2542">
        <v>0</v>
      </c>
      <c r="V2542">
        <v>18</v>
      </c>
      <c r="W2542">
        <v>126</v>
      </c>
      <c r="X2542">
        <v>0</v>
      </c>
      <c r="Z2542">
        <v>0</v>
      </c>
      <c r="AA2542">
        <v>0</v>
      </c>
      <c r="AB2542">
        <v>18</v>
      </c>
      <c r="AC2542">
        <v>306</v>
      </c>
      <c r="AD2542" t="s">
        <v>4769</v>
      </c>
    </row>
    <row r="2543" spans="1:30" x14ac:dyDescent="0.25">
      <c r="H2543" t="s">
        <v>4770</v>
      </c>
    </row>
    <row r="2544" spans="1:30" x14ac:dyDescent="0.25">
      <c r="A2544">
        <v>1269</v>
      </c>
      <c r="B2544">
        <v>2236</v>
      </c>
      <c r="C2544" t="s">
        <v>4771</v>
      </c>
      <c r="D2544" t="s">
        <v>869</v>
      </c>
      <c r="E2544" t="s">
        <v>40</v>
      </c>
      <c r="F2544" t="s">
        <v>4772</v>
      </c>
      <c r="G2544" t="str">
        <f>"200908000369"</f>
        <v>200908000369</v>
      </c>
      <c r="H2544" t="s">
        <v>1825</v>
      </c>
      <c r="I2544">
        <v>0</v>
      </c>
      <c r="J2544">
        <v>0</v>
      </c>
      <c r="K2544">
        <v>0</v>
      </c>
      <c r="L2544">
        <v>0</v>
      </c>
      <c r="M2544">
        <v>0</v>
      </c>
      <c r="N2544">
        <v>0</v>
      </c>
      <c r="O2544">
        <v>0</v>
      </c>
      <c r="P2544">
        <v>0</v>
      </c>
      <c r="Q2544">
        <v>0</v>
      </c>
      <c r="R2544">
        <v>0</v>
      </c>
      <c r="S2544">
        <v>0</v>
      </c>
      <c r="T2544">
        <v>0</v>
      </c>
      <c r="U2544">
        <v>0</v>
      </c>
      <c r="V2544">
        <v>0</v>
      </c>
      <c r="W2544">
        <v>0</v>
      </c>
      <c r="X2544">
        <v>0</v>
      </c>
      <c r="Z2544">
        <v>1</v>
      </c>
      <c r="AA2544">
        <v>0</v>
      </c>
      <c r="AB2544">
        <v>24</v>
      </c>
      <c r="AC2544">
        <v>408</v>
      </c>
      <c r="AD2544" t="s">
        <v>4773</v>
      </c>
    </row>
    <row r="2545" spans="1:30" x14ac:dyDescent="0.25">
      <c r="H2545" t="s">
        <v>4774</v>
      </c>
    </row>
    <row r="2546" spans="1:30" x14ac:dyDescent="0.25">
      <c r="A2546">
        <v>1270</v>
      </c>
      <c r="B2546">
        <v>1967</v>
      </c>
      <c r="C2546" t="s">
        <v>4775</v>
      </c>
      <c r="D2546" t="s">
        <v>51</v>
      </c>
      <c r="E2546" t="s">
        <v>964</v>
      </c>
      <c r="F2546" t="s">
        <v>4776</v>
      </c>
      <c r="G2546" t="str">
        <f>"00159868"</f>
        <v>00159868</v>
      </c>
      <c r="H2546" t="s">
        <v>854</v>
      </c>
      <c r="I2546">
        <v>0</v>
      </c>
      <c r="J2546">
        <v>0</v>
      </c>
      <c r="K2546">
        <v>0</v>
      </c>
      <c r="L2546">
        <v>0</v>
      </c>
      <c r="M2546">
        <v>0</v>
      </c>
      <c r="N2546">
        <v>0</v>
      </c>
      <c r="O2546">
        <v>0</v>
      </c>
      <c r="P2546">
        <v>0</v>
      </c>
      <c r="Q2546">
        <v>0</v>
      </c>
      <c r="R2546">
        <v>0</v>
      </c>
      <c r="S2546">
        <v>0</v>
      </c>
      <c r="T2546">
        <v>0</v>
      </c>
      <c r="U2546">
        <v>0</v>
      </c>
      <c r="V2546">
        <v>4</v>
      </c>
      <c r="W2546">
        <v>28</v>
      </c>
      <c r="X2546">
        <v>0</v>
      </c>
      <c r="Z2546">
        <v>0</v>
      </c>
      <c r="AA2546">
        <v>0</v>
      </c>
      <c r="AB2546">
        <v>24</v>
      </c>
      <c r="AC2546">
        <v>408</v>
      </c>
      <c r="AD2546" t="s">
        <v>4777</v>
      </c>
    </row>
    <row r="2547" spans="1:30" x14ac:dyDescent="0.25">
      <c r="H2547" t="s">
        <v>4778</v>
      </c>
    </row>
    <row r="2548" spans="1:30" x14ac:dyDescent="0.25">
      <c r="A2548">
        <v>1271</v>
      </c>
      <c r="B2548">
        <v>2911</v>
      </c>
      <c r="C2548" t="s">
        <v>467</v>
      </c>
      <c r="D2548" t="s">
        <v>86</v>
      </c>
      <c r="E2548" t="s">
        <v>91</v>
      </c>
      <c r="F2548" t="s">
        <v>4779</v>
      </c>
      <c r="G2548" t="str">
        <f>"00197720"</f>
        <v>00197720</v>
      </c>
      <c r="H2548" t="s">
        <v>1303</v>
      </c>
      <c r="I2548">
        <v>0</v>
      </c>
      <c r="J2548">
        <v>0</v>
      </c>
      <c r="K2548">
        <v>0</v>
      </c>
      <c r="L2548">
        <v>0</v>
      </c>
      <c r="M2548">
        <v>0</v>
      </c>
      <c r="N2548">
        <v>0</v>
      </c>
      <c r="O2548">
        <v>0</v>
      </c>
      <c r="P2548">
        <v>0</v>
      </c>
      <c r="Q2548">
        <v>0</v>
      </c>
      <c r="R2548">
        <v>0</v>
      </c>
      <c r="S2548">
        <v>0</v>
      </c>
      <c r="T2548">
        <v>0</v>
      </c>
      <c r="U2548">
        <v>0</v>
      </c>
      <c r="V2548">
        <v>63</v>
      </c>
      <c r="W2548">
        <v>441</v>
      </c>
      <c r="X2548">
        <v>0</v>
      </c>
      <c r="Z2548">
        <v>0</v>
      </c>
      <c r="AA2548">
        <v>0</v>
      </c>
      <c r="AB2548">
        <v>0</v>
      </c>
      <c r="AC2548">
        <v>0</v>
      </c>
      <c r="AD2548" t="s">
        <v>4780</v>
      </c>
    </row>
    <row r="2549" spans="1:30" x14ac:dyDescent="0.25">
      <c r="H2549">
        <v>1249</v>
      </c>
    </row>
    <row r="2550" spans="1:30" x14ac:dyDescent="0.25">
      <c r="A2550">
        <v>1272</v>
      </c>
      <c r="B2550">
        <v>4554</v>
      </c>
      <c r="C2550" t="s">
        <v>4781</v>
      </c>
      <c r="D2550" t="s">
        <v>107</v>
      </c>
      <c r="E2550" t="s">
        <v>47</v>
      </c>
      <c r="F2550" t="s">
        <v>4782</v>
      </c>
      <c r="G2550" t="str">
        <f>"00369436"</f>
        <v>00369436</v>
      </c>
      <c r="H2550">
        <v>825</v>
      </c>
      <c r="I2550">
        <v>0</v>
      </c>
      <c r="J2550">
        <v>0</v>
      </c>
      <c r="K2550">
        <v>0</v>
      </c>
      <c r="L2550">
        <v>0</v>
      </c>
      <c r="M2550">
        <v>0</v>
      </c>
      <c r="N2550">
        <v>70</v>
      </c>
      <c r="O2550">
        <v>0</v>
      </c>
      <c r="P2550">
        <v>0</v>
      </c>
      <c r="Q2550">
        <v>0</v>
      </c>
      <c r="R2550">
        <v>0</v>
      </c>
      <c r="S2550">
        <v>0</v>
      </c>
      <c r="T2550">
        <v>0</v>
      </c>
      <c r="U2550">
        <v>0</v>
      </c>
      <c r="V2550">
        <v>36</v>
      </c>
      <c r="W2550">
        <v>252</v>
      </c>
      <c r="X2550">
        <v>0</v>
      </c>
      <c r="Z2550">
        <v>0</v>
      </c>
      <c r="AA2550">
        <v>0</v>
      </c>
      <c r="AB2550">
        <v>0</v>
      </c>
      <c r="AC2550">
        <v>0</v>
      </c>
      <c r="AD2550">
        <v>1147</v>
      </c>
    </row>
    <row r="2551" spans="1:30" x14ac:dyDescent="0.25">
      <c r="H2551" t="s">
        <v>132</v>
      </c>
    </row>
    <row r="2552" spans="1:30" x14ac:dyDescent="0.25">
      <c r="A2552">
        <v>1273</v>
      </c>
      <c r="B2552">
        <v>3814</v>
      </c>
      <c r="C2552" t="s">
        <v>4783</v>
      </c>
      <c r="D2552" t="s">
        <v>335</v>
      </c>
      <c r="E2552" t="s">
        <v>91</v>
      </c>
      <c r="F2552" t="s">
        <v>4784</v>
      </c>
      <c r="G2552" t="str">
        <f>"00364333"</f>
        <v>00364333</v>
      </c>
      <c r="H2552" t="s">
        <v>3774</v>
      </c>
      <c r="I2552">
        <v>0</v>
      </c>
      <c r="J2552">
        <v>0</v>
      </c>
      <c r="K2552">
        <v>0</v>
      </c>
      <c r="L2552">
        <v>0</v>
      </c>
      <c r="M2552">
        <v>0</v>
      </c>
      <c r="N2552">
        <v>30</v>
      </c>
      <c r="O2552">
        <v>0</v>
      </c>
      <c r="P2552">
        <v>0</v>
      </c>
      <c r="Q2552">
        <v>0</v>
      </c>
      <c r="R2552">
        <v>0</v>
      </c>
      <c r="S2552">
        <v>0</v>
      </c>
      <c r="T2552">
        <v>0</v>
      </c>
      <c r="U2552">
        <v>0</v>
      </c>
      <c r="V2552">
        <v>60</v>
      </c>
      <c r="W2552">
        <v>420</v>
      </c>
      <c r="X2552">
        <v>0</v>
      </c>
      <c r="Z2552">
        <v>0</v>
      </c>
      <c r="AA2552">
        <v>0</v>
      </c>
      <c r="AB2552">
        <v>0</v>
      </c>
      <c r="AC2552">
        <v>0</v>
      </c>
      <c r="AD2552" t="s">
        <v>4785</v>
      </c>
    </row>
    <row r="2553" spans="1:30" x14ac:dyDescent="0.25">
      <c r="H2553" t="s">
        <v>4786</v>
      </c>
    </row>
    <row r="2554" spans="1:30" x14ac:dyDescent="0.25">
      <c r="A2554">
        <v>1274</v>
      </c>
      <c r="B2554">
        <v>4059</v>
      </c>
      <c r="C2554" t="s">
        <v>4787</v>
      </c>
      <c r="D2554" t="s">
        <v>223</v>
      </c>
      <c r="E2554" t="s">
        <v>290</v>
      </c>
      <c r="F2554" t="s">
        <v>4788</v>
      </c>
      <c r="G2554" t="str">
        <f>"201511028142"</f>
        <v>201511028142</v>
      </c>
      <c r="H2554" t="s">
        <v>4309</v>
      </c>
      <c r="I2554">
        <v>0</v>
      </c>
      <c r="J2554">
        <v>0</v>
      </c>
      <c r="K2554">
        <v>0</v>
      </c>
      <c r="L2554">
        <v>0</v>
      </c>
      <c r="M2554">
        <v>0</v>
      </c>
      <c r="N2554">
        <v>70</v>
      </c>
      <c r="O2554">
        <v>0</v>
      </c>
      <c r="P2554">
        <v>0</v>
      </c>
      <c r="Q2554">
        <v>0</v>
      </c>
      <c r="R2554">
        <v>0</v>
      </c>
      <c r="S2554">
        <v>0</v>
      </c>
      <c r="T2554">
        <v>0</v>
      </c>
      <c r="U2554">
        <v>0</v>
      </c>
      <c r="V2554">
        <v>41</v>
      </c>
      <c r="W2554">
        <v>287</v>
      </c>
      <c r="X2554">
        <v>0</v>
      </c>
      <c r="Z2554">
        <v>2</v>
      </c>
      <c r="AA2554">
        <v>0</v>
      </c>
      <c r="AB2554">
        <v>0</v>
      </c>
      <c r="AC2554">
        <v>0</v>
      </c>
      <c r="AD2554" t="s">
        <v>4789</v>
      </c>
    </row>
    <row r="2555" spans="1:30" x14ac:dyDescent="0.25">
      <c r="H2555" t="s">
        <v>4790</v>
      </c>
    </row>
    <row r="2556" spans="1:30" x14ac:dyDescent="0.25">
      <c r="A2556">
        <v>1275</v>
      </c>
      <c r="B2556">
        <v>470</v>
      </c>
      <c r="C2556" t="s">
        <v>4791</v>
      </c>
      <c r="D2556" t="s">
        <v>14</v>
      </c>
      <c r="E2556" t="s">
        <v>39</v>
      </c>
      <c r="F2556" t="s">
        <v>4792</v>
      </c>
      <c r="G2556" t="str">
        <f>"200802002540"</f>
        <v>200802002540</v>
      </c>
      <c r="H2556" t="s">
        <v>813</v>
      </c>
      <c r="I2556">
        <v>0</v>
      </c>
      <c r="J2556">
        <v>0</v>
      </c>
      <c r="K2556">
        <v>0</v>
      </c>
      <c r="L2556">
        <v>0</v>
      </c>
      <c r="M2556">
        <v>0</v>
      </c>
      <c r="N2556">
        <v>70</v>
      </c>
      <c r="O2556">
        <v>50</v>
      </c>
      <c r="P2556">
        <v>0</v>
      </c>
      <c r="Q2556">
        <v>0</v>
      </c>
      <c r="R2556">
        <v>0</v>
      </c>
      <c r="S2556">
        <v>0</v>
      </c>
      <c r="T2556">
        <v>0</v>
      </c>
      <c r="U2556">
        <v>0</v>
      </c>
      <c r="V2556">
        <v>41</v>
      </c>
      <c r="W2556">
        <v>287</v>
      </c>
      <c r="X2556">
        <v>0</v>
      </c>
      <c r="Z2556">
        <v>0</v>
      </c>
      <c r="AA2556">
        <v>0</v>
      </c>
      <c r="AB2556">
        <v>0</v>
      </c>
      <c r="AC2556">
        <v>0</v>
      </c>
      <c r="AD2556" t="s">
        <v>4793</v>
      </c>
    </row>
    <row r="2557" spans="1:30" x14ac:dyDescent="0.25">
      <c r="H2557" t="s">
        <v>4794</v>
      </c>
    </row>
    <row r="2558" spans="1:30" x14ac:dyDescent="0.25">
      <c r="A2558">
        <v>1276</v>
      </c>
      <c r="B2558">
        <v>577</v>
      </c>
      <c r="C2558" t="s">
        <v>4795</v>
      </c>
      <c r="D2558" t="s">
        <v>4796</v>
      </c>
      <c r="E2558" t="s">
        <v>4797</v>
      </c>
      <c r="F2558" t="s">
        <v>4798</v>
      </c>
      <c r="G2558" t="str">
        <f>"00260600"</f>
        <v>00260600</v>
      </c>
      <c r="H2558">
        <v>726</v>
      </c>
      <c r="I2558">
        <v>0</v>
      </c>
      <c r="J2558">
        <v>0</v>
      </c>
      <c r="K2558">
        <v>0</v>
      </c>
      <c r="L2558">
        <v>0</v>
      </c>
      <c r="M2558">
        <v>0</v>
      </c>
      <c r="N2558">
        <v>50</v>
      </c>
      <c r="O2558">
        <v>0</v>
      </c>
      <c r="P2558">
        <v>0</v>
      </c>
      <c r="Q2558">
        <v>0</v>
      </c>
      <c r="R2558">
        <v>0</v>
      </c>
      <c r="S2558">
        <v>0</v>
      </c>
      <c r="T2558">
        <v>0</v>
      </c>
      <c r="U2558">
        <v>0</v>
      </c>
      <c r="V2558">
        <v>9</v>
      </c>
      <c r="W2558">
        <v>63</v>
      </c>
      <c r="X2558">
        <v>6</v>
      </c>
      <c r="Y2558">
        <v>1251</v>
      </c>
      <c r="Z2558">
        <v>0</v>
      </c>
      <c r="AA2558">
        <v>0</v>
      </c>
      <c r="AB2558">
        <v>18</v>
      </c>
      <c r="AC2558">
        <v>306</v>
      </c>
      <c r="AD2558">
        <v>1145</v>
      </c>
    </row>
    <row r="2559" spans="1:30" x14ac:dyDescent="0.25">
      <c r="H2559">
        <v>1251</v>
      </c>
    </row>
    <row r="2560" spans="1:30" x14ac:dyDescent="0.25">
      <c r="A2560">
        <v>1277</v>
      </c>
      <c r="B2560">
        <v>1288</v>
      </c>
      <c r="C2560" t="s">
        <v>4799</v>
      </c>
      <c r="D2560" t="s">
        <v>40</v>
      </c>
      <c r="E2560" t="s">
        <v>468</v>
      </c>
      <c r="F2560" t="s">
        <v>4800</v>
      </c>
      <c r="G2560" t="str">
        <f>"201402010540"</f>
        <v>201402010540</v>
      </c>
      <c r="H2560" t="s">
        <v>4801</v>
      </c>
      <c r="I2560">
        <v>0</v>
      </c>
      <c r="J2560">
        <v>0</v>
      </c>
      <c r="K2560">
        <v>0</v>
      </c>
      <c r="L2560">
        <v>0</v>
      </c>
      <c r="M2560">
        <v>0</v>
      </c>
      <c r="N2560">
        <v>0</v>
      </c>
      <c r="O2560">
        <v>0</v>
      </c>
      <c r="P2560">
        <v>0</v>
      </c>
      <c r="Q2560">
        <v>0</v>
      </c>
      <c r="R2560">
        <v>0</v>
      </c>
      <c r="S2560">
        <v>0</v>
      </c>
      <c r="T2560">
        <v>0</v>
      </c>
      <c r="U2560">
        <v>0</v>
      </c>
      <c r="V2560">
        <v>56</v>
      </c>
      <c r="W2560">
        <v>392</v>
      </c>
      <c r="X2560">
        <v>0</v>
      </c>
      <c r="Z2560">
        <v>0</v>
      </c>
      <c r="AA2560">
        <v>0</v>
      </c>
      <c r="AB2560">
        <v>0</v>
      </c>
      <c r="AC2560">
        <v>0</v>
      </c>
      <c r="AD2560" t="s">
        <v>4802</v>
      </c>
    </row>
    <row r="2561" spans="1:30" x14ac:dyDescent="0.25">
      <c r="H2561" t="s">
        <v>4803</v>
      </c>
    </row>
    <row r="2562" spans="1:30" x14ac:dyDescent="0.25">
      <c r="A2562">
        <v>1278</v>
      </c>
      <c r="B2562">
        <v>1836</v>
      </c>
      <c r="C2562" t="s">
        <v>4804</v>
      </c>
      <c r="D2562" t="s">
        <v>950</v>
      </c>
      <c r="E2562" t="s">
        <v>33</v>
      </c>
      <c r="F2562" t="s">
        <v>4805</v>
      </c>
      <c r="G2562" t="str">
        <f>"00007706"</f>
        <v>00007706</v>
      </c>
      <c r="H2562">
        <v>913</v>
      </c>
      <c r="I2562">
        <v>0</v>
      </c>
      <c r="J2562">
        <v>0</v>
      </c>
      <c r="K2562">
        <v>0</v>
      </c>
      <c r="L2562">
        <v>200</v>
      </c>
      <c r="M2562">
        <v>0</v>
      </c>
      <c r="N2562">
        <v>30</v>
      </c>
      <c r="O2562">
        <v>0</v>
      </c>
      <c r="P2562">
        <v>0</v>
      </c>
      <c r="Q2562">
        <v>0</v>
      </c>
      <c r="R2562">
        <v>0</v>
      </c>
      <c r="S2562">
        <v>0</v>
      </c>
      <c r="T2562">
        <v>0</v>
      </c>
      <c r="U2562">
        <v>0</v>
      </c>
      <c r="V2562">
        <v>0</v>
      </c>
      <c r="W2562">
        <v>0</v>
      </c>
      <c r="X2562">
        <v>0</v>
      </c>
      <c r="Z2562">
        <v>0</v>
      </c>
      <c r="AA2562">
        <v>0</v>
      </c>
      <c r="AB2562">
        <v>0</v>
      </c>
      <c r="AC2562">
        <v>0</v>
      </c>
      <c r="AD2562">
        <v>1143</v>
      </c>
    </row>
    <row r="2563" spans="1:30" x14ac:dyDescent="0.25">
      <c r="H2563">
        <v>1249</v>
      </c>
    </row>
    <row r="2564" spans="1:30" x14ac:dyDescent="0.25">
      <c r="A2564">
        <v>1279</v>
      </c>
      <c r="B2564">
        <v>467</v>
      </c>
      <c r="C2564" t="s">
        <v>4806</v>
      </c>
      <c r="D2564" t="s">
        <v>373</v>
      </c>
      <c r="E2564" t="s">
        <v>468</v>
      </c>
      <c r="F2564" t="s">
        <v>4807</v>
      </c>
      <c r="G2564" t="str">
        <f>"201601000359"</f>
        <v>201601000359</v>
      </c>
      <c r="H2564" t="s">
        <v>4808</v>
      </c>
      <c r="I2564">
        <v>0</v>
      </c>
      <c r="J2564">
        <v>0</v>
      </c>
      <c r="K2564">
        <v>0</v>
      </c>
      <c r="L2564">
        <v>0</v>
      </c>
      <c r="M2564">
        <v>0</v>
      </c>
      <c r="N2564">
        <v>30</v>
      </c>
      <c r="O2564">
        <v>0</v>
      </c>
      <c r="P2564">
        <v>30</v>
      </c>
      <c r="Q2564">
        <v>0</v>
      </c>
      <c r="R2564">
        <v>0</v>
      </c>
      <c r="S2564">
        <v>0</v>
      </c>
      <c r="T2564">
        <v>0</v>
      </c>
      <c r="U2564">
        <v>0</v>
      </c>
      <c r="V2564">
        <v>36</v>
      </c>
      <c r="W2564">
        <v>252</v>
      </c>
      <c r="X2564">
        <v>0</v>
      </c>
      <c r="Z2564">
        <v>0</v>
      </c>
      <c r="AA2564">
        <v>0</v>
      </c>
      <c r="AB2564">
        <v>0</v>
      </c>
      <c r="AC2564">
        <v>0</v>
      </c>
      <c r="AD2564" t="s">
        <v>4809</v>
      </c>
    </row>
    <row r="2565" spans="1:30" x14ac:dyDescent="0.25">
      <c r="H2565" t="s">
        <v>4810</v>
      </c>
    </row>
    <row r="2566" spans="1:30" x14ac:dyDescent="0.25">
      <c r="A2566">
        <v>1280</v>
      </c>
      <c r="B2566">
        <v>2424</v>
      </c>
      <c r="C2566" t="s">
        <v>4811</v>
      </c>
      <c r="D2566" t="s">
        <v>595</v>
      </c>
      <c r="E2566" t="s">
        <v>47</v>
      </c>
      <c r="F2566" t="s">
        <v>4812</v>
      </c>
      <c r="G2566" t="str">
        <f>"00277990"</f>
        <v>00277990</v>
      </c>
      <c r="H2566">
        <v>671</v>
      </c>
      <c r="I2566">
        <v>0</v>
      </c>
      <c r="J2566">
        <v>0</v>
      </c>
      <c r="K2566">
        <v>0</v>
      </c>
      <c r="L2566">
        <v>0</v>
      </c>
      <c r="M2566">
        <v>0</v>
      </c>
      <c r="N2566">
        <v>0</v>
      </c>
      <c r="O2566">
        <v>0</v>
      </c>
      <c r="P2566">
        <v>50</v>
      </c>
      <c r="Q2566">
        <v>0</v>
      </c>
      <c r="R2566">
        <v>0</v>
      </c>
      <c r="S2566">
        <v>0</v>
      </c>
      <c r="T2566">
        <v>0</v>
      </c>
      <c r="U2566">
        <v>0</v>
      </c>
      <c r="V2566">
        <v>48</v>
      </c>
      <c r="W2566">
        <v>336</v>
      </c>
      <c r="X2566">
        <v>0</v>
      </c>
      <c r="Z2566">
        <v>0</v>
      </c>
      <c r="AA2566">
        <v>0</v>
      </c>
      <c r="AB2566">
        <v>5</v>
      </c>
      <c r="AC2566">
        <v>85</v>
      </c>
      <c r="AD2566">
        <v>1142</v>
      </c>
    </row>
    <row r="2567" spans="1:30" x14ac:dyDescent="0.25">
      <c r="H2567" t="s">
        <v>4813</v>
      </c>
    </row>
    <row r="2568" spans="1:30" x14ac:dyDescent="0.25">
      <c r="A2568">
        <v>1281</v>
      </c>
      <c r="B2568">
        <v>5214</v>
      </c>
      <c r="C2568" t="s">
        <v>4814</v>
      </c>
      <c r="D2568" t="s">
        <v>572</v>
      </c>
      <c r="E2568" t="s">
        <v>929</v>
      </c>
      <c r="F2568" t="s">
        <v>4815</v>
      </c>
      <c r="G2568" t="str">
        <f>"00363121"</f>
        <v>00363121</v>
      </c>
      <c r="H2568" t="s">
        <v>2197</v>
      </c>
      <c r="I2568">
        <v>0</v>
      </c>
      <c r="J2568">
        <v>0</v>
      </c>
      <c r="K2568">
        <v>0</v>
      </c>
      <c r="L2568">
        <v>0</v>
      </c>
      <c r="M2568">
        <v>0</v>
      </c>
      <c r="N2568">
        <v>70</v>
      </c>
      <c r="O2568">
        <v>0</v>
      </c>
      <c r="P2568">
        <v>30</v>
      </c>
      <c r="Q2568">
        <v>0</v>
      </c>
      <c r="R2568">
        <v>0</v>
      </c>
      <c r="S2568">
        <v>0</v>
      </c>
      <c r="T2568">
        <v>0</v>
      </c>
      <c r="U2568">
        <v>0</v>
      </c>
      <c r="V2568">
        <v>49</v>
      </c>
      <c r="W2568">
        <v>343</v>
      </c>
      <c r="X2568">
        <v>0</v>
      </c>
      <c r="Z2568">
        <v>0</v>
      </c>
      <c r="AA2568">
        <v>0</v>
      </c>
      <c r="AB2568">
        <v>0</v>
      </c>
      <c r="AC2568">
        <v>0</v>
      </c>
      <c r="AD2568" t="s">
        <v>4816</v>
      </c>
    </row>
    <row r="2569" spans="1:30" x14ac:dyDescent="0.25">
      <c r="H2569" t="s">
        <v>521</v>
      </c>
    </row>
    <row r="2570" spans="1:30" x14ac:dyDescent="0.25">
      <c r="A2570">
        <v>1282</v>
      </c>
      <c r="B2570">
        <v>1631</v>
      </c>
      <c r="C2570" t="s">
        <v>4817</v>
      </c>
      <c r="D2570" t="s">
        <v>2088</v>
      </c>
      <c r="E2570" t="s">
        <v>144</v>
      </c>
      <c r="F2570" t="s">
        <v>4818</v>
      </c>
      <c r="G2570" t="str">
        <f>"00140614"</f>
        <v>00140614</v>
      </c>
      <c r="H2570" t="s">
        <v>1540</v>
      </c>
      <c r="I2570">
        <v>0</v>
      </c>
      <c r="J2570">
        <v>0</v>
      </c>
      <c r="K2570">
        <v>0</v>
      </c>
      <c r="L2570">
        <v>0</v>
      </c>
      <c r="M2570">
        <v>0</v>
      </c>
      <c r="N2570">
        <v>70</v>
      </c>
      <c r="O2570">
        <v>0</v>
      </c>
      <c r="P2570">
        <v>0</v>
      </c>
      <c r="Q2570">
        <v>0</v>
      </c>
      <c r="R2570">
        <v>0</v>
      </c>
      <c r="S2570">
        <v>0</v>
      </c>
      <c r="T2570">
        <v>0</v>
      </c>
      <c r="U2570">
        <v>0</v>
      </c>
      <c r="V2570">
        <v>56</v>
      </c>
      <c r="W2570">
        <v>392</v>
      </c>
      <c r="X2570">
        <v>0</v>
      </c>
      <c r="Z2570">
        <v>0</v>
      </c>
      <c r="AA2570">
        <v>0</v>
      </c>
      <c r="AB2570">
        <v>0</v>
      </c>
      <c r="AC2570">
        <v>0</v>
      </c>
      <c r="AD2570" t="s">
        <v>4819</v>
      </c>
    </row>
    <row r="2571" spans="1:30" x14ac:dyDescent="0.25">
      <c r="H2571" t="s">
        <v>516</v>
      </c>
    </row>
    <row r="2572" spans="1:30" x14ac:dyDescent="0.25">
      <c r="A2572">
        <v>1283</v>
      </c>
      <c r="B2572">
        <v>2311</v>
      </c>
      <c r="C2572" t="s">
        <v>4820</v>
      </c>
      <c r="D2572" t="s">
        <v>98</v>
      </c>
      <c r="E2572" t="s">
        <v>40</v>
      </c>
      <c r="F2572" t="s">
        <v>4821</v>
      </c>
      <c r="G2572" t="str">
        <f>"00010581"</f>
        <v>00010581</v>
      </c>
      <c r="H2572" t="s">
        <v>4822</v>
      </c>
      <c r="I2572">
        <v>0</v>
      </c>
      <c r="J2572">
        <v>0</v>
      </c>
      <c r="K2572">
        <v>0</v>
      </c>
      <c r="L2572">
        <v>0</v>
      </c>
      <c r="M2572">
        <v>0</v>
      </c>
      <c r="N2572">
        <v>70</v>
      </c>
      <c r="O2572">
        <v>0</v>
      </c>
      <c r="P2572">
        <v>0</v>
      </c>
      <c r="Q2572">
        <v>0</v>
      </c>
      <c r="R2572">
        <v>0</v>
      </c>
      <c r="S2572">
        <v>0</v>
      </c>
      <c r="T2572">
        <v>0</v>
      </c>
      <c r="U2572">
        <v>0</v>
      </c>
      <c r="V2572">
        <v>0</v>
      </c>
      <c r="W2572">
        <v>0</v>
      </c>
      <c r="X2572">
        <v>0</v>
      </c>
      <c r="Z2572">
        <v>0</v>
      </c>
      <c r="AA2572">
        <v>0</v>
      </c>
      <c r="AB2572">
        <v>0</v>
      </c>
      <c r="AC2572">
        <v>0</v>
      </c>
      <c r="AD2572" t="s">
        <v>4823</v>
      </c>
    </row>
    <row r="2573" spans="1:30" x14ac:dyDescent="0.25">
      <c r="H2573" t="s">
        <v>4824</v>
      </c>
    </row>
    <row r="2574" spans="1:30" x14ac:dyDescent="0.25">
      <c r="A2574">
        <v>1284</v>
      </c>
      <c r="B2574">
        <v>5667</v>
      </c>
      <c r="C2574" t="s">
        <v>4825</v>
      </c>
      <c r="D2574" t="s">
        <v>4826</v>
      </c>
      <c r="E2574" t="s">
        <v>40</v>
      </c>
      <c r="F2574" t="s">
        <v>4827</v>
      </c>
      <c r="G2574" t="str">
        <f>"00357058"</f>
        <v>00357058</v>
      </c>
      <c r="H2574" t="s">
        <v>754</v>
      </c>
      <c r="I2574">
        <v>0</v>
      </c>
      <c r="J2574">
        <v>0</v>
      </c>
      <c r="K2574">
        <v>0</v>
      </c>
      <c r="L2574">
        <v>0</v>
      </c>
      <c r="M2574">
        <v>0</v>
      </c>
      <c r="N2574">
        <v>30</v>
      </c>
      <c r="O2574">
        <v>0</v>
      </c>
      <c r="P2574">
        <v>0</v>
      </c>
      <c r="Q2574">
        <v>0</v>
      </c>
      <c r="R2574">
        <v>0</v>
      </c>
      <c r="S2574">
        <v>0</v>
      </c>
      <c r="T2574">
        <v>0</v>
      </c>
      <c r="U2574">
        <v>0</v>
      </c>
      <c r="V2574">
        <v>55</v>
      </c>
      <c r="W2574">
        <v>385</v>
      </c>
      <c r="X2574">
        <v>0</v>
      </c>
      <c r="Z2574">
        <v>0</v>
      </c>
      <c r="AA2574">
        <v>0</v>
      </c>
      <c r="AB2574">
        <v>0</v>
      </c>
      <c r="AC2574">
        <v>0</v>
      </c>
      <c r="AD2574" t="s">
        <v>4828</v>
      </c>
    </row>
    <row r="2575" spans="1:30" x14ac:dyDescent="0.25">
      <c r="H2575" t="s">
        <v>4829</v>
      </c>
    </row>
    <row r="2576" spans="1:30" x14ac:dyDescent="0.25">
      <c r="A2576">
        <v>1285</v>
      </c>
      <c r="B2576">
        <v>161</v>
      </c>
      <c r="C2576" t="s">
        <v>4830</v>
      </c>
      <c r="D2576" t="s">
        <v>39</v>
      </c>
      <c r="E2576" t="s">
        <v>595</v>
      </c>
      <c r="F2576" t="s">
        <v>4831</v>
      </c>
      <c r="G2576" t="str">
        <f>"200801000021"</f>
        <v>200801000021</v>
      </c>
      <c r="H2576" t="s">
        <v>754</v>
      </c>
      <c r="I2576">
        <v>0</v>
      </c>
      <c r="J2576">
        <v>0</v>
      </c>
      <c r="K2576">
        <v>0</v>
      </c>
      <c r="L2576">
        <v>0</v>
      </c>
      <c r="M2576">
        <v>0</v>
      </c>
      <c r="N2576">
        <v>30</v>
      </c>
      <c r="O2576">
        <v>0</v>
      </c>
      <c r="P2576">
        <v>0</v>
      </c>
      <c r="Q2576">
        <v>0</v>
      </c>
      <c r="R2576">
        <v>0</v>
      </c>
      <c r="S2576">
        <v>0</v>
      </c>
      <c r="T2576">
        <v>0</v>
      </c>
      <c r="U2576">
        <v>0</v>
      </c>
      <c r="V2576">
        <v>55</v>
      </c>
      <c r="W2576">
        <v>385</v>
      </c>
      <c r="X2576">
        <v>0</v>
      </c>
      <c r="Z2576">
        <v>0</v>
      </c>
      <c r="AA2576">
        <v>0</v>
      </c>
      <c r="AB2576">
        <v>0</v>
      </c>
      <c r="AC2576">
        <v>0</v>
      </c>
      <c r="AD2576" t="s">
        <v>4828</v>
      </c>
    </row>
    <row r="2577" spans="1:30" x14ac:dyDescent="0.25">
      <c r="H2577" t="s">
        <v>4832</v>
      </c>
    </row>
    <row r="2578" spans="1:30" x14ac:dyDescent="0.25">
      <c r="A2578">
        <v>1286</v>
      </c>
      <c r="B2578">
        <v>789</v>
      </c>
      <c r="C2578" t="s">
        <v>4833</v>
      </c>
      <c r="D2578" t="s">
        <v>335</v>
      </c>
      <c r="E2578" t="s">
        <v>162</v>
      </c>
      <c r="F2578" t="s">
        <v>4834</v>
      </c>
      <c r="G2578" t="str">
        <f>"201601000649"</f>
        <v>201601000649</v>
      </c>
      <c r="H2578" t="s">
        <v>1294</v>
      </c>
      <c r="I2578">
        <v>0</v>
      </c>
      <c r="J2578">
        <v>0</v>
      </c>
      <c r="K2578">
        <v>0</v>
      </c>
      <c r="L2578">
        <v>0</v>
      </c>
      <c r="M2578">
        <v>0</v>
      </c>
      <c r="N2578">
        <v>0</v>
      </c>
      <c r="O2578">
        <v>0</v>
      </c>
      <c r="P2578">
        <v>0</v>
      </c>
      <c r="Q2578">
        <v>0</v>
      </c>
      <c r="R2578">
        <v>0</v>
      </c>
      <c r="S2578">
        <v>0</v>
      </c>
      <c r="T2578">
        <v>0</v>
      </c>
      <c r="U2578">
        <v>0</v>
      </c>
      <c r="V2578">
        <v>52</v>
      </c>
      <c r="W2578">
        <v>364</v>
      </c>
      <c r="X2578">
        <v>0</v>
      </c>
      <c r="Z2578">
        <v>1</v>
      </c>
      <c r="AA2578">
        <v>0</v>
      </c>
      <c r="AB2578">
        <v>5</v>
      </c>
      <c r="AC2578">
        <v>85</v>
      </c>
      <c r="AD2578" t="s">
        <v>4835</v>
      </c>
    </row>
    <row r="2579" spans="1:30" x14ac:dyDescent="0.25">
      <c r="H2579">
        <v>1247</v>
      </c>
    </row>
    <row r="2580" spans="1:30" x14ac:dyDescent="0.25">
      <c r="A2580">
        <v>1287</v>
      </c>
      <c r="B2580">
        <v>5568</v>
      </c>
      <c r="C2580" t="s">
        <v>4836</v>
      </c>
      <c r="D2580" t="s">
        <v>47</v>
      </c>
      <c r="E2580" t="s">
        <v>39</v>
      </c>
      <c r="F2580" t="s">
        <v>4837</v>
      </c>
      <c r="G2580" t="str">
        <f>"201511029998"</f>
        <v>201511029998</v>
      </c>
      <c r="H2580" t="s">
        <v>362</v>
      </c>
      <c r="I2580">
        <v>0</v>
      </c>
      <c r="J2580">
        <v>0</v>
      </c>
      <c r="K2580">
        <v>0</v>
      </c>
      <c r="L2580">
        <v>200</v>
      </c>
      <c r="M2580">
        <v>0</v>
      </c>
      <c r="N2580">
        <v>30</v>
      </c>
      <c r="O2580">
        <v>0</v>
      </c>
      <c r="P2580">
        <v>0</v>
      </c>
      <c r="Q2580">
        <v>0</v>
      </c>
      <c r="R2580">
        <v>0</v>
      </c>
      <c r="S2580">
        <v>0</v>
      </c>
      <c r="T2580">
        <v>0</v>
      </c>
      <c r="U2580">
        <v>0</v>
      </c>
      <c r="V2580">
        <v>7</v>
      </c>
      <c r="W2580">
        <v>49</v>
      </c>
      <c r="X2580">
        <v>0</v>
      </c>
      <c r="Z2580">
        <v>0</v>
      </c>
      <c r="AA2580">
        <v>0</v>
      </c>
      <c r="AB2580">
        <v>0</v>
      </c>
      <c r="AC2580">
        <v>0</v>
      </c>
      <c r="AD2580" t="s">
        <v>4838</v>
      </c>
    </row>
    <row r="2581" spans="1:30" x14ac:dyDescent="0.25">
      <c r="H2581" t="s">
        <v>4839</v>
      </c>
    </row>
    <row r="2582" spans="1:30" x14ac:dyDescent="0.25">
      <c r="A2582">
        <v>1288</v>
      </c>
      <c r="B2582">
        <v>4920</v>
      </c>
      <c r="C2582" t="s">
        <v>4840</v>
      </c>
      <c r="D2582" t="s">
        <v>420</v>
      </c>
      <c r="E2582" t="s">
        <v>39</v>
      </c>
      <c r="F2582" t="s">
        <v>4841</v>
      </c>
      <c r="G2582" t="str">
        <f>"201406013405"</f>
        <v>201406013405</v>
      </c>
      <c r="H2582" t="s">
        <v>241</v>
      </c>
      <c r="I2582">
        <v>0</v>
      </c>
      <c r="J2582">
        <v>0</v>
      </c>
      <c r="K2582">
        <v>0</v>
      </c>
      <c r="L2582">
        <v>200</v>
      </c>
      <c r="M2582">
        <v>0</v>
      </c>
      <c r="N2582">
        <v>50</v>
      </c>
      <c r="O2582">
        <v>0</v>
      </c>
      <c r="P2582">
        <v>0</v>
      </c>
      <c r="Q2582">
        <v>0</v>
      </c>
      <c r="R2582">
        <v>0</v>
      </c>
      <c r="S2582">
        <v>0</v>
      </c>
      <c r="T2582">
        <v>0</v>
      </c>
      <c r="U2582">
        <v>0</v>
      </c>
      <c r="V2582">
        <v>24</v>
      </c>
      <c r="W2582">
        <v>168</v>
      </c>
      <c r="X2582">
        <v>6</v>
      </c>
      <c r="Y2582">
        <v>1251</v>
      </c>
      <c r="Z2582">
        <v>0</v>
      </c>
      <c r="AA2582">
        <v>0</v>
      </c>
      <c r="AB2582">
        <v>0</v>
      </c>
      <c r="AC2582">
        <v>0</v>
      </c>
      <c r="AD2582" t="s">
        <v>4842</v>
      </c>
    </row>
    <row r="2583" spans="1:30" x14ac:dyDescent="0.25">
      <c r="H2583" t="s">
        <v>4843</v>
      </c>
    </row>
    <row r="2584" spans="1:30" x14ac:dyDescent="0.25">
      <c r="A2584">
        <v>1289</v>
      </c>
      <c r="B2584">
        <v>4920</v>
      </c>
      <c r="C2584" t="s">
        <v>4840</v>
      </c>
      <c r="D2584" t="s">
        <v>420</v>
      </c>
      <c r="E2584" t="s">
        <v>39</v>
      </c>
      <c r="F2584" t="s">
        <v>4841</v>
      </c>
      <c r="G2584" t="str">
        <f>"201406013405"</f>
        <v>201406013405</v>
      </c>
      <c r="H2584" t="s">
        <v>241</v>
      </c>
      <c r="I2584">
        <v>0</v>
      </c>
      <c r="J2584">
        <v>0</v>
      </c>
      <c r="K2584">
        <v>0</v>
      </c>
      <c r="L2584">
        <v>200</v>
      </c>
      <c r="M2584">
        <v>0</v>
      </c>
      <c r="N2584">
        <v>50</v>
      </c>
      <c r="O2584">
        <v>0</v>
      </c>
      <c r="P2584">
        <v>0</v>
      </c>
      <c r="Q2584">
        <v>0</v>
      </c>
      <c r="R2584">
        <v>0</v>
      </c>
      <c r="S2584">
        <v>0</v>
      </c>
      <c r="T2584">
        <v>0</v>
      </c>
      <c r="U2584">
        <v>0</v>
      </c>
      <c r="V2584">
        <v>24</v>
      </c>
      <c r="W2584">
        <v>168</v>
      </c>
      <c r="X2584">
        <v>0</v>
      </c>
      <c r="Z2584">
        <v>0</v>
      </c>
      <c r="AA2584">
        <v>0</v>
      </c>
      <c r="AB2584">
        <v>0</v>
      </c>
      <c r="AC2584">
        <v>0</v>
      </c>
      <c r="AD2584" t="s">
        <v>4842</v>
      </c>
    </row>
    <row r="2585" spans="1:30" x14ac:dyDescent="0.25">
      <c r="H2585" t="s">
        <v>4843</v>
      </c>
    </row>
    <row r="2586" spans="1:30" x14ac:dyDescent="0.25">
      <c r="A2586">
        <v>1290</v>
      </c>
      <c r="B2586">
        <v>4674</v>
      </c>
      <c r="C2586" t="s">
        <v>4844</v>
      </c>
      <c r="D2586" t="s">
        <v>4845</v>
      </c>
      <c r="E2586" t="s">
        <v>1265</v>
      </c>
      <c r="F2586" t="s">
        <v>4846</v>
      </c>
      <c r="G2586" t="str">
        <f>"00205698"</f>
        <v>00205698</v>
      </c>
      <c r="H2586" t="s">
        <v>1371</v>
      </c>
      <c r="I2586">
        <v>0</v>
      </c>
      <c r="J2586">
        <v>0</v>
      </c>
      <c r="K2586">
        <v>0</v>
      </c>
      <c r="L2586">
        <v>0</v>
      </c>
      <c r="M2586">
        <v>100</v>
      </c>
      <c r="N2586">
        <v>30</v>
      </c>
      <c r="O2586">
        <v>0</v>
      </c>
      <c r="P2586">
        <v>0</v>
      </c>
      <c r="Q2586">
        <v>0</v>
      </c>
      <c r="R2586">
        <v>0</v>
      </c>
      <c r="S2586">
        <v>0</v>
      </c>
      <c r="T2586">
        <v>0</v>
      </c>
      <c r="U2586">
        <v>0</v>
      </c>
      <c r="V2586">
        <v>35</v>
      </c>
      <c r="W2586">
        <v>245</v>
      </c>
      <c r="X2586">
        <v>0</v>
      </c>
      <c r="Z2586">
        <v>0</v>
      </c>
      <c r="AA2586">
        <v>0</v>
      </c>
      <c r="AB2586">
        <v>0</v>
      </c>
      <c r="AC2586">
        <v>0</v>
      </c>
      <c r="AD2586" t="s">
        <v>4847</v>
      </c>
    </row>
    <row r="2587" spans="1:30" x14ac:dyDescent="0.25">
      <c r="H2587" t="s">
        <v>4848</v>
      </c>
    </row>
    <row r="2588" spans="1:30" x14ac:dyDescent="0.25">
      <c r="A2588">
        <v>1291</v>
      </c>
      <c r="B2588">
        <v>2114</v>
      </c>
      <c r="C2588" t="s">
        <v>4849</v>
      </c>
      <c r="D2588" t="s">
        <v>335</v>
      </c>
      <c r="E2588" t="s">
        <v>1039</v>
      </c>
      <c r="F2588" t="s">
        <v>4850</v>
      </c>
      <c r="G2588" t="str">
        <f>"00259605"</f>
        <v>00259605</v>
      </c>
      <c r="H2588" t="s">
        <v>2836</v>
      </c>
      <c r="I2588">
        <v>0</v>
      </c>
      <c r="J2588">
        <v>0</v>
      </c>
      <c r="K2588">
        <v>0</v>
      </c>
      <c r="L2588">
        <v>0</v>
      </c>
      <c r="M2588">
        <v>0</v>
      </c>
      <c r="N2588">
        <v>70</v>
      </c>
      <c r="O2588">
        <v>0</v>
      </c>
      <c r="P2588">
        <v>0</v>
      </c>
      <c r="Q2588">
        <v>0</v>
      </c>
      <c r="R2588">
        <v>0</v>
      </c>
      <c r="S2588">
        <v>0</v>
      </c>
      <c r="T2588">
        <v>0</v>
      </c>
      <c r="U2588">
        <v>0</v>
      </c>
      <c r="V2588">
        <v>38</v>
      </c>
      <c r="W2588">
        <v>266</v>
      </c>
      <c r="X2588">
        <v>0</v>
      </c>
      <c r="Z2588">
        <v>0</v>
      </c>
      <c r="AA2588">
        <v>0</v>
      </c>
      <c r="AB2588">
        <v>0</v>
      </c>
      <c r="AC2588">
        <v>0</v>
      </c>
      <c r="AD2588" t="s">
        <v>4851</v>
      </c>
    </row>
    <row r="2589" spans="1:30" x14ac:dyDescent="0.25">
      <c r="H2589" t="s">
        <v>273</v>
      </c>
    </row>
    <row r="2590" spans="1:30" x14ac:dyDescent="0.25">
      <c r="A2590">
        <v>1292</v>
      </c>
      <c r="B2590">
        <v>5652</v>
      </c>
      <c r="C2590" t="s">
        <v>4852</v>
      </c>
      <c r="D2590" t="s">
        <v>4853</v>
      </c>
      <c r="E2590" t="s">
        <v>40</v>
      </c>
      <c r="F2590" t="s">
        <v>4854</v>
      </c>
      <c r="G2590" t="str">
        <f>"00366582"</f>
        <v>00366582</v>
      </c>
      <c r="H2590">
        <v>660</v>
      </c>
      <c r="I2590">
        <v>150</v>
      </c>
      <c r="J2590">
        <v>0</v>
      </c>
      <c r="K2590">
        <v>0</v>
      </c>
      <c r="L2590">
        <v>200</v>
      </c>
      <c r="M2590">
        <v>0</v>
      </c>
      <c r="N2590">
        <v>70</v>
      </c>
      <c r="O2590">
        <v>0</v>
      </c>
      <c r="P2590">
        <v>0</v>
      </c>
      <c r="Q2590">
        <v>0</v>
      </c>
      <c r="R2590">
        <v>0</v>
      </c>
      <c r="S2590">
        <v>0</v>
      </c>
      <c r="T2590">
        <v>0</v>
      </c>
      <c r="U2590">
        <v>0</v>
      </c>
      <c r="V2590">
        <v>8</v>
      </c>
      <c r="W2590">
        <v>56</v>
      </c>
      <c r="X2590">
        <v>0</v>
      </c>
      <c r="Z2590">
        <v>0</v>
      </c>
      <c r="AA2590">
        <v>0</v>
      </c>
      <c r="AB2590">
        <v>0</v>
      </c>
      <c r="AC2590">
        <v>0</v>
      </c>
      <c r="AD2590">
        <v>1136</v>
      </c>
    </row>
    <row r="2591" spans="1:30" x14ac:dyDescent="0.25">
      <c r="H2591" t="s">
        <v>1323</v>
      </c>
    </row>
    <row r="2592" spans="1:30" x14ac:dyDescent="0.25">
      <c r="A2592">
        <v>1293</v>
      </c>
      <c r="B2592">
        <v>1567</v>
      </c>
      <c r="C2592" t="s">
        <v>4855</v>
      </c>
      <c r="D2592" t="s">
        <v>694</v>
      </c>
      <c r="E2592" t="s">
        <v>47</v>
      </c>
      <c r="F2592" t="s">
        <v>4856</v>
      </c>
      <c r="G2592" t="str">
        <f>"00160402"</f>
        <v>00160402</v>
      </c>
      <c r="H2592" t="s">
        <v>1589</v>
      </c>
      <c r="I2592">
        <v>0</v>
      </c>
      <c r="J2592">
        <v>0</v>
      </c>
      <c r="K2592">
        <v>0</v>
      </c>
      <c r="L2592">
        <v>0</v>
      </c>
      <c r="M2592">
        <v>0</v>
      </c>
      <c r="N2592">
        <v>0</v>
      </c>
      <c r="O2592">
        <v>0</v>
      </c>
      <c r="P2592">
        <v>0</v>
      </c>
      <c r="Q2592">
        <v>0</v>
      </c>
      <c r="R2592">
        <v>0</v>
      </c>
      <c r="S2592">
        <v>0</v>
      </c>
      <c r="T2592">
        <v>0</v>
      </c>
      <c r="U2592">
        <v>0</v>
      </c>
      <c r="V2592">
        <v>44</v>
      </c>
      <c r="W2592">
        <v>308</v>
      </c>
      <c r="X2592">
        <v>0</v>
      </c>
      <c r="Z2592">
        <v>0</v>
      </c>
      <c r="AA2592">
        <v>0</v>
      </c>
      <c r="AB2592">
        <v>0</v>
      </c>
      <c r="AC2592">
        <v>0</v>
      </c>
      <c r="AD2592" t="s">
        <v>4857</v>
      </c>
    </row>
    <row r="2593" spans="1:30" x14ac:dyDescent="0.25">
      <c r="H2593" t="s">
        <v>4858</v>
      </c>
    </row>
    <row r="2594" spans="1:30" x14ac:dyDescent="0.25">
      <c r="A2594">
        <v>1294</v>
      </c>
      <c r="B2594">
        <v>4370</v>
      </c>
      <c r="C2594" t="s">
        <v>1960</v>
      </c>
      <c r="D2594" t="s">
        <v>4859</v>
      </c>
      <c r="E2594" t="s">
        <v>87</v>
      </c>
      <c r="F2594" t="s">
        <v>4860</v>
      </c>
      <c r="G2594" t="str">
        <f>"00014425"</f>
        <v>00014425</v>
      </c>
      <c r="H2594" t="s">
        <v>1063</v>
      </c>
      <c r="I2594">
        <v>150</v>
      </c>
      <c r="J2594">
        <v>0</v>
      </c>
      <c r="K2594">
        <v>0</v>
      </c>
      <c r="L2594">
        <v>0</v>
      </c>
      <c r="M2594">
        <v>0</v>
      </c>
      <c r="N2594">
        <v>30</v>
      </c>
      <c r="O2594">
        <v>0</v>
      </c>
      <c r="P2594">
        <v>0</v>
      </c>
      <c r="Q2594">
        <v>0</v>
      </c>
      <c r="R2594">
        <v>0</v>
      </c>
      <c r="S2594">
        <v>0</v>
      </c>
      <c r="T2594">
        <v>0</v>
      </c>
      <c r="U2594">
        <v>0</v>
      </c>
      <c r="V2594">
        <v>30</v>
      </c>
      <c r="W2594">
        <v>210</v>
      </c>
      <c r="X2594">
        <v>0</v>
      </c>
      <c r="Z2594">
        <v>0</v>
      </c>
      <c r="AA2594">
        <v>0</v>
      </c>
      <c r="AB2594">
        <v>0</v>
      </c>
      <c r="AC2594">
        <v>0</v>
      </c>
      <c r="AD2594" t="s">
        <v>4861</v>
      </c>
    </row>
    <row r="2595" spans="1:30" x14ac:dyDescent="0.25">
      <c r="H2595" t="s">
        <v>4862</v>
      </c>
    </row>
    <row r="2596" spans="1:30" x14ac:dyDescent="0.25">
      <c r="A2596">
        <v>1295</v>
      </c>
      <c r="B2596">
        <v>2100</v>
      </c>
      <c r="C2596" t="s">
        <v>4863</v>
      </c>
      <c r="D2596" t="s">
        <v>335</v>
      </c>
      <c r="E2596" t="s">
        <v>40</v>
      </c>
      <c r="F2596" t="s">
        <v>4864</v>
      </c>
      <c r="G2596" t="str">
        <f>"201511038468"</f>
        <v>201511038468</v>
      </c>
      <c r="H2596">
        <v>693</v>
      </c>
      <c r="I2596">
        <v>0</v>
      </c>
      <c r="J2596">
        <v>0</v>
      </c>
      <c r="K2596">
        <v>0</v>
      </c>
      <c r="L2596">
        <v>0</v>
      </c>
      <c r="M2596">
        <v>0</v>
      </c>
      <c r="N2596">
        <v>0</v>
      </c>
      <c r="O2596">
        <v>0</v>
      </c>
      <c r="P2596">
        <v>0</v>
      </c>
      <c r="Q2596">
        <v>0</v>
      </c>
      <c r="R2596">
        <v>0</v>
      </c>
      <c r="S2596">
        <v>0</v>
      </c>
      <c r="T2596">
        <v>0</v>
      </c>
      <c r="U2596">
        <v>0</v>
      </c>
      <c r="V2596">
        <v>63</v>
      </c>
      <c r="W2596">
        <v>441</v>
      </c>
      <c r="X2596">
        <v>0</v>
      </c>
      <c r="Z2596">
        <v>0</v>
      </c>
      <c r="AA2596">
        <v>0</v>
      </c>
      <c r="AB2596">
        <v>0</v>
      </c>
      <c r="AC2596">
        <v>0</v>
      </c>
      <c r="AD2596">
        <v>1134</v>
      </c>
    </row>
    <row r="2597" spans="1:30" x14ac:dyDescent="0.25">
      <c r="H2597" t="s">
        <v>4865</v>
      </c>
    </row>
    <row r="2598" spans="1:30" x14ac:dyDescent="0.25">
      <c r="A2598">
        <v>1296</v>
      </c>
      <c r="B2598">
        <v>4586</v>
      </c>
      <c r="C2598" t="s">
        <v>2077</v>
      </c>
      <c r="D2598" t="s">
        <v>4866</v>
      </c>
      <c r="E2598" t="s">
        <v>51</v>
      </c>
      <c r="F2598" t="s">
        <v>4867</v>
      </c>
      <c r="G2598" t="str">
        <f>"201601000935"</f>
        <v>201601000935</v>
      </c>
      <c r="H2598" t="s">
        <v>2321</v>
      </c>
      <c r="I2598">
        <v>0</v>
      </c>
      <c r="J2598">
        <v>0</v>
      </c>
      <c r="K2598">
        <v>0</v>
      </c>
      <c r="L2598">
        <v>0</v>
      </c>
      <c r="M2598">
        <v>0</v>
      </c>
      <c r="N2598">
        <v>30</v>
      </c>
      <c r="O2598">
        <v>0</v>
      </c>
      <c r="P2598">
        <v>0</v>
      </c>
      <c r="Q2598">
        <v>0</v>
      </c>
      <c r="R2598">
        <v>0</v>
      </c>
      <c r="S2598">
        <v>0</v>
      </c>
      <c r="T2598">
        <v>0</v>
      </c>
      <c r="U2598">
        <v>0</v>
      </c>
      <c r="V2598">
        <v>51</v>
      </c>
      <c r="W2598">
        <v>357</v>
      </c>
      <c r="X2598">
        <v>0</v>
      </c>
      <c r="Z2598">
        <v>0</v>
      </c>
      <c r="AA2598">
        <v>0</v>
      </c>
      <c r="AB2598">
        <v>0</v>
      </c>
      <c r="AC2598">
        <v>0</v>
      </c>
      <c r="AD2598" t="s">
        <v>4868</v>
      </c>
    </row>
    <row r="2599" spans="1:30" x14ac:dyDescent="0.25">
      <c r="H2599" t="s">
        <v>4869</v>
      </c>
    </row>
    <row r="2600" spans="1:30" x14ac:dyDescent="0.25">
      <c r="A2600">
        <v>1297</v>
      </c>
      <c r="B2600">
        <v>3038</v>
      </c>
      <c r="C2600" t="s">
        <v>4870</v>
      </c>
      <c r="D2600" t="s">
        <v>544</v>
      </c>
      <c r="E2600" t="s">
        <v>107</v>
      </c>
      <c r="F2600" t="s">
        <v>4871</v>
      </c>
      <c r="G2600" t="str">
        <f>"00214554"</f>
        <v>00214554</v>
      </c>
      <c r="H2600" t="s">
        <v>2197</v>
      </c>
      <c r="I2600">
        <v>0</v>
      </c>
      <c r="J2600">
        <v>0</v>
      </c>
      <c r="K2600">
        <v>0</v>
      </c>
      <c r="L2600">
        <v>0</v>
      </c>
      <c r="M2600">
        <v>0</v>
      </c>
      <c r="N2600">
        <v>30</v>
      </c>
      <c r="O2600">
        <v>0</v>
      </c>
      <c r="P2600">
        <v>0</v>
      </c>
      <c r="Q2600">
        <v>0</v>
      </c>
      <c r="R2600">
        <v>0</v>
      </c>
      <c r="S2600">
        <v>0</v>
      </c>
      <c r="T2600">
        <v>0</v>
      </c>
      <c r="U2600">
        <v>0</v>
      </c>
      <c r="V2600">
        <v>58</v>
      </c>
      <c r="W2600">
        <v>406</v>
      </c>
      <c r="X2600">
        <v>0</v>
      </c>
      <c r="Z2600">
        <v>2</v>
      </c>
      <c r="AA2600">
        <v>0</v>
      </c>
      <c r="AB2600">
        <v>0</v>
      </c>
      <c r="AC2600">
        <v>0</v>
      </c>
      <c r="AD2600" t="s">
        <v>4872</v>
      </c>
    </row>
    <row r="2601" spans="1:30" x14ac:dyDescent="0.25">
      <c r="H2601" t="s">
        <v>4873</v>
      </c>
    </row>
    <row r="2602" spans="1:30" x14ac:dyDescent="0.25">
      <c r="A2602">
        <v>1298</v>
      </c>
      <c r="B2602">
        <v>3164</v>
      </c>
      <c r="C2602" t="s">
        <v>4874</v>
      </c>
      <c r="D2602" t="s">
        <v>335</v>
      </c>
      <c r="E2602" t="s">
        <v>151</v>
      </c>
      <c r="F2602" t="s">
        <v>4875</v>
      </c>
      <c r="G2602" t="str">
        <f>"200801009277"</f>
        <v>200801009277</v>
      </c>
      <c r="H2602" t="s">
        <v>1303</v>
      </c>
      <c r="I2602">
        <v>0</v>
      </c>
      <c r="J2602">
        <v>0</v>
      </c>
      <c r="K2602">
        <v>0</v>
      </c>
      <c r="L2602">
        <v>200</v>
      </c>
      <c r="M2602">
        <v>0</v>
      </c>
      <c r="N2602">
        <v>30</v>
      </c>
      <c r="O2602">
        <v>0</v>
      </c>
      <c r="P2602">
        <v>0</v>
      </c>
      <c r="Q2602">
        <v>50</v>
      </c>
      <c r="R2602">
        <v>0</v>
      </c>
      <c r="S2602">
        <v>0</v>
      </c>
      <c r="T2602">
        <v>0</v>
      </c>
      <c r="U2602">
        <v>0</v>
      </c>
      <c r="V2602">
        <v>21</v>
      </c>
      <c r="W2602">
        <v>147</v>
      </c>
      <c r="X2602">
        <v>0</v>
      </c>
      <c r="Z2602">
        <v>0</v>
      </c>
      <c r="AA2602">
        <v>0</v>
      </c>
      <c r="AB2602">
        <v>0</v>
      </c>
      <c r="AC2602">
        <v>0</v>
      </c>
      <c r="AD2602" t="s">
        <v>4876</v>
      </c>
    </row>
    <row r="2603" spans="1:30" x14ac:dyDescent="0.25">
      <c r="H2603" t="s">
        <v>4877</v>
      </c>
    </row>
    <row r="2604" spans="1:30" x14ac:dyDescent="0.25">
      <c r="A2604">
        <v>1299</v>
      </c>
      <c r="B2604">
        <v>5301</v>
      </c>
      <c r="C2604" t="s">
        <v>4878</v>
      </c>
      <c r="D2604" t="s">
        <v>143</v>
      </c>
      <c r="E2604" t="s">
        <v>107</v>
      </c>
      <c r="F2604" t="s">
        <v>4879</v>
      </c>
      <c r="G2604" t="str">
        <f>"00250429"</f>
        <v>00250429</v>
      </c>
      <c r="H2604" t="s">
        <v>1251</v>
      </c>
      <c r="I2604">
        <v>0</v>
      </c>
      <c r="J2604">
        <v>0</v>
      </c>
      <c r="K2604">
        <v>0</v>
      </c>
      <c r="L2604">
        <v>0</v>
      </c>
      <c r="M2604">
        <v>0</v>
      </c>
      <c r="N2604">
        <v>30</v>
      </c>
      <c r="O2604">
        <v>0</v>
      </c>
      <c r="P2604">
        <v>0</v>
      </c>
      <c r="Q2604">
        <v>70</v>
      </c>
      <c r="R2604">
        <v>0</v>
      </c>
      <c r="S2604">
        <v>0</v>
      </c>
      <c r="T2604">
        <v>0</v>
      </c>
      <c r="U2604">
        <v>0</v>
      </c>
      <c r="V2604">
        <v>48</v>
      </c>
      <c r="W2604">
        <v>336</v>
      </c>
      <c r="X2604">
        <v>0</v>
      </c>
      <c r="Z2604">
        <v>0</v>
      </c>
      <c r="AA2604">
        <v>0</v>
      </c>
      <c r="AB2604">
        <v>0</v>
      </c>
      <c r="AC2604">
        <v>0</v>
      </c>
      <c r="AD2604" t="s">
        <v>4880</v>
      </c>
    </row>
    <row r="2605" spans="1:30" x14ac:dyDescent="0.25">
      <c r="H2605" t="s">
        <v>4881</v>
      </c>
    </row>
    <row r="2606" spans="1:30" x14ac:dyDescent="0.25">
      <c r="A2606">
        <v>1300</v>
      </c>
      <c r="B2606">
        <v>4366</v>
      </c>
      <c r="C2606" t="s">
        <v>4882</v>
      </c>
      <c r="D2606" t="s">
        <v>1801</v>
      </c>
      <c r="E2606" t="s">
        <v>4883</v>
      </c>
      <c r="F2606" t="s">
        <v>4884</v>
      </c>
      <c r="G2606" t="str">
        <f>"00311562"</f>
        <v>00311562</v>
      </c>
      <c r="H2606">
        <v>770</v>
      </c>
      <c r="I2606">
        <v>0</v>
      </c>
      <c r="J2606">
        <v>0</v>
      </c>
      <c r="K2606">
        <v>0</v>
      </c>
      <c r="L2606">
        <v>0</v>
      </c>
      <c r="M2606">
        <v>0</v>
      </c>
      <c r="N2606">
        <v>30</v>
      </c>
      <c r="O2606">
        <v>0</v>
      </c>
      <c r="P2606">
        <v>0</v>
      </c>
      <c r="Q2606">
        <v>30</v>
      </c>
      <c r="R2606">
        <v>0</v>
      </c>
      <c r="S2606">
        <v>0</v>
      </c>
      <c r="T2606">
        <v>0</v>
      </c>
      <c r="U2606">
        <v>0</v>
      </c>
      <c r="V2606">
        <v>43</v>
      </c>
      <c r="W2606">
        <v>301</v>
      </c>
      <c r="X2606">
        <v>0</v>
      </c>
      <c r="Z2606">
        <v>0</v>
      </c>
      <c r="AA2606">
        <v>0</v>
      </c>
      <c r="AB2606">
        <v>0</v>
      </c>
      <c r="AC2606">
        <v>0</v>
      </c>
      <c r="AD2606">
        <v>1131</v>
      </c>
    </row>
    <row r="2607" spans="1:30" x14ac:dyDescent="0.25">
      <c r="H2607" t="s">
        <v>4885</v>
      </c>
    </row>
    <row r="2608" spans="1:30" x14ac:dyDescent="0.25">
      <c r="A2608">
        <v>1301</v>
      </c>
      <c r="B2608">
        <v>2087</v>
      </c>
      <c r="C2608" t="s">
        <v>4886</v>
      </c>
      <c r="D2608" t="s">
        <v>335</v>
      </c>
      <c r="E2608" t="s">
        <v>547</v>
      </c>
      <c r="F2608" t="s">
        <v>4887</v>
      </c>
      <c r="G2608" t="str">
        <f>"00004303"</f>
        <v>00004303</v>
      </c>
      <c r="H2608" t="s">
        <v>456</v>
      </c>
      <c r="I2608">
        <v>0</v>
      </c>
      <c r="J2608">
        <v>0</v>
      </c>
      <c r="K2608">
        <v>0</v>
      </c>
      <c r="L2608">
        <v>0</v>
      </c>
      <c r="M2608">
        <v>0</v>
      </c>
      <c r="N2608">
        <v>30</v>
      </c>
      <c r="O2608">
        <v>0</v>
      </c>
      <c r="P2608">
        <v>0</v>
      </c>
      <c r="Q2608">
        <v>0</v>
      </c>
      <c r="R2608">
        <v>0</v>
      </c>
      <c r="S2608">
        <v>0</v>
      </c>
      <c r="T2608">
        <v>0</v>
      </c>
      <c r="U2608">
        <v>0</v>
      </c>
      <c r="V2608">
        <v>9</v>
      </c>
      <c r="W2608">
        <v>63</v>
      </c>
      <c r="X2608">
        <v>0</v>
      </c>
      <c r="Z2608">
        <v>0</v>
      </c>
      <c r="AA2608">
        <v>0</v>
      </c>
      <c r="AB2608">
        <v>14</v>
      </c>
      <c r="AC2608">
        <v>238</v>
      </c>
      <c r="AD2608" t="s">
        <v>4888</v>
      </c>
    </row>
    <row r="2609" spans="1:30" x14ac:dyDescent="0.25">
      <c r="H2609" t="s">
        <v>4889</v>
      </c>
    </row>
    <row r="2610" spans="1:30" x14ac:dyDescent="0.25">
      <c r="A2610">
        <v>1302</v>
      </c>
      <c r="B2610">
        <v>1371</v>
      </c>
      <c r="C2610" t="s">
        <v>4890</v>
      </c>
      <c r="D2610" t="s">
        <v>143</v>
      </c>
      <c r="E2610" t="s">
        <v>535</v>
      </c>
      <c r="F2610" t="s">
        <v>4891</v>
      </c>
      <c r="G2610" t="str">
        <f>"00245172"</f>
        <v>00245172</v>
      </c>
      <c r="H2610" t="s">
        <v>3441</v>
      </c>
      <c r="I2610">
        <v>150</v>
      </c>
      <c r="J2610">
        <v>0</v>
      </c>
      <c r="K2610">
        <v>0</v>
      </c>
      <c r="L2610">
        <v>0</v>
      </c>
      <c r="M2610">
        <v>0</v>
      </c>
      <c r="N2610">
        <v>70</v>
      </c>
      <c r="O2610">
        <v>30</v>
      </c>
      <c r="P2610">
        <v>0</v>
      </c>
      <c r="Q2610">
        <v>70</v>
      </c>
      <c r="R2610">
        <v>0</v>
      </c>
      <c r="S2610">
        <v>0</v>
      </c>
      <c r="T2610">
        <v>0</v>
      </c>
      <c r="U2610">
        <v>0</v>
      </c>
      <c r="V2610">
        <v>17</v>
      </c>
      <c r="W2610">
        <v>119</v>
      </c>
      <c r="X2610">
        <v>0</v>
      </c>
      <c r="Z2610">
        <v>1</v>
      </c>
      <c r="AA2610">
        <v>0</v>
      </c>
      <c r="AB2610">
        <v>0</v>
      </c>
      <c r="AC2610">
        <v>0</v>
      </c>
      <c r="AD2610" t="s">
        <v>4892</v>
      </c>
    </row>
    <row r="2611" spans="1:30" x14ac:dyDescent="0.25">
      <c r="H2611" t="s">
        <v>4893</v>
      </c>
    </row>
    <row r="2612" spans="1:30" x14ac:dyDescent="0.25">
      <c r="A2612">
        <v>1303</v>
      </c>
      <c r="B2612">
        <v>3195</v>
      </c>
      <c r="C2612" t="s">
        <v>4894</v>
      </c>
      <c r="D2612" t="s">
        <v>98</v>
      </c>
      <c r="E2612" t="s">
        <v>47</v>
      </c>
      <c r="F2612" t="s">
        <v>4895</v>
      </c>
      <c r="G2612" t="str">
        <f>"00351273"</f>
        <v>00351273</v>
      </c>
      <c r="H2612" t="s">
        <v>1471</v>
      </c>
      <c r="I2612">
        <v>150</v>
      </c>
      <c r="J2612">
        <v>0</v>
      </c>
      <c r="K2612">
        <v>0</v>
      </c>
      <c r="L2612">
        <v>0</v>
      </c>
      <c r="M2612">
        <v>100</v>
      </c>
      <c r="N2612">
        <v>50</v>
      </c>
      <c r="O2612">
        <v>0</v>
      </c>
      <c r="P2612">
        <v>0</v>
      </c>
      <c r="Q2612">
        <v>0</v>
      </c>
      <c r="R2612">
        <v>0</v>
      </c>
      <c r="S2612">
        <v>0</v>
      </c>
      <c r="T2612">
        <v>0</v>
      </c>
      <c r="U2612">
        <v>0</v>
      </c>
      <c r="V2612">
        <v>28</v>
      </c>
      <c r="W2612">
        <v>196</v>
      </c>
      <c r="X2612">
        <v>0</v>
      </c>
      <c r="Z2612">
        <v>2</v>
      </c>
      <c r="AA2612">
        <v>0</v>
      </c>
      <c r="AB2612">
        <v>0</v>
      </c>
      <c r="AC2612">
        <v>0</v>
      </c>
      <c r="AD2612" t="s">
        <v>4896</v>
      </c>
    </row>
    <row r="2613" spans="1:30" x14ac:dyDescent="0.25">
      <c r="H2613" t="s">
        <v>2688</v>
      </c>
    </row>
    <row r="2614" spans="1:30" x14ac:dyDescent="0.25">
      <c r="A2614">
        <v>1304</v>
      </c>
      <c r="B2614">
        <v>144</v>
      </c>
      <c r="C2614" t="s">
        <v>4897</v>
      </c>
      <c r="D2614" t="s">
        <v>143</v>
      </c>
      <c r="E2614" t="s">
        <v>140</v>
      </c>
      <c r="F2614" t="s">
        <v>4898</v>
      </c>
      <c r="G2614" t="str">
        <f>"00007351"</f>
        <v>00007351</v>
      </c>
      <c r="H2614" t="s">
        <v>264</v>
      </c>
      <c r="I2614">
        <v>0</v>
      </c>
      <c r="J2614">
        <v>0</v>
      </c>
      <c r="K2614">
        <v>0</v>
      </c>
      <c r="L2614">
        <v>0</v>
      </c>
      <c r="M2614">
        <v>0</v>
      </c>
      <c r="N2614">
        <v>30</v>
      </c>
      <c r="O2614">
        <v>0</v>
      </c>
      <c r="P2614">
        <v>0</v>
      </c>
      <c r="Q2614">
        <v>0</v>
      </c>
      <c r="R2614">
        <v>0</v>
      </c>
      <c r="S2614">
        <v>0</v>
      </c>
      <c r="T2614">
        <v>0</v>
      </c>
      <c r="U2614">
        <v>0</v>
      </c>
      <c r="V2614">
        <v>44</v>
      </c>
      <c r="W2614">
        <v>308</v>
      </c>
      <c r="X2614">
        <v>0</v>
      </c>
      <c r="Z2614">
        <v>0</v>
      </c>
      <c r="AA2614">
        <v>0</v>
      </c>
      <c r="AB2614">
        <v>0</v>
      </c>
      <c r="AC2614">
        <v>0</v>
      </c>
      <c r="AD2614" t="s">
        <v>4899</v>
      </c>
    </row>
    <row r="2615" spans="1:30" x14ac:dyDescent="0.25">
      <c r="H2615" t="s">
        <v>4900</v>
      </c>
    </row>
    <row r="2616" spans="1:30" x14ac:dyDescent="0.25">
      <c r="A2616">
        <v>1305</v>
      </c>
      <c r="B2616">
        <v>3590</v>
      </c>
      <c r="C2616" t="s">
        <v>4901</v>
      </c>
      <c r="D2616" t="s">
        <v>869</v>
      </c>
      <c r="E2616" t="s">
        <v>51</v>
      </c>
      <c r="F2616" t="s">
        <v>4902</v>
      </c>
      <c r="G2616" t="str">
        <f>"00203703"</f>
        <v>00203703</v>
      </c>
      <c r="H2616" t="s">
        <v>1235</v>
      </c>
      <c r="I2616">
        <v>0</v>
      </c>
      <c r="J2616">
        <v>0</v>
      </c>
      <c r="K2616">
        <v>0</v>
      </c>
      <c r="L2616">
        <v>0</v>
      </c>
      <c r="M2616">
        <v>0</v>
      </c>
      <c r="N2616">
        <v>30</v>
      </c>
      <c r="O2616">
        <v>30</v>
      </c>
      <c r="P2616">
        <v>0</v>
      </c>
      <c r="Q2616">
        <v>0</v>
      </c>
      <c r="R2616">
        <v>0</v>
      </c>
      <c r="S2616">
        <v>0</v>
      </c>
      <c r="T2616">
        <v>0</v>
      </c>
      <c r="U2616">
        <v>0</v>
      </c>
      <c r="V2616">
        <v>57</v>
      </c>
      <c r="W2616">
        <v>399</v>
      </c>
      <c r="X2616">
        <v>0</v>
      </c>
      <c r="Z2616">
        <v>0</v>
      </c>
      <c r="AA2616">
        <v>0</v>
      </c>
      <c r="AB2616">
        <v>0</v>
      </c>
      <c r="AC2616">
        <v>0</v>
      </c>
      <c r="AD2616" t="s">
        <v>4899</v>
      </c>
    </row>
    <row r="2617" spans="1:30" x14ac:dyDescent="0.25">
      <c r="H2617" t="s">
        <v>4903</v>
      </c>
    </row>
    <row r="2618" spans="1:30" x14ac:dyDescent="0.25">
      <c r="A2618">
        <v>1306</v>
      </c>
      <c r="B2618">
        <v>4459</v>
      </c>
      <c r="C2618" t="s">
        <v>4904</v>
      </c>
      <c r="D2618" t="s">
        <v>494</v>
      </c>
      <c r="E2618" t="s">
        <v>107</v>
      </c>
      <c r="F2618" t="s">
        <v>4905</v>
      </c>
      <c r="G2618" t="str">
        <f>"00351725"</f>
        <v>00351725</v>
      </c>
      <c r="H2618" t="s">
        <v>293</v>
      </c>
      <c r="I2618">
        <v>0</v>
      </c>
      <c r="J2618">
        <v>0</v>
      </c>
      <c r="K2618">
        <v>0</v>
      </c>
      <c r="L2618">
        <v>0</v>
      </c>
      <c r="M2618">
        <v>0</v>
      </c>
      <c r="N2618">
        <v>30</v>
      </c>
      <c r="O2618">
        <v>0</v>
      </c>
      <c r="P2618">
        <v>0</v>
      </c>
      <c r="Q2618">
        <v>0</v>
      </c>
      <c r="R2618">
        <v>0</v>
      </c>
      <c r="S2618">
        <v>0</v>
      </c>
      <c r="T2618">
        <v>0</v>
      </c>
      <c r="U2618">
        <v>0</v>
      </c>
      <c r="V2618">
        <v>52</v>
      </c>
      <c r="W2618">
        <v>364</v>
      </c>
      <c r="X2618">
        <v>0</v>
      </c>
      <c r="Z2618">
        <v>0</v>
      </c>
      <c r="AA2618">
        <v>0</v>
      </c>
      <c r="AB2618">
        <v>0</v>
      </c>
      <c r="AC2618">
        <v>0</v>
      </c>
      <c r="AD2618" t="s">
        <v>4906</v>
      </c>
    </row>
    <row r="2619" spans="1:30" x14ac:dyDescent="0.25">
      <c r="H2619" t="s">
        <v>4907</v>
      </c>
    </row>
    <row r="2620" spans="1:30" x14ac:dyDescent="0.25">
      <c r="A2620">
        <v>1307</v>
      </c>
      <c r="B2620">
        <v>2587</v>
      </c>
      <c r="C2620" t="s">
        <v>4908</v>
      </c>
      <c r="D2620" t="s">
        <v>677</v>
      </c>
      <c r="E2620" t="s">
        <v>40</v>
      </c>
      <c r="F2620" t="s">
        <v>4909</v>
      </c>
      <c r="G2620" t="str">
        <f>"00194762"</f>
        <v>00194762</v>
      </c>
      <c r="H2620" t="s">
        <v>3999</v>
      </c>
      <c r="I2620">
        <v>0</v>
      </c>
      <c r="J2620">
        <v>0</v>
      </c>
      <c r="K2620">
        <v>0</v>
      </c>
      <c r="L2620">
        <v>0</v>
      </c>
      <c r="M2620">
        <v>0</v>
      </c>
      <c r="N2620">
        <v>0</v>
      </c>
      <c r="O2620">
        <v>0</v>
      </c>
      <c r="P2620">
        <v>0</v>
      </c>
      <c r="Q2620">
        <v>0</v>
      </c>
      <c r="R2620">
        <v>0</v>
      </c>
      <c r="S2620">
        <v>0</v>
      </c>
      <c r="T2620">
        <v>0</v>
      </c>
      <c r="U2620">
        <v>0</v>
      </c>
      <c r="V2620">
        <v>65</v>
      </c>
      <c r="W2620">
        <v>455</v>
      </c>
      <c r="X2620">
        <v>0</v>
      </c>
      <c r="Z2620">
        <v>1</v>
      </c>
      <c r="AA2620">
        <v>0</v>
      </c>
      <c r="AB2620">
        <v>0</v>
      </c>
      <c r="AC2620">
        <v>0</v>
      </c>
      <c r="AD2620" t="s">
        <v>4910</v>
      </c>
    </row>
    <row r="2621" spans="1:30" x14ac:dyDescent="0.25">
      <c r="H2621" t="s">
        <v>4911</v>
      </c>
    </row>
    <row r="2622" spans="1:30" x14ac:dyDescent="0.25">
      <c r="A2622">
        <v>1308</v>
      </c>
      <c r="B2622">
        <v>3266</v>
      </c>
      <c r="C2622" t="s">
        <v>3756</v>
      </c>
      <c r="D2622" t="s">
        <v>661</v>
      </c>
      <c r="E2622" t="s">
        <v>39</v>
      </c>
      <c r="F2622" t="s">
        <v>4912</v>
      </c>
      <c r="G2622" t="str">
        <f>"00352600"</f>
        <v>00352600</v>
      </c>
      <c r="H2622" t="s">
        <v>2242</v>
      </c>
      <c r="I2622">
        <v>0</v>
      </c>
      <c r="J2622">
        <v>0</v>
      </c>
      <c r="K2622">
        <v>0</v>
      </c>
      <c r="L2622">
        <v>0</v>
      </c>
      <c r="M2622">
        <v>0</v>
      </c>
      <c r="N2622">
        <v>0</v>
      </c>
      <c r="O2622">
        <v>0</v>
      </c>
      <c r="P2622">
        <v>0</v>
      </c>
      <c r="Q2622">
        <v>0</v>
      </c>
      <c r="R2622">
        <v>0</v>
      </c>
      <c r="S2622">
        <v>0</v>
      </c>
      <c r="T2622">
        <v>0</v>
      </c>
      <c r="U2622">
        <v>0</v>
      </c>
      <c r="V2622">
        <v>59</v>
      </c>
      <c r="W2622">
        <v>413</v>
      </c>
      <c r="X2622">
        <v>0</v>
      </c>
      <c r="Z2622">
        <v>0</v>
      </c>
      <c r="AA2622">
        <v>0</v>
      </c>
      <c r="AB2622">
        <v>0</v>
      </c>
      <c r="AC2622">
        <v>0</v>
      </c>
      <c r="AD2622" t="s">
        <v>4913</v>
      </c>
    </row>
    <row r="2623" spans="1:30" x14ac:dyDescent="0.25">
      <c r="H2623" t="s">
        <v>4914</v>
      </c>
    </row>
    <row r="2624" spans="1:30" x14ac:dyDescent="0.25">
      <c r="A2624">
        <v>1309</v>
      </c>
      <c r="B2624">
        <v>2120</v>
      </c>
      <c r="C2624" t="s">
        <v>4123</v>
      </c>
      <c r="D2624" t="s">
        <v>3669</v>
      </c>
      <c r="E2624" t="s">
        <v>40</v>
      </c>
      <c r="F2624" t="s">
        <v>4915</v>
      </c>
      <c r="G2624" t="str">
        <f>"00233979"</f>
        <v>00233979</v>
      </c>
      <c r="H2624" t="s">
        <v>4091</v>
      </c>
      <c r="I2624">
        <v>0</v>
      </c>
      <c r="J2624">
        <v>0</v>
      </c>
      <c r="K2624">
        <v>0</v>
      </c>
      <c r="L2624">
        <v>0</v>
      </c>
      <c r="M2624">
        <v>0</v>
      </c>
      <c r="N2624">
        <v>30</v>
      </c>
      <c r="O2624">
        <v>0</v>
      </c>
      <c r="P2624">
        <v>0</v>
      </c>
      <c r="Q2624">
        <v>0</v>
      </c>
      <c r="R2624">
        <v>0</v>
      </c>
      <c r="S2624">
        <v>0</v>
      </c>
      <c r="T2624">
        <v>0</v>
      </c>
      <c r="U2624">
        <v>0</v>
      </c>
      <c r="V2624">
        <v>10</v>
      </c>
      <c r="W2624">
        <v>70</v>
      </c>
      <c r="X2624">
        <v>6</v>
      </c>
      <c r="Y2624">
        <v>1251</v>
      </c>
      <c r="Z2624">
        <v>0</v>
      </c>
      <c r="AA2624">
        <v>0</v>
      </c>
      <c r="AB2624">
        <v>23</v>
      </c>
      <c r="AC2624">
        <v>391</v>
      </c>
      <c r="AD2624" t="s">
        <v>4916</v>
      </c>
    </row>
    <row r="2625" spans="1:30" x14ac:dyDescent="0.25">
      <c r="H2625" t="s">
        <v>4917</v>
      </c>
    </row>
    <row r="2626" spans="1:30" x14ac:dyDescent="0.25">
      <c r="A2626">
        <v>1310</v>
      </c>
      <c r="B2626">
        <v>2120</v>
      </c>
      <c r="C2626" t="s">
        <v>4123</v>
      </c>
      <c r="D2626" t="s">
        <v>3669</v>
      </c>
      <c r="E2626" t="s">
        <v>40</v>
      </c>
      <c r="F2626" t="s">
        <v>4915</v>
      </c>
      <c r="G2626" t="str">
        <f>"00233979"</f>
        <v>00233979</v>
      </c>
      <c r="H2626" t="s">
        <v>4091</v>
      </c>
      <c r="I2626">
        <v>0</v>
      </c>
      <c r="J2626">
        <v>0</v>
      </c>
      <c r="K2626">
        <v>0</v>
      </c>
      <c r="L2626">
        <v>0</v>
      </c>
      <c r="M2626">
        <v>0</v>
      </c>
      <c r="N2626">
        <v>30</v>
      </c>
      <c r="O2626">
        <v>0</v>
      </c>
      <c r="P2626">
        <v>0</v>
      </c>
      <c r="Q2626">
        <v>0</v>
      </c>
      <c r="R2626">
        <v>0</v>
      </c>
      <c r="S2626">
        <v>0</v>
      </c>
      <c r="T2626">
        <v>0</v>
      </c>
      <c r="U2626">
        <v>0</v>
      </c>
      <c r="V2626">
        <v>10</v>
      </c>
      <c r="W2626">
        <v>70</v>
      </c>
      <c r="X2626">
        <v>0</v>
      </c>
      <c r="Z2626">
        <v>0</v>
      </c>
      <c r="AA2626">
        <v>0</v>
      </c>
      <c r="AB2626">
        <v>23</v>
      </c>
      <c r="AC2626">
        <v>391</v>
      </c>
      <c r="AD2626" t="s">
        <v>4916</v>
      </c>
    </row>
    <row r="2627" spans="1:30" x14ac:dyDescent="0.25">
      <c r="H2627" t="s">
        <v>4917</v>
      </c>
    </row>
    <row r="2628" spans="1:30" x14ac:dyDescent="0.25">
      <c r="A2628">
        <v>1311</v>
      </c>
      <c r="B2628">
        <v>716</v>
      </c>
      <c r="C2628" t="s">
        <v>4918</v>
      </c>
      <c r="D2628" t="s">
        <v>47</v>
      </c>
      <c r="E2628" t="s">
        <v>1660</v>
      </c>
      <c r="F2628" t="s">
        <v>4919</v>
      </c>
      <c r="G2628" t="str">
        <f>"201410002821"</f>
        <v>201410002821</v>
      </c>
      <c r="H2628">
        <v>726</v>
      </c>
      <c r="I2628">
        <v>0</v>
      </c>
      <c r="J2628">
        <v>0</v>
      </c>
      <c r="K2628">
        <v>0</v>
      </c>
      <c r="L2628">
        <v>0</v>
      </c>
      <c r="M2628">
        <v>0</v>
      </c>
      <c r="N2628">
        <v>0</v>
      </c>
      <c r="O2628">
        <v>0</v>
      </c>
      <c r="P2628">
        <v>0</v>
      </c>
      <c r="Q2628">
        <v>0</v>
      </c>
      <c r="R2628">
        <v>0</v>
      </c>
      <c r="S2628">
        <v>0</v>
      </c>
      <c r="T2628">
        <v>0</v>
      </c>
      <c r="U2628">
        <v>0</v>
      </c>
      <c r="V2628">
        <v>57</v>
      </c>
      <c r="W2628">
        <v>399</v>
      </c>
      <c r="X2628">
        <v>0</v>
      </c>
      <c r="Z2628">
        <v>0</v>
      </c>
      <c r="AA2628">
        <v>0</v>
      </c>
      <c r="AB2628">
        <v>0</v>
      </c>
      <c r="AC2628">
        <v>0</v>
      </c>
      <c r="AD2628">
        <v>1125</v>
      </c>
    </row>
    <row r="2629" spans="1:30" x14ac:dyDescent="0.25">
      <c r="H2629" t="s">
        <v>4920</v>
      </c>
    </row>
    <row r="2630" spans="1:30" x14ac:dyDescent="0.25">
      <c r="A2630">
        <v>1312</v>
      </c>
      <c r="B2630">
        <v>2661</v>
      </c>
      <c r="C2630" t="s">
        <v>4921</v>
      </c>
      <c r="D2630" t="s">
        <v>4922</v>
      </c>
      <c r="E2630" t="s">
        <v>162</v>
      </c>
      <c r="F2630" t="s">
        <v>4923</v>
      </c>
      <c r="G2630" t="str">
        <f>"201406005941"</f>
        <v>201406005941</v>
      </c>
      <c r="H2630" t="s">
        <v>3427</v>
      </c>
      <c r="I2630">
        <v>0</v>
      </c>
      <c r="J2630">
        <v>0</v>
      </c>
      <c r="K2630">
        <v>0</v>
      </c>
      <c r="L2630">
        <v>0</v>
      </c>
      <c r="M2630">
        <v>0</v>
      </c>
      <c r="N2630">
        <v>0</v>
      </c>
      <c r="O2630">
        <v>0</v>
      </c>
      <c r="P2630">
        <v>0</v>
      </c>
      <c r="Q2630">
        <v>0</v>
      </c>
      <c r="R2630">
        <v>0</v>
      </c>
      <c r="S2630">
        <v>0</v>
      </c>
      <c r="T2630">
        <v>0</v>
      </c>
      <c r="U2630">
        <v>0</v>
      </c>
      <c r="V2630">
        <v>49</v>
      </c>
      <c r="W2630">
        <v>343</v>
      </c>
      <c r="X2630">
        <v>0</v>
      </c>
      <c r="Z2630">
        <v>2</v>
      </c>
      <c r="AA2630">
        <v>0</v>
      </c>
      <c r="AB2630">
        <v>5</v>
      </c>
      <c r="AC2630">
        <v>85</v>
      </c>
      <c r="AD2630" t="s">
        <v>4924</v>
      </c>
    </row>
    <row r="2631" spans="1:30" x14ac:dyDescent="0.25">
      <c r="H2631" t="s">
        <v>4925</v>
      </c>
    </row>
    <row r="2632" spans="1:30" x14ac:dyDescent="0.25">
      <c r="A2632">
        <v>1313</v>
      </c>
      <c r="B2632">
        <v>4678</v>
      </c>
      <c r="C2632" t="s">
        <v>4926</v>
      </c>
      <c r="D2632" t="s">
        <v>98</v>
      </c>
      <c r="E2632" t="s">
        <v>144</v>
      </c>
      <c r="F2632" t="s">
        <v>4927</v>
      </c>
      <c r="G2632" t="str">
        <f>"201505000412"</f>
        <v>201505000412</v>
      </c>
      <c r="H2632" t="s">
        <v>1404</v>
      </c>
      <c r="I2632">
        <v>0</v>
      </c>
      <c r="J2632">
        <v>0</v>
      </c>
      <c r="K2632">
        <v>0</v>
      </c>
      <c r="L2632">
        <v>0</v>
      </c>
      <c r="M2632">
        <v>0</v>
      </c>
      <c r="N2632">
        <v>30</v>
      </c>
      <c r="O2632">
        <v>0</v>
      </c>
      <c r="P2632">
        <v>0</v>
      </c>
      <c r="Q2632">
        <v>0</v>
      </c>
      <c r="R2632">
        <v>0</v>
      </c>
      <c r="S2632">
        <v>0</v>
      </c>
      <c r="T2632">
        <v>0</v>
      </c>
      <c r="U2632">
        <v>0</v>
      </c>
      <c r="V2632">
        <v>39</v>
      </c>
      <c r="W2632">
        <v>273</v>
      </c>
      <c r="X2632">
        <v>0</v>
      </c>
      <c r="Z2632">
        <v>0</v>
      </c>
      <c r="AA2632">
        <v>0</v>
      </c>
      <c r="AB2632">
        <v>0</v>
      </c>
      <c r="AC2632">
        <v>0</v>
      </c>
      <c r="AD2632" t="s">
        <v>4928</v>
      </c>
    </row>
    <row r="2633" spans="1:30" x14ac:dyDescent="0.25">
      <c r="H2633" t="s">
        <v>4929</v>
      </c>
    </row>
    <row r="2634" spans="1:30" x14ac:dyDescent="0.25">
      <c r="A2634">
        <v>1314</v>
      </c>
      <c r="B2634">
        <v>4591</v>
      </c>
      <c r="C2634" t="s">
        <v>4930</v>
      </c>
      <c r="D2634" t="s">
        <v>151</v>
      </c>
      <c r="E2634" t="s">
        <v>39</v>
      </c>
      <c r="F2634" t="s">
        <v>4931</v>
      </c>
      <c r="G2634" t="str">
        <f>"201511017986"</f>
        <v>201511017986</v>
      </c>
      <c r="H2634" t="s">
        <v>642</v>
      </c>
      <c r="I2634">
        <v>0</v>
      </c>
      <c r="J2634">
        <v>0</v>
      </c>
      <c r="K2634">
        <v>0</v>
      </c>
      <c r="L2634">
        <v>0</v>
      </c>
      <c r="M2634">
        <v>0</v>
      </c>
      <c r="N2634">
        <v>50</v>
      </c>
      <c r="O2634">
        <v>0</v>
      </c>
      <c r="P2634">
        <v>0</v>
      </c>
      <c r="Q2634">
        <v>0</v>
      </c>
      <c r="R2634">
        <v>0</v>
      </c>
      <c r="S2634">
        <v>0</v>
      </c>
      <c r="T2634">
        <v>0</v>
      </c>
      <c r="U2634">
        <v>0</v>
      </c>
      <c r="V2634">
        <v>0</v>
      </c>
      <c r="W2634">
        <v>0</v>
      </c>
      <c r="X2634">
        <v>0</v>
      </c>
      <c r="Z2634">
        <v>0</v>
      </c>
      <c r="AA2634">
        <v>0</v>
      </c>
      <c r="AB2634">
        <v>24</v>
      </c>
      <c r="AC2634">
        <v>408</v>
      </c>
      <c r="AD2634" t="s">
        <v>4932</v>
      </c>
    </row>
    <row r="2635" spans="1:30" x14ac:dyDescent="0.25">
      <c r="H2635" t="s">
        <v>4933</v>
      </c>
    </row>
    <row r="2636" spans="1:30" x14ac:dyDescent="0.25">
      <c r="A2636">
        <v>1315</v>
      </c>
      <c r="B2636">
        <v>3304</v>
      </c>
      <c r="C2636" t="s">
        <v>4934</v>
      </c>
      <c r="D2636" t="s">
        <v>75</v>
      </c>
      <c r="E2636" t="s">
        <v>162</v>
      </c>
      <c r="F2636" t="s">
        <v>4935</v>
      </c>
      <c r="G2636" t="str">
        <f>"201412005487"</f>
        <v>201412005487</v>
      </c>
      <c r="H2636">
        <v>704</v>
      </c>
      <c r="I2636">
        <v>0</v>
      </c>
      <c r="J2636">
        <v>0</v>
      </c>
      <c r="K2636">
        <v>0</v>
      </c>
      <c r="L2636">
        <v>0</v>
      </c>
      <c r="M2636">
        <v>0</v>
      </c>
      <c r="N2636">
        <v>30</v>
      </c>
      <c r="O2636">
        <v>0</v>
      </c>
      <c r="P2636">
        <v>0</v>
      </c>
      <c r="Q2636">
        <v>0</v>
      </c>
      <c r="R2636">
        <v>0</v>
      </c>
      <c r="S2636">
        <v>0</v>
      </c>
      <c r="T2636">
        <v>0</v>
      </c>
      <c r="U2636">
        <v>0</v>
      </c>
      <c r="V2636">
        <v>55</v>
      </c>
      <c r="W2636">
        <v>385</v>
      </c>
      <c r="X2636">
        <v>0</v>
      </c>
      <c r="Z2636">
        <v>0</v>
      </c>
      <c r="AA2636">
        <v>0</v>
      </c>
      <c r="AB2636">
        <v>0</v>
      </c>
      <c r="AC2636">
        <v>0</v>
      </c>
      <c r="AD2636">
        <v>1119</v>
      </c>
    </row>
    <row r="2637" spans="1:30" x14ac:dyDescent="0.25">
      <c r="H2637" t="s">
        <v>4936</v>
      </c>
    </row>
    <row r="2638" spans="1:30" x14ac:dyDescent="0.25">
      <c r="A2638">
        <v>1316</v>
      </c>
      <c r="B2638">
        <v>3470</v>
      </c>
      <c r="C2638" t="s">
        <v>4937</v>
      </c>
      <c r="D2638" t="s">
        <v>4938</v>
      </c>
      <c r="E2638" t="s">
        <v>151</v>
      </c>
      <c r="F2638" t="s">
        <v>4939</v>
      </c>
      <c r="G2638" t="str">
        <f>"00161587"</f>
        <v>00161587</v>
      </c>
      <c r="H2638">
        <v>660</v>
      </c>
      <c r="I2638">
        <v>0</v>
      </c>
      <c r="J2638">
        <v>0</v>
      </c>
      <c r="K2638">
        <v>0</v>
      </c>
      <c r="L2638">
        <v>0</v>
      </c>
      <c r="M2638">
        <v>0</v>
      </c>
      <c r="N2638">
        <v>30</v>
      </c>
      <c r="O2638">
        <v>0</v>
      </c>
      <c r="P2638">
        <v>0</v>
      </c>
      <c r="Q2638">
        <v>0</v>
      </c>
      <c r="R2638">
        <v>0</v>
      </c>
      <c r="S2638">
        <v>0</v>
      </c>
      <c r="T2638">
        <v>0</v>
      </c>
      <c r="U2638">
        <v>0</v>
      </c>
      <c r="V2638">
        <v>3</v>
      </c>
      <c r="W2638">
        <v>21</v>
      </c>
      <c r="X2638">
        <v>0</v>
      </c>
      <c r="Z2638">
        <v>0</v>
      </c>
      <c r="AA2638">
        <v>0</v>
      </c>
      <c r="AB2638">
        <v>24</v>
      </c>
      <c r="AC2638">
        <v>408</v>
      </c>
      <c r="AD2638">
        <v>1119</v>
      </c>
    </row>
    <row r="2639" spans="1:30" x14ac:dyDescent="0.25">
      <c r="H2639" t="s">
        <v>4940</v>
      </c>
    </row>
    <row r="2640" spans="1:30" x14ac:dyDescent="0.25">
      <c r="A2640">
        <v>1317</v>
      </c>
      <c r="B2640">
        <v>4902</v>
      </c>
      <c r="C2640" t="s">
        <v>4941</v>
      </c>
      <c r="D2640" t="s">
        <v>47</v>
      </c>
      <c r="E2640" t="s">
        <v>1039</v>
      </c>
      <c r="F2640" t="s">
        <v>4942</v>
      </c>
      <c r="G2640" t="str">
        <f>"00206086"</f>
        <v>00206086</v>
      </c>
      <c r="H2640" t="s">
        <v>1949</v>
      </c>
      <c r="I2640">
        <v>0</v>
      </c>
      <c r="J2640">
        <v>0</v>
      </c>
      <c r="K2640">
        <v>0</v>
      </c>
      <c r="L2640">
        <v>0</v>
      </c>
      <c r="M2640">
        <v>0</v>
      </c>
      <c r="N2640">
        <v>70</v>
      </c>
      <c r="O2640">
        <v>30</v>
      </c>
      <c r="P2640">
        <v>0</v>
      </c>
      <c r="Q2640">
        <v>0</v>
      </c>
      <c r="R2640">
        <v>0</v>
      </c>
      <c r="S2640">
        <v>0</v>
      </c>
      <c r="T2640">
        <v>0</v>
      </c>
      <c r="U2640">
        <v>0</v>
      </c>
      <c r="V2640">
        <v>42</v>
      </c>
      <c r="W2640">
        <v>294</v>
      </c>
      <c r="X2640">
        <v>0</v>
      </c>
      <c r="Z2640">
        <v>0</v>
      </c>
      <c r="AA2640">
        <v>0</v>
      </c>
      <c r="AB2640">
        <v>0</v>
      </c>
      <c r="AC2640">
        <v>0</v>
      </c>
      <c r="AD2640" t="s">
        <v>4943</v>
      </c>
    </row>
    <row r="2641" spans="1:30" x14ac:dyDescent="0.25">
      <c r="H2641" t="s">
        <v>4944</v>
      </c>
    </row>
    <row r="2642" spans="1:30" x14ac:dyDescent="0.25">
      <c r="A2642">
        <v>1318</v>
      </c>
      <c r="B2642">
        <v>1422</v>
      </c>
      <c r="C2642" t="s">
        <v>986</v>
      </c>
      <c r="D2642" t="s">
        <v>4945</v>
      </c>
      <c r="E2642" t="s">
        <v>47</v>
      </c>
      <c r="F2642" t="s">
        <v>4946</v>
      </c>
      <c r="G2642" t="str">
        <f>"201402002350"</f>
        <v>201402002350</v>
      </c>
      <c r="H2642" t="s">
        <v>1227</v>
      </c>
      <c r="I2642">
        <v>0</v>
      </c>
      <c r="J2642">
        <v>0</v>
      </c>
      <c r="K2642">
        <v>0</v>
      </c>
      <c r="L2642">
        <v>0</v>
      </c>
      <c r="M2642">
        <v>0</v>
      </c>
      <c r="N2642">
        <v>30</v>
      </c>
      <c r="O2642">
        <v>0</v>
      </c>
      <c r="P2642">
        <v>0</v>
      </c>
      <c r="Q2642">
        <v>0</v>
      </c>
      <c r="R2642">
        <v>0</v>
      </c>
      <c r="S2642">
        <v>0</v>
      </c>
      <c r="T2642">
        <v>0</v>
      </c>
      <c r="U2642">
        <v>0</v>
      </c>
      <c r="V2642">
        <v>54</v>
      </c>
      <c r="W2642">
        <v>378</v>
      </c>
      <c r="X2642">
        <v>0</v>
      </c>
      <c r="Z2642">
        <v>0</v>
      </c>
      <c r="AA2642">
        <v>0</v>
      </c>
      <c r="AB2642">
        <v>0</v>
      </c>
      <c r="AC2642">
        <v>0</v>
      </c>
      <c r="AD2642" t="s">
        <v>4947</v>
      </c>
    </row>
    <row r="2643" spans="1:30" x14ac:dyDescent="0.25">
      <c r="H2643" t="s">
        <v>4948</v>
      </c>
    </row>
    <row r="2644" spans="1:30" x14ac:dyDescent="0.25">
      <c r="A2644">
        <v>1319</v>
      </c>
      <c r="B2644">
        <v>5312</v>
      </c>
      <c r="C2644" t="s">
        <v>4949</v>
      </c>
      <c r="D2644" t="s">
        <v>4950</v>
      </c>
      <c r="E2644" t="s">
        <v>47</v>
      </c>
      <c r="F2644" t="s">
        <v>4951</v>
      </c>
      <c r="G2644" t="str">
        <f>"00170526"</f>
        <v>00170526</v>
      </c>
      <c r="H2644">
        <v>660</v>
      </c>
      <c r="I2644">
        <v>0</v>
      </c>
      <c r="J2644">
        <v>0</v>
      </c>
      <c r="K2644">
        <v>0</v>
      </c>
      <c r="L2644">
        <v>0</v>
      </c>
      <c r="M2644">
        <v>0</v>
      </c>
      <c r="N2644">
        <v>30</v>
      </c>
      <c r="O2644">
        <v>0</v>
      </c>
      <c r="P2644">
        <v>0</v>
      </c>
      <c r="Q2644">
        <v>0</v>
      </c>
      <c r="R2644">
        <v>0</v>
      </c>
      <c r="S2644">
        <v>0</v>
      </c>
      <c r="T2644">
        <v>0</v>
      </c>
      <c r="U2644">
        <v>0</v>
      </c>
      <c r="V2644">
        <v>61</v>
      </c>
      <c r="W2644">
        <v>427</v>
      </c>
      <c r="X2644">
        <v>0</v>
      </c>
      <c r="Z2644">
        <v>0</v>
      </c>
      <c r="AA2644">
        <v>0</v>
      </c>
      <c r="AB2644">
        <v>0</v>
      </c>
      <c r="AC2644">
        <v>0</v>
      </c>
      <c r="AD2644">
        <v>1117</v>
      </c>
    </row>
    <row r="2645" spans="1:30" x14ac:dyDescent="0.25">
      <c r="H2645" t="s">
        <v>4952</v>
      </c>
    </row>
    <row r="2646" spans="1:30" x14ac:dyDescent="0.25">
      <c r="A2646">
        <v>1320</v>
      </c>
      <c r="B2646">
        <v>1790</v>
      </c>
      <c r="C2646" t="s">
        <v>4953</v>
      </c>
      <c r="D2646" t="s">
        <v>3136</v>
      </c>
      <c r="E2646" t="s">
        <v>40</v>
      </c>
      <c r="F2646" t="s">
        <v>4954</v>
      </c>
      <c r="G2646" t="str">
        <f>"200802010363"</f>
        <v>200802010363</v>
      </c>
      <c r="H2646" t="s">
        <v>2866</v>
      </c>
      <c r="I2646">
        <v>150</v>
      </c>
      <c r="J2646">
        <v>0</v>
      </c>
      <c r="K2646">
        <v>0</v>
      </c>
      <c r="L2646">
        <v>200</v>
      </c>
      <c r="M2646">
        <v>0</v>
      </c>
      <c r="N2646">
        <v>70</v>
      </c>
      <c r="O2646">
        <v>0</v>
      </c>
      <c r="P2646">
        <v>0</v>
      </c>
      <c r="Q2646">
        <v>0</v>
      </c>
      <c r="R2646">
        <v>0</v>
      </c>
      <c r="S2646">
        <v>0</v>
      </c>
      <c r="T2646">
        <v>0</v>
      </c>
      <c r="U2646">
        <v>0</v>
      </c>
      <c r="V2646">
        <v>6</v>
      </c>
      <c r="W2646">
        <v>42</v>
      </c>
      <c r="X2646">
        <v>6</v>
      </c>
      <c r="Y2646">
        <v>1251</v>
      </c>
      <c r="Z2646">
        <v>2</v>
      </c>
      <c r="AA2646">
        <v>0</v>
      </c>
      <c r="AB2646">
        <v>0</v>
      </c>
      <c r="AC2646">
        <v>0</v>
      </c>
      <c r="AD2646" t="s">
        <v>4955</v>
      </c>
    </row>
    <row r="2647" spans="1:30" x14ac:dyDescent="0.25">
      <c r="H2647">
        <v>1251</v>
      </c>
    </row>
    <row r="2648" spans="1:30" x14ac:dyDescent="0.25">
      <c r="A2648">
        <v>1321</v>
      </c>
      <c r="B2648">
        <v>270</v>
      </c>
      <c r="C2648" t="s">
        <v>4956</v>
      </c>
      <c r="D2648" t="s">
        <v>1113</v>
      </c>
      <c r="E2648" t="s">
        <v>1660</v>
      </c>
      <c r="F2648" t="s">
        <v>4957</v>
      </c>
      <c r="G2648" t="str">
        <f>"201405000098"</f>
        <v>201405000098</v>
      </c>
      <c r="H2648" t="s">
        <v>3044</v>
      </c>
      <c r="I2648">
        <v>0</v>
      </c>
      <c r="J2648">
        <v>0</v>
      </c>
      <c r="K2648">
        <v>0</v>
      </c>
      <c r="L2648">
        <v>0</v>
      </c>
      <c r="M2648">
        <v>0</v>
      </c>
      <c r="N2648">
        <v>0</v>
      </c>
      <c r="O2648">
        <v>0</v>
      </c>
      <c r="P2648">
        <v>0</v>
      </c>
      <c r="Q2648">
        <v>0</v>
      </c>
      <c r="R2648">
        <v>0</v>
      </c>
      <c r="S2648">
        <v>0</v>
      </c>
      <c r="T2648">
        <v>0</v>
      </c>
      <c r="U2648">
        <v>0</v>
      </c>
      <c r="V2648">
        <v>38</v>
      </c>
      <c r="W2648">
        <v>266</v>
      </c>
      <c r="X2648">
        <v>0</v>
      </c>
      <c r="Z2648">
        <v>0</v>
      </c>
      <c r="AA2648">
        <v>0</v>
      </c>
      <c r="AB2648">
        <v>0</v>
      </c>
      <c r="AC2648">
        <v>0</v>
      </c>
      <c r="AD2648" t="s">
        <v>4958</v>
      </c>
    </row>
    <row r="2649" spans="1:30" x14ac:dyDescent="0.25">
      <c r="H2649" t="s">
        <v>4959</v>
      </c>
    </row>
    <row r="2650" spans="1:30" x14ac:dyDescent="0.25">
      <c r="A2650">
        <v>1322</v>
      </c>
      <c r="B2650">
        <v>4626</v>
      </c>
      <c r="C2650" t="s">
        <v>4960</v>
      </c>
      <c r="D2650" t="s">
        <v>4961</v>
      </c>
      <c r="E2650" t="s">
        <v>140</v>
      </c>
      <c r="F2650" t="s">
        <v>4962</v>
      </c>
      <c r="G2650" t="str">
        <f>"00192961"</f>
        <v>00192961</v>
      </c>
      <c r="H2650" t="s">
        <v>375</v>
      </c>
      <c r="I2650">
        <v>0</v>
      </c>
      <c r="J2650">
        <v>0</v>
      </c>
      <c r="K2650">
        <v>0</v>
      </c>
      <c r="L2650">
        <v>0</v>
      </c>
      <c r="M2650">
        <v>0</v>
      </c>
      <c r="N2650">
        <v>30</v>
      </c>
      <c r="O2650">
        <v>0</v>
      </c>
      <c r="P2650">
        <v>0</v>
      </c>
      <c r="Q2650">
        <v>0</v>
      </c>
      <c r="R2650">
        <v>0</v>
      </c>
      <c r="S2650">
        <v>0</v>
      </c>
      <c r="T2650">
        <v>0</v>
      </c>
      <c r="U2650">
        <v>0</v>
      </c>
      <c r="V2650">
        <v>30</v>
      </c>
      <c r="W2650">
        <v>210</v>
      </c>
      <c r="X2650">
        <v>0</v>
      </c>
      <c r="Z2650">
        <v>0</v>
      </c>
      <c r="AA2650">
        <v>0</v>
      </c>
      <c r="AB2650">
        <v>0</v>
      </c>
      <c r="AC2650">
        <v>0</v>
      </c>
      <c r="AD2650" t="s">
        <v>4963</v>
      </c>
    </row>
    <row r="2651" spans="1:30" x14ac:dyDescent="0.25">
      <c r="H2651" t="s">
        <v>4964</v>
      </c>
    </row>
    <row r="2652" spans="1:30" x14ac:dyDescent="0.25">
      <c r="A2652">
        <v>1323</v>
      </c>
      <c r="B2652">
        <v>5334</v>
      </c>
      <c r="C2652" t="s">
        <v>4965</v>
      </c>
      <c r="D2652" t="s">
        <v>33</v>
      </c>
      <c r="E2652" t="s">
        <v>162</v>
      </c>
      <c r="F2652" t="s">
        <v>4966</v>
      </c>
      <c r="G2652" t="str">
        <f>"201406018268"</f>
        <v>201406018268</v>
      </c>
      <c r="H2652">
        <v>715</v>
      </c>
      <c r="I2652">
        <v>0</v>
      </c>
      <c r="J2652">
        <v>0</v>
      </c>
      <c r="K2652">
        <v>0</v>
      </c>
      <c r="L2652">
        <v>200</v>
      </c>
      <c r="M2652">
        <v>0</v>
      </c>
      <c r="N2652">
        <v>30</v>
      </c>
      <c r="O2652">
        <v>0</v>
      </c>
      <c r="P2652">
        <v>0</v>
      </c>
      <c r="Q2652">
        <v>0</v>
      </c>
      <c r="R2652">
        <v>0</v>
      </c>
      <c r="S2652">
        <v>0</v>
      </c>
      <c r="T2652">
        <v>0</v>
      </c>
      <c r="U2652">
        <v>0</v>
      </c>
      <c r="V2652">
        <v>24</v>
      </c>
      <c r="W2652">
        <v>168</v>
      </c>
      <c r="X2652">
        <v>0</v>
      </c>
      <c r="Z2652">
        <v>0</v>
      </c>
      <c r="AA2652">
        <v>0</v>
      </c>
      <c r="AB2652">
        <v>0</v>
      </c>
      <c r="AC2652">
        <v>0</v>
      </c>
      <c r="AD2652">
        <v>1113</v>
      </c>
    </row>
    <row r="2653" spans="1:30" x14ac:dyDescent="0.25">
      <c r="H2653" t="s">
        <v>4967</v>
      </c>
    </row>
    <row r="2654" spans="1:30" x14ac:dyDescent="0.25">
      <c r="A2654">
        <v>1324</v>
      </c>
      <c r="B2654">
        <v>5443</v>
      </c>
      <c r="C2654" t="s">
        <v>4344</v>
      </c>
      <c r="D2654" t="s">
        <v>4968</v>
      </c>
      <c r="E2654" t="s">
        <v>69</v>
      </c>
      <c r="F2654" t="s">
        <v>4969</v>
      </c>
      <c r="G2654" t="str">
        <f>"00232773"</f>
        <v>00232773</v>
      </c>
      <c r="H2654" t="s">
        <v>562</v>
      </c>
      <c r="I2654">
        <v>0</v>
      </c>
      <c r="J2654">
        <v>0</v>
      </c>
      <c r="K2654">
        <v>0</v>
      </c>
      <c r="L2654">
        <v>0</v>
      </c>
      <c r="M2654">
        <v>0</v>
      </c>
      <c r="N2654">
        <v>30</v>
      </c>
      <c r="O2654">
        <v>0</v>
      </c>
      <c r="P2654">
        <v>0</v>
      </c>
      <c r="Q2654">
        <v>0</v>
      </c>
      <c r="R2654">
        <v>0</v>
      </c>
      <c r="S2654">
        <v>0</v>
      </c>
      <c r="T2654">
        <v>0</v>
      </c>
      <c r="U2654">
        <v>0</v>
      </c>
      <c r="V2654">
        <v>57</v>
      </c>
      <c r="W2654">
        <v>399</v>
      </c>
      <c r="X2654">
        <v>0</v>
      </c>
      <c r="Z2654">
        <v>0</v>
      </c>
      <c r="AA2654">
        <v>0</v>
      </c>
      <c r="AB2654">
        <v>0</v>
      </c>
      <c r="AC2654">
        <v>0</v>
      </c>
      <c r="AD2654" t="s">
        <v>4970</v>
      </c>
    </row>
    <row r="2655" spans="1:30" x14ac:dyDescent="0.25">
      <c r="H2655" t="s">
        <v>4971</v>
      </c>
    </row>
    <row r="2656" spans="1:30" x14ac:dyDescent="0.25">
      <c r="A2656">
        <v>1325</v>
      </c>
      <c r="B2656">
        <v>4313</v>
      </c>
      <c r="C2656" t="s">
        <v>4972</v>
      </c>
      <c r="D2656" t="s">
        <v>1113</v>
      </c>
      <c r="E2656" t="s">
        <v>400</v>
      </c>
      <c r="F2656" t="s">
        <v>4973</v>
      </c>
      <c r="G2656" t="str">
        <f>"201510002221"</f>
        <v>201510002221</v>
      </c>
      <c r="H2656">
        <v>649</v>
      </c>
      <c r="I2656">
        <v>0</v>
      </c>
      <c r="J2656">
        <v>0</v>
      </c>
      <c r="K2656">
        <v>0</v>
      </c>
      <c r="L2656">
        <v>0</v>
      </c>
      <c r="M2656">
        <v>0</v>
      </c>
      <c r="N2656">
        <v>0</v>
      </c>
      <c r="O2656">
        <v>0</v>
      </c>
      <c r="P2656">
        <v>0</v>
      </c>
      <c r="Q2656">
        <v>0</v>
      </c>
      <c r="R2656">
        <v>0</v>
      </c>
      <c r="S2656">
        <v>0</v>
      </c>
      <c r="T2656">
        <v>0</v>
      </c>
      <c r="U2656">
        <v>0</v>
      </c>
      <c r="V2656">
        <v>66</v>
      </c>
      <c r="W2656">
        <v>462</v>
      </c>
      <c r="X2656">
        <v>0</v>
      </c>
      <c r="Z2656">
        <v>1</v>
      </c>
      <c r="AA2656">
        <v>0</v>
      </c>
      <c r="AB2656">
        <v>0</v>
      </c>
      <c r="AC2656">
        <v>0</v>
      </c>
      <c r="AD2656">
        <v>1111</v>
      </c>
    </row>
    <row r="2657" spans="1:30" x14ac:dyDescent="0.25">
      <c r="H2657" t="s">
        <v>1048</v>
      </c>
    </row>
    <row r="2658" spans="1:30" x14ac:dyDescent="0.25">
      <c r="A2658">
        <v>1326</v>
      </c>
      <c r="B2658">
        <v>5964</v>
      </c>
      <c r="C2658" t="s">
        <v>4974</v>
      </c>
      <c r="D2658" t="s">
        <v>4975</v>
      </c>
      <c r="E2658" t="s">
        <v>535</v>
      </c>
      <c r="F2658" t="s">
        <v>4976</v>
      </c>
      <c r="G2658" t="str">
        <f>"00209298"</f>
        <v>00209298</v>
      </c>
      <c r="H2658">
        <v>880</v>
      </c>
      <c r="I2658">
        <v>0</v>
      </c>
      <c r="J2658">
        <v>0</v>
      </c>
      <c r="K2658">
        <v>0</v>
      </c>
      <c r="L2658">
        <v>200</v>
      </c>
      <c r="M2658">
        <v>0</v>
      </c>
      <c r="N2658">
        <v>30</v>
      </c>
      <c r="O2658">
        <v>0</v>
      </c>
      <c r="P2658">
        <v>0</v>
      </c>
      <c r="Q2658">
        <v>0</v>
      </c>
      <c r="R2658">
        <v>0</v>
      </c>
      <c r="S2658">
        <v>0</v>
      </c>
      <c r="T2658">
        <v>0</v>
      </c>
      <c r="U2658">
        <v>0</v>
      </c>
      <c r="V2658">
        <v>0</v>
      </c>
      <c r="W2658">
        <v>0</v>
      </c>
      <c r="X2658">
        <v>0</v>
      </c>
      <c r="Z2658">
        <v>0</v>
      </c>
      <c r="AA2658">
        <v>0</v>
      </c>
      <c r="AB2658">
        <v>0</v>
      </c>
      <c r="AC2658">
        <v>0</v>
      </c>
      <c r="AD2658">
        <v>1110</v>
      </c>
    </row>
    <row r="2659" spans="1:30" x14ac:dyDescent="0.25">
      <c r="H2659">
        <v>1250</v>
      </c>
    </row>
    <row r="2660" spans="1:30" x14ac:dyDescent="0.25">
      <c r="A2660">
        <v>1327</v>
      </c>
      <c r="B2660">
        <v>544</v>
      </c>
      <c r="C2660" t="s">
        <v>4977</v>
      </c>
      <c r="D2660" t="s">
        <v>804</v>
      </c>
      <c r="E2660" t="s">
        <v>183</v>
      </c>
      <c r="F2660">
        <v>2085026</v>
      </c>
      <c r="G2660" t="str">
        <f>"201410003447"</f>
        <v>201410003447</v>
      </c>
      <c r="H2660" t="s">
        <v>911</v>
      </c>
      <c r="I2660">
        <v>150</v>
      </c>
      <c r="J2660">
        <v>0</v>
      </c>
      <c r="K2660">
        <v>0</v>
      </c>
      <c r="L2660">
        <v>0</v>
      </c>
      <c r="M2660">
        <v>0</v>
      </c>
      <c r="N2660">
        <v>0</v>
      </c>
      <c r="O2660">
        <v>0</v>
      </c>
      <c r="P2660">
        <v>0</v>
      </c>
      <c r="Q2660">
        <v>0</v>
      </c>
      <c r="R2660">
        <v>0</v>
      </c>
      <c r="S2660">
        <v>0</v>
      </c>
      <c r="T2660">
        <v>0</v>
      </c>
      <c r="U2660">
        <v>0</v>
      </c>
      <c r="V2660">
        <v>7</v>
      </c>
      <c r="W2660">
        <v>49</v>
      </c>
      <c r="X2660">
        <v>0</v>
      </c>
      <c r="Z2660">
        <v>0</v>
      </c>
      <c r="AA2660">
        <v>0</v>
      </c>
      <c r="AB2660">
        <v>0</v>
      </c>
      <c r="AC2660">
        <v>0</v>
      </c>
      <c r="AD2660" t="s">
        <v>4978</v>
      </c>
    </row>
    <row r="2661" spans="1:30" x14ac:dyDescent="0.25">
      <c r="H2661" t="s">
        <v>4979</v>
      </c>
    </row>
    <row r="2662" spans="1:30" x14ac:dyDescent="0.25">
      <c r="A2662">
        <v>1328</v>
      </c>
      <c r="B2662">
        <v>5856</v>
      </c>
      <c r="C2662" t="s">
        <v>4980</v>
      </c>
      <c r="D2662" t="s">
        <v>162</v>
      </c>
      <c r="E2662" t="s">
        <v>91</v>
      </c>
      <c r="F2662" t="s">
        <v>4981</v>
      </c>
      <c r="G2662" t="str">
        <f>"00342229"</f>
        <v>00342229</v>
      </c>
      <c r="H2662" t="s">
        <v>4801</v>
      </c>
      <c r="I2662">
        <v>0</v>
      </c>
      <c r="J2662">
        <v>0</v>
      </c>
      <c r="K2662">
        <v>0</v>
      </c>
      <c r="L2662">
        <v>0</v>
      </c>
      <c r="M2662">
        <v>0</v>
      </c>
      <c r="N2662">
        <v>0</v>
      </c>
      <c r="O2662">
        <v>0</v>
      </c>
      <c r="P2662">
        <v>0</v>
      </c>
      <c r="Q2662">
        <v>0</v>
      </c>
      <c r="R2662">
        <v>0</v>
      </c>
      <c r="S2662">
        <v>0</v>
      </c>
      <c r="T2662">
        <v>0</v>
      </c>
      <c r="U2662">
        <v>0</v>
      </c>
      <c r="V2662">
        <v>51</v>
      </c>
      <c r="W2662">
        <v>357</v>
      </c>
      <c r="X2662">
        <v>0</v>
      </c>
      <c r="Z2662">
        <v>1</v>
      </c>
      <c r="AA2662">
        <v>0</v>
      </c>
      <c r="AB2662">
        <v>0</v>
      </c>
      <c r="AC2662">
        <v>0</v>
      </c>
      <c r="AD2662" t="s">
        <v>4982</v>
      </c>
    </row>
    <row r="2663" spans="1:30" x14ac:dyDescent="0.25">
      <c r="H2663" t="s">
        <v>4983</v>
      </c>
    </row>
    <row r="2664" spans="1:30" x14ac:dyDescent="0.25">
      <c r="A2664">
        <v>1329</v>
      </c>
      <c r="B2664">
        <v>126</v>
      </c>
      <c r="C2664" t="s">
        <v>4984</v>
      </c>
      <c r="D2664" t="s">
        <v>166</v>
      </c>
      <c r="E2664" t="s">
        <v>107</v>
      </c>
      <c r="F2664" t="s">
        <v>4985</v>
      </c>
      <c r="G2664" t="str">
        <f>"201405000462"</f>
        <v>201405000462</v>
      </c>
      <c r="H2664">
        <v>715</v>
      </c>
      <c r="I2664">
        <v>0</v>
      </c>
      <c r="J2664">
        <v>0</v>
      </c>
      <c r="K2664">
        <v>0</v>
      </c>
      <c r="L2664">
        <v>0</v>
      </c>
      <c r="M2664">
        <v>0</v>
      </c>
      <c r="N2664">
        <v>70</v>
      </c>
      <c r="O2664">
        <v>0</v>
      </c>
      <c r="P2664">
        <v>0</v>
      </c>
      <c r="Q2664">
        <v>0</v>
      </c>
      <c r="R2664">
        <v>0</v>
      </c>
      <c r="S2664">
        <v>0</v>
      </c>
      <c r="T2664">
        <v>0</v>
      </c>
      <c r="U2664">
        <v>0</v>
      </c>
      <c r="V2664">
        <v>46</v>
      </c>
      <c r="W2664">
        <v>322</v>
      </c>
      <c r="X2664">
        <v>0</v>
      </c>
      <c r="Z2664">
        <v>0</v>
      </c>
      <c r="AA2664">
        <v>0</v>
      </c>
      <c r="AB2664">
        <v>0</v>
      </c>
      <c r="AC2664">
        <v>0</v>
      </c>
      <c r="AD2664">
        <v>1107</v>
      </c>
    </row>
    <row r="2665" spans="1:30" x14ac:dyDescent="0.25">
      <c r="H2665" t="s">
        <v>4986</v>
      </c>
    </row>
    <row r="2666" spans="1:30" x14ac:dyDescent="0.25">
      <c r="A2666">
        <v>1330</v>
      </c>
      <c r="B2666">
        <v>949</v>
      </c>
      <c r="C2666" t="s">
        <v>3247</v>
      </c>
      <c r="D2666" t="s">
        <v>3226</v>
      </c>
      <c r="E2666" t="s">
        <v>140</v>
      </c>
      <c r="F2666" t="s">
        <v>4987</v>
      </c>
      <c r="G2666" t="str">
        <f>"00190614"</f>
        <v>00190614</v>
      </c>
      <c r="H2666" t="s">
        <v>568</v>
      </c>
      <c r="I2666">
        <v>0</v>
      </c>
      <c r="J2666">
        <v>0</v>
      </c>
      <c r="K2666">
        <v>0</v>
      </c>
      <c r="L2666">
        <v>200</v>
      </c>
      <c r="M2666">
        <v>0</v>
      </c>
      <c r="N2666">
        <v>30</v>
      </c>
      <c r="O2666">
        <v>0</v>
      </c>
      <c r="P2666">
        <v>0</v>
      </c>
      <c r="Q2666">
        <v>0</v>
      </c>
      <c r="R2666">
        <v>0</v>
      </c>
      <c r="S2666">
        <v>0</v>
      </c>
      <c r="T2666">
        <v>0</v>
      </c>
      <c r="U2666">
        <v>0</v>
      </c>
      <c r="V2666">
        <v>16</v>
      </c>
      <c r="W2666">
        <v>112</v>
      </c>
      <c r="X2666">
        <v>0</v>
      </c>
      <c r="Z2666">
        <v>0</v>
      </c>
      <c r="AA2666">
        <v>0</v>
      </c>
      <c r="AB2666">
        <v>0</v>
      </c>
      <c r="AC2666">
        <v>0</v>
      </c>
      <c r="AD2666" t="s">
        <v>4988</v>
      </c>
    </row>
    <row r="2667" spans="1:30" x14ac:dyDescent="0.25">
      <c r="H2667" t="s">
        <v>4989</v>
      </c>
    </row>
    <row r="2668" spans="1:30" x14ac:dyDescent="0.25">
      <c r="A2668">
        <v>1331</v>
      </c>
      <c r="B2668">
        <v>4730</v>
      </c>
      <c r="C2668" t="s">
        <v>4990</v>
      </c>
      <c r="D2668" t="s">
        <v>330</v>
      </c>
      <c r="E2668" t="s">
        <v>378</v>
      </c>
      <c r="F2668" t="s">
        <v>4991</v>
      </c>
      <c r="G2668" t="str">
        <f>"201406018578"</f>
        <v>201406018578</v>
      </c>
      <c r="H2668" t="s">
        <v>789</v>
      </c>
      <c r="I2668">
        <v>0</v>
      </c>
      <c r="J2668">
        <v>0</v>
      </c>
      <c r="K2668">
        <v>0</v>
      </c>
      <c r="L2668">
        <v>0</v>
      </c>
      <c r="M2668">
        <v>0</v>
      </c>
      <c r="N2668">
        <v>50</v>
      </c>
      <c r="O2668">
        <v>0</v>
      </c>
      <c r="P2668">
        <v>0</v>
      </c>
      <c r="Q2668">
        <v>0</v>
      </c>
      <c r="R2668">
        <v>0</v>
      </c>
      <c r="S2668">
        <v>0</v>
      </c>
      <c r="T2668">
        <v>0</v>
      </c>
      <c r="U2668">
        <v>0</v>
      </c>
      <c r="V2668">
        <v>36</v>
      </c>
      <c r="W2668">
        <v>252</v>
      </c>
      <c r="X2668">
        <v>0</v>
      </c>
      <c r="Z2668">
        <v>0</v>
      </c>
      <c r="AA2668">
        <v>0</v>
      </c>
      <c r="AB2668">
        <v>0</v>
      </c>
      <c r="AC2668">
        <v>0</v>
      </c>
      <c r="AD2668" t="s">
        <v>4992</v>
      </c>
    </row>
    <row r="2669" spans="1:30" x14ac:dyDescent="0.25">
      <c r="H2669" t="s">
        <v>4993</v>
      </c>
    </row>
    <row r="2670" spans="1:30" x14ac:dyDescent="0.25">
      <c r="A2670">
        <v>1332</v>
      </c>
      <c r="B2670">
        <v>2973</v>
      </c>
      <c r="C2670" t="s">
        <v>4994</v>
      </c>
      <c r="D2670" t="s">
        <v>1828</v>
      </c>
      <c r="E2670" t="s">
        <v>40</v>
      </c>
      <c r="F2670" t="s">
        <v>4995</v>
      </c>
      <c r="G2670" t="str">
        <f>"00203176"</f>
        <v>00203176</v>
      </c>
      <c r="H2670" t="s">
        <v>241</v>
      </c>
      <c r="I2670">
        <v>0</v>
      </c>
      <c r="J2670">
        <v>0</v>
      </c>
      <c r="K2670">
        <v>0</v>
      </c>
      <c r="L2670">
        <v>0</v>
      </c>
      <c r="M2670">
        <v>0</v>
      </c>
      <c r="N2670">
        <v>0</v>
      </c>
      <c r="O2670">
        <v>0</v>
      </c>
      <c r="P2670">
        <v>0</v>
      </c>
      <c r="Q2670">
        <v>0</v>
      </c>
      <c r="R2670">
        <v>0</v>
      </c>
      <c r="S2670">
        <v>0</v>
      </c>
      <c r="T2670">
        <v>0</v>
      </c>
      <c r="U2670">
        <v>0</v>
      </c>
      <c r="V2670">
        <v>43</v>
      </c>
      <c r="W2670">
        <v>301</v>
      </c>
      <c r="X2670">
        <v>0</v>
      </c>
      <c r="Z2670">
        <v>1</v>
      </c>
      <c r="AA2670">
        <v>0</v>
      </c>
      <c r="AB2670">
        <v>5</v>
      </c>
      <c r="AC2670">
        <v>85</v>
      </c>
      <c r="AD2670" t="s">
        <v>4996</v>
      </c>
    </row>
    <row r="2671" spans="1:30" x14ac:dyDescent="0.25">
      <c r="H2671" t="s">
        <v>4997</v>
      </c>
    </row>
    <row r="2672" spans="1:30" x14ac:dyDescent="0.25">
      <c r="A2672">
        <v>1333</v>
      </c>
      <c r="B2672">
        <v>2842</v>
      </c>
      <c r="C2672" t="s">
        <v>4998</v>
      </c>
      <c r="D2672" t="s">
        <v>182</v>
      </c>
      <c r="E2672" t="s">
        <v>47</v>
      </c>
      <c r="F2672" t="s">
        <v>4999</v>
      </c>
      <c r="G2672" t="str">
        <f>"200809000793"</f>
        <v>200809000793</v>
      </c>
      <c r="H2672" t="s">
        <v>813</v>
      </c>
      <c r="I2672">
        <v>0</v>
      </c>
      <c r="J2672">
        <v>0</v>
      </c>
      <c r="K2672">
        <v>0</v>
      </c>
      <c r="L2672">
        <v>0</v>
      </c>
      <c r="M2672">
        <v>0</v>
      </c>
      <c r="N2672">
        <v>30</v>
      </c>
      <c r="O2672">
        <v>0</v>
      </c>
      <c r="P2672">
        <v>0</v>
      </c>
      <c r="Q2672">
        <v>0</v>
      </c>
      <c r="R2672">
        <v>0</v>
      </c>
      <c r="S2672">
        <v>0</v>
      </c>
      <c r="T2672">
        <v>0</v>
      </c>
      <c r="U2672">
        <v>0</v>
      </c>
      <c r="V2672">
        <v>36</v>
      </c>
      <c r="W2672">
        <v>252</v>
      </c>
      <c r="X2672">
        <v>0</v>
      </c>
      <c r="Z2672">
        <v>0</v>
      </c>
      <c r="AA2672">
        <v>0</v>
      </c>
      <c r="AB2672">
        <v>5</v>
      </c>
      <c r="AC2672">
        <v>85</v>
      </c>
      <c r="AD2672" t="s">
        <v>5000</v>
      </c>
    </row>
    <row r="2673" spans="1:30" x14ac:dyDescent="0.25">
      <c r="H2673" t="s">
        <v>5001</v>
      </c>
    </row>
    <row r="2674" spans="1:30" x14ac:dyDescent="0.25">
      <c r="A2674">
        <v>1334</v>
      </c>
      <c r="B2674">
        <v>4413</v>
      </c>
      <c r="C2674" t="s">
        <v>5002</v>
      </c>
      <c r="D2674" t="s">
        <v>3299</v>
      </c>
      <c r="E2674" t="s">
        <v>33</v>
      </c>
      <c r="F2674" t="s">
        <v>5003</v>
      </c>
      <c r="G2674" t="str">
        <f>"00359885"</f>
        <v>00359885</v>
      </c>
      <c r="H2674" t="s">
        <v>789</v>
      </c>
      <c r="I2674">
        <v>0</v>
      </c>
      <c r="J2674">
        <v>0</v>
      </c>
      <c r="K2674">
        <v>0</v>
      </c>
      <c r="L2674">
        <v>200</v>
      </c>
      <c r="M2674">
        <v>0</v>
      </c>
      <c r="N2674">
        <v>70</v>
      </c>
      <c r="O2674">
        <v>0</v>
      </c>
      <c r="P2674">
        <v>0</v>
      </c>
      <c r="Q2674">
        <v>0</v>
      </c>
      <c r="R2674">
        <v>30</v>
      </c>
      <c r="S2674">
        <v>0</v>
      </c>
      <c r="T2674">
        <v>0</v>
      </c>
      <c r="U2674">
        <v>0</v>
      </c>
      <c r="V2674">
        <v>0</v>
      </c>
      <c r="W2674">
        <v>0</v>
      </c>
      <c r="X2674">
        <v>0</v>
      </c>
      <c r="Z2674">
        <v>0</v>
      </c>
      <c r="AA2674">
        <v>0</v>
      </c>
      <c r="AB2674">
        <v>0</v>
      </c>
      <c r="AC2674">
        <v>0</v>
      </c>
      <c r="AD2674" t="s">
        <v>5004</v>
      </c>
    </row>
    <row r="2675" spans="1:30" x14ac:dyDescent="0.25">
      <c r="H2675" t="s">
        <v>5005</v>
      </c>
    </row>
    <row r="2676" spans="1:30" x14ac:dyDescent="0.25">
      <c r="A2676">
        <v>1335</v>
      </c>
      <c r="B2676">
        <v>6096</v>
      </c>
      <c r="C2676" t="s">
        <v>5006</v>
      </c>
      <c r="D2676" t="s">
        <v>526</v>
      </c>
      <c r="E2676" t="s">
        <v>162</v>
      </c>
      <c r="F2676" t="s">
        <v>5007</v>
      </c>
      <c r="G2676" t="str">
        <f>"00342552"</f>
        <v>00342552</v>
      </c>
      <c r="H2676">
        <v>726</v>
      </c>
      <c r="I2676">
        <v>0</v>
      </c>
      <c r="J2676">
        <v>0</v>
      </c>
      <c r="K2676">
        <v>0</v>
      </c>
      <c r="L2676">
        <v>0</v>
      </c>
      <c r="M2676">
        <v>0</v>
      </c>
      <c r="N2676">
        <v>0</v>
      </c>
      <c r="O2676">
        <v>0</v>
      </c>
      <c r="P2676">
        <v>0</v>
      </c>
      <c r="Q2676">
        <v>0</v>
      </c>
      <c r="R2676">
        <v>0</v>
      </c>
      <c r="S2676">
        <v>0</v>
      </c>
      <c r="T2676">
        <v>0</v>
      </c>
      <c r="U2676">
        <v>0</v>
      </c>
      <c r="V2676">
        <v>54</v>
      </c>
      <c r="W2676">
        <v>378</v>
      </c>
      <c r="X2676">
        <v>0</v>
      </c>
      <c r="Z2676">
        <v>0</v>
      </c>
      <c r="AA2676">
        <v>0</v>
      </c>
      <c r="AB2676">
        <v>0</v>
      </c>
      <c r="AC2676">
        <v>0</v>
      </c>
      <c r="AD2676">
        <v>1104</v>
      </c>
    </row>
    <row r="2677" spans="1:30" x14ac:dyDescent="0.25">
      <c r="H2677" t="s">
        <v>864</v>
      </c>
    </row>
    <row r="2678" spans="1:30" x14ac:dyDescent="0.25">
      <c r="A2678">
        <v>1336</v>
      </c>
      <c r="B2678">
        <v>3702</v>
      </c>
      <c r="C2678" t="s">
        <v>5008</v>
      </c>
      <c r="D2678" t="s">
        <v>223</v>
      </c>
      <c r="E2678" t="s">
        <v>151</v>
      </c>
      <c r="F2678" t="s">
        <v>5009</v>
      </c>
      <c r="G2678" t="str">
        <f>"00361692"</f>
        <v>00361692</v>
      </c>
      <c r="H2678" t="s">
        <v>2836</v>
      </c>
      <c r="I2678">
        <v>0</v>
      </c>
      <c r="J2678">
        <v>0</v>
      </c>
      <c r="K2678">
        <v>0</v>
      </c>
      <c r="L2678">
        <v>0</v>
      </c>
      <c r="M2678">
        <v>0</v>
      </c>
      <c r="N2678">
        <v>30</v>
      </c>
      <c r="O2678">
        <v>0</v>
      </c>
      <c r="P2678">
        <v>0</v>
      </c>
      <c r="Q2678">
        <v>0</v>
      </c>
      <c r="R2678">
        <v>0</v>
      </c>
      <c r="S2678">
        <v>0</v>
      </c>
      <c r="T2678">
        <v>0</v>
      </c>
      <c r="U2678">
        <v>0</v>
      </c>
      <c r="V2678">
        <v>39</v>
      </c>
      <c r="W2678">
        <v>273</v>
      </c>
      <c r="X2678">
        <v>0</v>
      </c>
      <c r="Z2678">
        <v>0</v>
      </c>
      <c r="AA2678">
        <v>0</v>
      </c>
      <c r="AB2678">
        <v>0</v>
      </c>
      <c r="AC2678">
        <v>0</v>
      </c>
      <c r="AD2678" t="s">
        <v>5010</v>
      </c>
    </row>
    <row r="2679" spans="1:30" x14ac:dyDescent="0.25">
      <c r="H2679">
        <v>1249</v>
      </c>
    </row>
    <row r="2680" spans="1:30" x14ac:dyDescent="0.25">
      <c r="A2680">
        <v>1337</v>
      </c>
      <c r="B2680">
        <v>3870</v>
      </c>
      <c r="C2680" t="s">
        <v>5011</v>
      </c>
      <c r="D2680" t="s">
        <v>1289</v>
      </c>
      <c r="E2680" t="s">
        <v>162</v>
      </c>
      <c r="F2680" t="s">
        <v>5012</v>
      </c>
      <c r="G2680" t="str">
        <f>"200802002479"</f>
        <v>200802002479</v>
      </c>
      <c r="H2680" t="s">
        <v>110</v>
      </c>
      <c r="I2680">
        <v>0</v>
      </c>
      <c r="J2680">
        <v>0</v>
      </c>
      <c r="K2680">
        <v>0</v>
      </c>
      <c r="L2680">
        <v>0</v>
      </c>
      <c r="M2680">
        <v>0</v>
      </c>
      <c r="N2680">
        <v>30</v>
      </c>
      <c r="O2680">
        <v>0</v>
      </c>
      <c r="P2680">
        <v>0</v>
      </c>
      <c r="Q2680">
        <v>30</v>
      </c>
      <c r="R2680">
        <v>0</v>
      </c>
      <c r="S2680">
        <v>0</v>
      </c>
      <c r="T2680">
        <v>0</v>
      </c>
      <c r="U2680">
        <v>0</v>
      </c>
      <c r="V2680">
        <v>37</v>
      </c>
      <c r="W2680">
        <v>259</v>
      </c>
      <c r="X2680">
        <v>0</v>
      </c>
      <c r="Z2680">
        <v>1</v>
      </c>
      <c r="AA2680">
        <v>0</v>
      </c>
      <c r="AB2680">
        <v>0</v>
      </c>
      <c r="AC2680">
        <v>0</v>
      </c>
      <c r="AD2680" t="s">
        <v>5013</v>
      </c>
    </row>
    <row r="2681" spans="1:30" x14ac:dyDescent="0.25">
      <c r="H2681" t="s">
        <v>5014</v>
      </c>
    </row>
    <row r="2682" spans="1:30" x14ac:dyDescent="0.25">
      <c r="A2682">
        <v>1338</v>
      </c>
      <c r="B2682">
        <v>1403</v>
      </c>
      <c r="C2682" t="s">
        <v>5015</v>
      </c>
      <c r="D2682" t="s">
        <v>98</v>
      </c>
      <c r="E2682" t="s">
        <v>80</v>
      </c>
      <c r="F2682" t="s">
        <v>5016</v>
      </c>
      <c r="G2682" t="str">
        <f>"200904000515"</f>
        <v>200904000515</v>
      </c>
      <c r="H2682" t="s">
        <v>422</v>
      </c>
      <c r="I2682">
        <v>0</v>
      </c>
      <c r="J2682">
        <v>0</v>
      </c>
      <c r="K2682">
        <v>0</v>
      </c>
      <c r="L2682">
        <v>0</v>
      </c>
      <c r="M2682">
        <v>0</v>
      </c>
      <c r="N2682">
        <v>50</v>
      </c>
      <c r="O2682">
        <v>0</v>
      </c>
      <c r="P2682">
        <v>0</v>
      </c>
      <c r="Q2682">
        <v>0</v>
      </c>
      <c r="R2682">
        <v>0</v>
      </c>
      <c r="S2682">
        <v>0</v>
      </c>
      <c r="T2682">
        <v>0</v>
      </c>
      <c r="U2682">
        <v>0</v>
      </c>
      <c r="V2682">
        <v>52</v>
      </c>
      <c r="W2682">
        <v>364</v>
      </c>
      <c r="X2682">
        <v>0</v>
      </c>
      <c r="Z2682">
        <v>0</v>
      </c>
      <c r="AA2682">
        <v>0</v>
      </c>
      <c r="AB2682">
        <v>0</v>
      </c>
      <c r="AC2682">
        <v>0</v>
      </c>
      <c r="AD2682" t="s">
        <v>5017</v>
      </c>
    </row>
    <row r="2683" spans="1:30" x14ac:dyDescent="0.25">
      <c r="H2683" t="s">
        <v>5018</v>
      </c>
    </row>
    <row r="2684" spans="1:30" x14ac:dyDescent="0.25">
      <c r="A2684">
        <v>1339</v>
      </c>
      <c r="B2684">
        <v>3382</v>
      </c>
      <c r="C2684" t="s">
        <v>5019</v>
      </c>
      <c r="D2684" t="s">
        <v>636</v>
      </c>
      <c r="E2684" t="s">
        <v>47</v>
      </c>
      <c r="F2684" t="s">
        <v>5020</v>
      </c>
      <c r="G2684" t="str">
        <f>"201411000690"</f>
        <v>201411000690</v>
      </c>
      <c r="H2684" t="s">
        <v>2846</v>
      </c>
      <c r="I2684">
        <v>0</v>
      </c>
      <c r="J2684">
        <v>0</v>
      </c>
      <c r="K2684">
        <v>0</v>
      </c>
      <c r="L2684">
        <v>200</v>
      </c>
      <c r="M2684">
        <v>0</v>
      </c>
      <c r="N2684">
        <v>50</v>
      </c>
      <c r="O2684">
        <v>0</v>
      </c>
      <c r="P2684">
        <v>0</v>
      </c>
      <c r="Q2684">
        <v>0</v>
      </c>
      <c r="R2684">
        <v>0</v>
      </c>
      <c r="S2684">
        <v>0</v>
      </c>
      <c r="T2684">
        <v>0</v>
      </c>
      <c r="U2684">
        <v>0</v>
      </c>
      <c r="V2684">
        <v>0</v>
      </c>
      <c r="W2684">
        <v>0</v>
      </c>
      <c r="X2684">
        <v>0</v>
      </c>
      <c r="Z2684">
        <v>0</v>
      </c>
      <c r="AA2684">
        <v>0</v>
      </c>
      <c r="AB2684">
        <v>0</v>
      </c>
      <c r="AC2684">
        <v>0</v>
      </c>
      <c r="AD2684" t="s">
        <v>5021</v>
      </c>
    </row>
    <row r="2685" spans="1:30" x14ac:dyDescent="0.25">
      <c r="H2685" t="s">
        <v>5022</v>
      </c>
    </row>
    <row r="2686" spans="1:30" x14ac:dyDescent="0.25">
      <c r="A2686">
        <v>1340</v>
      </c>
      <c r="B2686">
        <v>5978</v>
      </c>
      <c r="C2686" t="s">
        <v>5023</v>
      </c>
      <c r="D2686" t="s">
        <v>869</v>
      </c>
      <c r="E2686" t="s">
        <v>107</v>
      </c>
      <c r="F2686" t="s">
        <v>5024</v>
      </c>
      <c r="G2686" t="str">
        <f>"200803000836"</f>
        <v>200803000836</v>
      </c>
      <c r="H2686">
        <v>715</v>
      </c>
      <c r="I2686">
        <v>0</v>
      </c>
      <c r="J2686">
        <v>0</v>
      </c>
      <c r="K2686">
        <v>0</v>
      </c>
      <c r="L2686">
        <v>0</v>
      </c>
      <c r="M2686">
        <v>0</v>
      </c>
      <c r="N2686">
        <v>30</v>
      </c>
      <c r="O2686">
        <v>0</v>
      </c>
      <c r="P2686">
        <v>0</v>
      </c>
      <c r="Q2686">
        <v>0</v>
      </c>
      <c r="R2686">
        <v>0</v>
      </c>
      <c r="S2686">
        <v>0</v>
      </c>
      <c r="T2686">
        <v>0</v>
      </c>
      <c r="U2686">
        <v>0</v>
      </c>
      <c r="V2686">
        <v>51</v>
      </c>
      <c r="W2686">
        <v>357</v>
      </c>
      <c r="X2686">
        <v>0</v>
      </c>
      <c r="Z2686">
        <v>2</v>
      </c>
      <c r="AA2686">
        <v>0</v>
      </c>
      <c r="AB2686">
        <v>0</v>
      </c>
      <c r="AC2686">
        <v>0</v>
      </c>
      <c r="AD2686">
        <v>1102</v>
      </c>
    </row>
    <row r="2687" spans="1:30" x14ac:dyDescent="0.25">
      <c r="H2687" t="s">
        <v>5025</v>
      </c>
    </row>
    <row r="2688" spans="1:30" x14ac:dyDescent="0.25">
      <c r="A2688">
        <v>1341</v>
      </c>
      <c r="B2688">
        <v>3358</v>
      </c>
      <c r="C2688" t="s">
        <v>211</v>
      </c>
      <c r="D2688" t="s">
        <v>420</v>
      </c>
      <c r="E2688" t="s">
        <v>202</v>
      </c>
      <c r="F2688" t="s">
        <v>5026</v>
      </c>
      <c r="G2688" t="str">
        <f>"00350139"</f>
        <v>00350139</v>
      </c>
      <c r="H2688" t="s">
        <v>3714</v>
      </c>
      <c r="I2688">
        <v>0</v>
      </c>
      <c r="J2688">
        <v>0</v>
      </c>
      <c r="K2688">
        <v>0</v>
      </c>
      <c r="L2688">
        <v>0</v>
      </c>
      <c r="M2688">
        <v>0</v>
      </c>
      <c r="N2688">
        <v>30</v>
      </c>
      <c r="O2688">
        <v>0</v>
      </c>
      <c r="P2688">
        <v>0</v>
      </c>
      <c r="Q2688">
        <v>0</v>
      </c>
      <c r="R2688">
        <v>0</v>
      </c>
      <c r="S2688">
        <v>0</v>
      </c>
      <c r="T2688">
        <v>0</v>
      </c>
      <c r="U2688">
        <v>0</v>
      </c>
      <c r="V2688">
        <v>61</v>
      </c>
      <c r="W2688">
        <v>427</v>
      </c>
      <c r="X2688">
        <v>0</v>
      </c>
      <c r="Z2688">
        <v>0</v>
      </c>
      <c r="AA2688">
        <v>0</v>
      </c>
      <c r="AB2688">
        <v>0</v>
      </c>
      <c r="AC2688">
        <v>0</v>
      </c>
      <c r="AD2688" t="s">
        <v>5027</v>
      </c>
    </row>
    <row r="2689" spans="1:30" x14ac:dyDescent="0.25">
      <c r="H2689" t="s">
        <v>5028</v>
      </c>
    </row>
    <row r="2690" spans="1:30" x14ac:dyDescent="0.25">
      <c r="A2690">
        <v>1342</v>
      </c>
      <c r="B2690">
        <v>5196</v>
      </c>
      <c r="C2690" t="s">
        <v>5029</v>
      </c>
      <c r="D2690" t="s">
        <v>694</v>
      </c>
      <c r="E2690" t="s">
        <v>5030</v>
      </c>
      <c r="F2690" t="s">
        <v>5031</v>
      </c>
      <c r="G2690" t="str">
        <f>"00166514"</f>
        <v>00166514</v>
      </c>
      <c r="H2690">
        <v>858</v>
      </c>
      <c r="I2690">
        <v>0</v>
      </c>
      <c r="J2690">
        <v>0</v>
      </c>
      <c r="K2690">
        <v>0</v>
      </c>
      <c r="L2690">
        <v>0</v>
      </c>
      <c r="M2690">
        <v>0</v>
      </c>
      <c r="N2690">
        <v>30</v>
      </c>
      <c r="O2690">
        <v>0</v>
      </c>
      <c r="P2690">
        <v>0</v>
      </c>
      <c r="Q2690">
        <v>0</v>
      </c>
      <c r="R2690">
        <v>0</v>
      </c>
      <c r="S2690">
        <v>0</v>
      </c>
      <c r="T2690">
        <v>0</v>
      </c>
      <c r="U2690">
        <v>0</v>
      </c>
      <c r="V2690">
        <v>30</v>
      </c>
      <c r="W2690">
        <v>210</v>
      </c>
      <c r="X2690">
        <v>0</v>
      </c>
      <c r="Z2690">
        <v>1</v>
      </c>
      <c r="AA2690">
        <v>0</v>
      </c>
      <c r="AB2690">
        <v>0</v>
      </c>
      <c r="AC2690">
        <v>0</v>
      </c>
      <c r="AD2690">
        <v>1098</v>
      </c>
    </row>
    <row r="2691" spans="1:30" x14ac:dyDescent="0.25">
      <c r="H2691" t="s">
        <v>5032</v>
      </c>
    </row>
    <row r="2692" spans="1:30" x14ac:dyDescent="0.25">
      <c r="A2692">
        <v>1343</v>
      </c>
      <c r="B2692">
        <v>4980</v>
      </c>
      <c r="C2692" t="s">
        <v>5033</v>
      </c>
      <c r="D2692" t="s">
        <v>526</v>
      </c>
      <c r="E2692" t="s">
        <v>40</v>
      </c>
      <c r="F2692" t="s">
        <v>5034</v>
      </c>
      <c r="G2692" t="str">
        <f>"201406008337"</f>
        <v>201406008337</v>
      </c>
      <c r="H2692" t="s">
        <v>1673</v>
      </c>
      <c r="I2692">
        <v>0</v>
      </c>
      <c r="J2692">
        <v>0</v>
      </c>
      <c r="K2692">
        <v>0</v>
      </c>
      <c r="L2692">
        <v>0</v>
      </c>
      <c r="M2692">
        <v>0</v>
      </c>
      <c r="N2692">
        <v>70</v>
      </c>
      <c r="O2692">
        <v>0</v>
      </c>
      <c r="P2692">
        <v>0</v>
      </c>
      <c r="Q2692">
        <v>30</v>
      </c>
      <c r="R2692">
        <v>0</v>
      </c>
      <c r="S2692">
        <v>0</v>
      </c>
      <c r="T2692">
        <v>0</v>
      </c>
      <c r="U2692">
        <v>0</v>
      </c>
      <c r="V2692">
        <v>50</v>
      </c>
      <c r="W2692">
        <v>350</v>
      </c>
      <c r="X2692">
        <v>0</v>
      </c>
      <c r="Z2692">
        <v>0</v>
      </c>
      <c r="AA2692">
        <v>0</v>
      </c>
      <c r="AB2692">
        <v>0</v>
      </c>
      <c r="AC2692">
        <v>0</v>
      </c>
      <c r="AD2692" t="s">
        <v>5035</v>
      </c>
    </row>
    <row r="2693" spans="1:30" x14ac:dyDescent="0.25">
      <c r="H2693" t="s">
        <v>5036</v>
      </c>
    </row>
    <row r="2694" spans="1:30" x14ac:dyDescent="0.25">
      <c r="A2694">
        <v>1344</v>
      </c>
      <c r="B2694">
        <v>704</v>
      </c>
      <c r="C2694" t="s">
        <v>5037</v>
      </c>
      <c r="D2694" t="s">
        <v>5038</v>
      </c>
      <c r="E2694" t="s">
        <v>47</v>
      </c>
      <c r="F2694" t="s">
        <v>5039</v>
      </c>
      <c r="G2694" t="str">
        <f>"00270192"</f>
        <v>00270192</v>
      </c>
      <c r="H2694" t="s">
        <v>3232</v>
      </c>
      <c r="I2694">
        <v>0</v>
      </c>
      <c r="J2694">
        <v>0</v>
      </c>
      <c r="K2694">
        <v>0</v>
      </c>
      <c r="L2694">
        <v>0</v>
      </c>
      <c r="M2694">
        <v>0</v>
      </c>
      <c r="N2694">
        <v>30</v>
      </c>
      <c r="O2694">
        <v>0</v>
      </c>
      <c r="P2694">
        <v>0</v>
      </c>
      <c r="Q2694">
        <v>0</v>
      </c>
      <c r="R2694">
        <v>0</v>
      </c>
      <c r="S2694">
        <v>0</v>
      </c>
      <c r="T2694">
        <v>0</v>
      </c>
      <c r="U2694">
        <v>0</v>
      </c>
      <c r="V2694">
        <v>56</v>
      </c>
      <c r="W2694">
        <v>392</v>
      </c>
      <c r="X2694">
        <v>0</v>
      </c>
      <c r="Z2694">
        <v>0</v>
      </c>
      <c r="AA2694">
        <v>0</v>
      </c>
      <c r="AB2694">
        <v>0</v>
      </c>
      <c r="AC2694">
        <v>0</v>
      </c>
      <c r="AD2694" t="s">
        <v>5040</v>
      </c>
    </row>
    <row r="2695" spans="1:30" x14ac:dyDescent="0.25">
      <c r="H2695" t="s">
        <v>5041</v>
      </c>
    </row>
    <row r="2696" spans="1:30" x14ac:dyDescent="0.25">
      <c r="A2696">
        <v>1345</v>
      </c>
      <c r="B2696">
        <v>1247</v>
      </c>
      <c r="C2696" t="s">
        <v>5042</v>
      </c>
      <c r="D2696" t="s">
        <v>5043</v>
      </c>
      <c r="E2696" t="s">
        <v>5044</v>
      </c>
      <c r="F2696" t="s">
        <v>5045</v>
      </c>
      <c r="G2696" t="str">
        <f>"201511025642"</f>
        <v>201511025642</v>
      </c>
      <c r="H2696" t="s">
        <v>519</v>
      </c>
      <c r="I2696">
        <v>0</v>
      </c>
      <c r="J2696">
        <v>0</v>
      </c>
      <c r="K2696">
        <v>0</v>
      </c>
      <c r="L2696">
        <v>200</v>
      </c>
      <c r="M2696">
        <v>0</v>
      </c>
      <c r="N2696">
        <v>0</v>
      </c>
      <c r="O2696">
        <v>0</v>
      </c>
      <c r="P2696">
        <v>0</v>
      </c>
      <c r="Q2696">
        <v>0</v>
      </c>
      <c r="R2696">
        <v>0</v>
      </c>
      <c r="S2696">
        <v>0</v>
      </c>
      <c r="T2696">
        <v>70</v>
      </c>
      <c r="U2696">
        <v>0</v>
      </c>
      <c r="V2696">
        <v>10</v>
      </c>
      <c r="W2696">
        <v>70</v>
      </c>
      <c r="X2696">
        <v>0</v>
      </c>
      <c r="Z2696">
        <v>0</v>
      </c>
      <c r="AA2696">
        <v>0</v>
      </c>
      <c r="AB2696">
        <v>0</v>
      </c>
      <c r="AC2696">
        <v>0</v>
      </c>
      <c r="AD2696" t="s">
        <v>5046</v>
      </c>
    </row>
    <row r="2697" spans="1:30" x14ac:dyDescent="0.25">
      <c r="H2697">
        <v>1247</v>
      </c>
    </row>
    <row r="2698" spans="1:30" x14ac:dyDescent="0.25">
      <c r="A2698">
        <v>1346</v>
      </c>
      <c r="B2698">
        <v>2974</v>
      </c>
      <c r="C2698" t="s">
        <v>5047</v>
      </c>
      <c r="D2698" t="s">
        <v>1660</v>
      </c>
      <c r="E2698" t="s">
        <v>47</v>
      </c>
      <c r="F2698" t="s">
        <v>5048</v>
      </c>
      <c r="G2698" t="str">
        <f>"00203473"</f>
        <v>00203473</v>
      </c>
      <c r="H2698" t="s">
        <v>3212</v>
      </c>
      <c r="I2698">
        <v>0</v>
      </c>
      <c r="J2698">
        <v>0</v>
      </c>
      <c r="K2698">
        <v>0</v>
      </c>
      <c r="L2698">
        <v>0</v>
      </c>
      <c r="M2698">
        <v>0</v>
      </c>
      <c r="N2698">
        <v>30</v>
      </c>
      <c r="O2698">
        <v>0</v>
      </c>
      <c r="P2698">
        <v>0</v>
      </c>
      <c r="Q2698">
        <v>0</v>
      </c>
      <c r="R2698">
        <v>0</v>
      </c>
      <c r="S2698">
        <v>0</v>
      </c>
      <c r="T2698">
        <v>0</v>
      </c>
      <c r="U2698">
        <v>0</v>
      </c>
      <c r="V2698">
        <v>57</v>
      </c>
      <c r="W2698">
        <v>399</v>
      </c>
      <c r="X2698">
        <v>0</v>
      </c>
      <c r="Z2698">
        <v>0</v>
      </c>
      <c r="AA2698">
        <v>0</v>
      </c>
      <c r="AB2698">
        <v>0</v>
      </c>
      <c r="AC2698">
        <v>0</v>
      </c>
      <c r="AD2698" t="s">
        <v>5049</v>
      </c>
    </row>
    <row r="2699" spans="1:30" x14ac:dyDescent="0.25">
      <c r="H2699" t="s">
        <v>5050</v>
      </c>
    </row>
    <row r="2700" spans="1:30" x14ac:dyDescent="0.25">
      <c r="A2700">
        <v>1347</v>
      </c>
      <c r="B2700">
        <v>2849</v>
      </c>
      <c r="C2700" t="s">
        <v>5051</v>
      </c>
      <c r="D2700" t="s">
        <v>183</v>
      </c>
      <c r="E2700" t="s">
        <v>39</v>
      </c>
      <c r="F2700" t="s">
        <v>5052</v>
      </c>
      <c r="G2700" t="str">
        <f>"201406017175"</f>
        <v>201406017175</v>
      </c>
      <c r="H2700">
        <v>671</v>
      </c>
      <c r="I2700">
        <v>0</v>
      </c>
      <c r="J2700">
        <v>0</v>
      </c>
      <c r="K2700">
        <v>0</v>
      </c>
      <c r="L2700">
        <v>0</v>
      </c>
      <c r="M2700">
        <v>0</v>
      </c>
      <c r="N2700">
        <v>50</v>
      </c>
      <c r="O2700">
        <v>0</v>
      </c>
      <c r="P2700">
        <v>30</v>
      </c>
      <c r="Q2700">
        <v>0</v>
      </c>
      <c r="R2700">
        <v>0</v>
      </c>
      <c r="S2700">
        <v>0</v>
      </c>
      <c r="T2700">
        <v>0</v>
      </c>
      <c r="U2700">
        <v>0</v>
      </c>
      <c r="V2700">
        <v>49</v>
      </c>
      <c r="W2700">
        <v>343</v>
      </c>
      <c r="X2700">
        <v>0</v>
      </c>
      <c r="Z2700">
        <v>0</v>
      </c>
      <c r="AA2700">
        <v>0</v>
      </c>
      <c r="AB2700">
        <v>0</v>
      </c>
      <c r="AC2700">
        <v>0</v>
      </c>
      <c r="AD2700">
        <v>1094</v>
      </c>
    </row>
    <row r="2701" spans="1:30" x14ac:dyDescent="0.25">
      <c r="H2701" t="s">
        <v>5053</v>
      </c>
    </row>
    <row r="2702" spans="1:30" x14ac:dyDescent="0.25">
      <c r="A2702">
        <v>1348</v>
      </c>
      <c r="B2702">
        <v>1659</v>
      </c>
      <c r="C2702" t="s">
        <v>1153</v>
      </c>
      <c r="D2702" t="s">
        <v>39</v>
      </c>
      <c r="E2702" t="s">
        <v>47</v>
      </c>
      <c r="F2702" t="s">
        <v>5054</v>
      </c>
      <c r="G2702" t="str">
        <f>"201604001599"</f>
        <v>201604001599</v>
      </c>
      <c r="H2702" t="s">
        <v>760</v>
      </c>
      <c r="I2702">
        <v>0</v>
      </c>
      <c r="J2702">
        <v>0</v>
      </c>
      <c r="K2702">
        <v>0</v>
      </c>
      <c r="L2702">
        <v>0</v>
      </c>
      <c r="M2702">
        <v>0</v>
      </c>
      <c r="N2702">
        <v>70</v>
      </c>
      <c r="O2702">
        <v>0</v>
      </c>
      <c r="P2702">
        <v>0</v>
      </c>
      <c r="Q2702">
        <v>0</v>
      </c>
      <c r="R2702">
        <v>0</v>
      </c>
      <c r="S2702">
        <v>0</v>
      </c>
      <c r="T2702">
        <v>0</v>
      </c>
      <c r="U2702">
        <v>0</v>
      </c>
      <c r="V2702">
        <v>43</v>
      </c>
      <c r="W2702">
        <v>301</v>
      </c>
      <c r="X2702">
        <v>0</v>
      </c>
      <c r="Z2702">
        <v>0</v>
      </c>
      <c r="AA2702">
        <v>0</v>
      </c>
      <c r="AB2702">
        <v>0</v>
      </c>
      <c r="AC2702">
        <v>0</v>
      </c>
      <c r="AD2702" t="s">
        <v>5055</v>
      </c>
    </row>
    <row r="2703" spans="1:30" x14ac:dyDescent="0.25">
      <c r="H2703" t="s">
        <v>5056</v>
      </c>
    </row>
    <row r="2704" spans="1:30" x14ac:dyDescent="0.25">
      <c r="A2704">
        <v>1349</v>
      </c>
      <c r="B2704">
        <v>4211</v>
      </c>
      <c r="C2704" t="s">
        <v>5057</v>
      </c>
      <c r="D2704" t="s">
        <v>2922</v>
      </c>
      <c r="E2704" t="s">
        <v>547</v>
      </c>
      <c r="F2704" t="s">
        <v>5058</v>
      </c>
      <c r="G2704" t="str">
        <f>"00088638"</f>
        <v>00088638</v>
      </c>
      <c r="H2704" t="s">
        <v>801</v>
      </c>
      <c r="I2704">
        <v>0</v>
      </c>
      <c r="J2704">
        <v>0</v>
      </c>
      <c r="K2704">
        <v>0</v>
      </c>
      <c r="L2704">
        <v>0</v>
      </c>
      <c r="M2704">
        <v>0</v>
      </c>
      <c r="N2704">
        <v>30</v>
      </c>
      <c r="O2704">
        <v>0</v>
      </c>
      <c r="P2704">
        <v>0</v>
      </c>
      <c r="Q2704">
        <v>0</v>
      </c>
      <c r="R2704">
        <v>0</v>
      </c>
      <c r="S2704">
        <v>0</v>
      </c>
      <c r="T2704">
        <v>0</v>
      </c>
      <c r="U2704">
        <v>0</v>
      </c>
      <c r="V2704">
        <v>33</v>
      </c>
      <c r="W2704">
        <v>231</v>
      </c>
      <c r="X2704">
        <v>0</v>
      </c>
      <c r="Z2704">
        <v>0</v>
      </c>
      <c r="AA2704">
        <v>0</v>
      </c>
      <c r="AB2704">
        <v>0</v>
      </c>
      <c r="AC2704">
        <v>0</v>
      </c>
      <c r="AD2704" t="s">
        <v>5059</v>
      </c>
    </row>
    <row r="2705" spans="1:30" x14ac:dyDescent="0.25">
      <c r="H2705" t="s">
        <v>5060</v>
      </c>
    </row>
    <row r="2706" spans="1:30" x14ac:dyDescent="0.25">
      <c r="A2706">
        <v>1350</v>
      </c>
      <c r="B2706">
        <v>166</v>
      </c>
      <c r="C2706" t="s">
        <v>5061</v>
      </c>
      <c r="D2706" t="s">
        <v>39</v>
      </c>
      <c r="E2706" t="s">
        <v>40</v>
      </c>
      <c r="F2706" t="s">
        <v>5062</v>
      </c>
      <c r="G2706" t="str">
        <f>"201406008879"</f>
        <v>201406008879</v>
      </c>
      <c r="H2706">
        <v>814</v>
      </c>
      <c r="I2706">
        <v>0</v>
      </c>
      <c r="J2706">
        <v>0</v>
      </c>
      <c r="K2706">
        <v>0</v>
      </c>
      <c r="L2706">
        <v>0</v>
      </c>
      <c r="M2706">
        <v>0</v>
      </c>
      <c r="N2706">
        <v>30</v>
      </c>
      <c r="O2706">
        <v>0</v>
      </c>
      <c r="P2706">
        <v>0</v>
      </c>
      <c r="Q2706">
        <v>0</v>
      </c>
      <c r="R2706">
        <v>0</v>
      </c>
      <c r="S2706">
        <v>0</v>
      </c>
      <c r="T2706">
        <v>0</v>
      </c>
      <c r="U2706">
        <v>0</v>
      </c>
      <c r="V2706">
        <v>16</v>
      </c>
      <c r="W2706">
        <v>112</v>
      </c>
      <c r="X2706">
        <v>0</v>
      </c>
      <c r="Z2706">
        <v>1</v>
      </c>
      <c r="AA2706">
        <v>0</v>
      </c>
      <c r="AB2706">
        <v>8</v>
      </c>
      <c r="AC2706">
        <v>136</v>
      </c>
      <c r="AD2706">
        <v>1092</v>
      </c>
    </row>
    <row r="2707" spans="1:30" x14ac:dyDescent="0.25">
      <c r="H2707" t="s">
        <v>5063</v>
      </c>
    </row>
    <row r="2708" spans="1:30" x14ac:dyDescent="0.25">
      <c r="A2708">
        <v>1351</v>
      </c>
      <c r="B2708">
        <v>5586</v>
      </c>
      <c r="C2708" t="s">
        <v>5064</v>
      </c>
      <c r="D2708" t="s">
        <v>830</v>
      </c>
      <c r="E2708" t="s">
        <v>595</v>
      </c>
      <c r="F2708" t="s">
        <v>5065</v>
      </c>
      <c r="G2708" t="str">
        <f>"00289824"</f>
        <v>00289824</v>
      </c>
      <c r="H2708">
        <v>770</v>
      </c>
      <c r="I2708">
        <v>0</v>
      </c>
      <c r="J2708">
        <v>0</v>
      </c>
      <c r="K2708">
        <v>0</v>
      </c>
      <c r="L2708">
        <v>0</v>
      </c>
      <c r="M2708">
        <v>0</v>
      </c>
      <c r="N2708">
        <v>0</v>
      </c>
      <c r="O2708">
        <v>0</v>
      </c>
      <c r="P2708">
        <v>0</v>
      </c>
      <c r="Q2708">
        <v>0</v>
      </c>
      <c r="R2708">
        <v>0</v>
      </c>
      <c r="S2708">
        <v>0</v>
      </c>
      <c r="T2708">
        <v>0</v>
      </c>
      <c r="U2708">
        <v>0</v>
      </c>
      <c r="V2708">
        <v>46</v>
      </c>
      <c r="W2708">
        <v>322</v>
      </c>
      <c r="X2708">
        <v>0</v>
      </c>
      <c r="Z2708">
        <v>0</v>
      </c>
      <c r="AA2708">
        <v>0</v>
      </c>
      <c r="AB2708">
        <v>0</v>
      </c>
      <c r="AC2708">
        <v>0</v>
      </c>
      <c r="AD2708">
        <v>1092</v>
      </c>
    </row>
    <row r="2709" spans="1:30" x14ac:dyDescent="0.25">
      <c r="H2709" t="s">
        <v>1213</v>
      </c>
    </row>
    <row r="2710" spans="1:30" x14ac:dyDescent="0.25">
      <c r="A2710">
        <v>1352</v>
      </c>
      <c r="B2710">
        <v>2739</v>
      </c>
      <c r="C2710" t="s">
        <v>3425</v>
      </c>
      <c r="D2710" t="s">
        <v>47</v>
      </c>
      <c r="E2710" t="s">
        <v>39</v>
      </c>
      <c r="F2710" t="s">
        <v>5066</v>
      </c>
      <c r="G2710" t="str">
        <f>"200712006110"</f>
        <v>200712006110</v>
      </c>
      <c r="H2710">
        <v>759</v>
      </c>
      <c r="I2710">
        <v>0</v>
      </c>
      <c r="J2710">
        <v>0</v>
      </c>
      <c r="K2710">
        <v>0</v>
      </c>
      <c r="L2710">
        <v>200</v>
      </c>
      <c r="M2710">
        <v>0</v>
      </c>
      <c r="N2710">
        <v>70</v>
      </c>
      <c r="O2710">
        <v>0</v>
      </c>
      <c r="P2710">
        <v>0</v>
      </c>
      <c r="Q2710">
        <v>0</v>
      </c>
      <c r="R2710">
        <v>0</v>
      </c>
      <c r="S2710">
        <v>0</v>
      </c>
      <c r="T2710">
        <v>0</v>
      </c>
      <c r="U2710">
        <v>0</v>
      </c>
      <c r="V2710">
        <v>9</v>
      </c>
      <c r="W2710">
        <v>63</v>
      </c>
      <c r="X2710">
        <v>0</v>
      </c>
      <c r="Z2710">
        <v>0</v>
      </c>
      <c r="AA2710">
        <v>0</v>
      </c>
      <c r="AB2710">
        <v>0</v>
      </c>
      <c r="AC2710">
        <v>0</v>
      </c>
      <c r="AD2710">
        <v>1092</v>
      </c>
    </row>
    <row r="2711" spans="1:30" x14ac:dyDescent="0.25">
      <c r="H2711" t="s">
        <v>5067</v>
      </c>
    </row>
    <row r="2712" spans="1:30" x14ac:dyDescent="0.25">
      <c r="A2712">
        <v>1353</v>
      </c>
      <c r="B2712">
        <v>902</v>
      </c>
      <c r="C2712" t="s">
        <v>5068</v>
      </c>
      <c r="D2712" t="s">
        <v>685</v>
      </c>
      <c r="E2712" t="s">
        <v>162</v>
      </c>
      <c r="F2712" t="s">
        <v>5069</v>
      </c>
      <c r="G2712" t="str">
        <f>"00309278"</f>
        <v>00309278</v>
      </c>
      <c r="H2712" t="s">
        <v>519</v>
      </c>
      <c r="I2712">
        <v>0</v>
      </c>
      <c r="J2712">
        <v>0</v>
      </c>
      <c r="K2712">
        <v>0</v>
      </c>
      <c r="L2712">
        <v>0</v>
      </c>
      <c r="M2712">
        <v>0</v>
      </c>
      <c r="N2712">
        <v>0</v>
      </c>
      <c r="O2712">
        <v>0</v>
      </c>
      <c r="P2712">
        <v>0</v>
      </c>
      <c r="Q2712">
        <v>0</v>
      </c>
      <c r="R2712">
        <v>0</v>
      </c>
      <c r="S2712">
        <v>0</v>
      </c>
      <c r="T2712">
        <v>0</v>
      </c>
      <c r="U2712">
        <v>0</v>
      </c>
      <c r="V2712">
        <v>48</v>
      </c>
      <c r="W2712">
        <v>336</v>
      </c>
      <c r="X2712">
        <v>0</v>
      </c>
      <c r="Z2712">
        <v>0</v>
      </c>
      <c r="AA2712">
        <v>0</v>
      </c>
      <c r="AB2712">
        <v>0</v>
      </c>
      <c r="AC2712">
        <v>0</v>
      </c>
      <c r="AD2712" t="s">
        <v>5070</v>
      </c>
    </row>
    <row r="2713" spans="1:30" x14ac:dyDescent="0.25">
      <c r="H2713" t="s">
        <v>5071</v>
      </c>
    </row>
    <row r="2714" spans="1:30" x14ac:dyDescent="0.25">
      <c r="A2714">
        <v>1354</v>
      </c>
      <c r="B2714">
        <v>775</v>
      </c>
      <c r="C2714" t="s">
        <v>5072</v>
      </c>
      <c r="D2714" t="s">
        <v>694</v>
      </c>
      <c r="E2714" t="s">
        <v>151</v>
      </c>
      <c r="F2714" t="s">
        <v>5073</v>
      </c>
      <c r="G2714" t="str">
        <f>"200903000008"</f>
        <v>200903000008</v>
      </c>
      <c r="H2714" t="s">
        <v>1345</v>
      </c>
      <c r="I2714">
        <v>0</v>
      </c>
      <c r="J2714">
        <v>0</v>
      </c>
      <c r="K2714">
        <v>0</v>
      </c>
      <c r="L2714">
        <v>0</v>
      </c>
      <c r="M2714">
        <v>0</v>
      </c>
      <c r="N2714">
        <v>30</v>
      </c>
      <c r="O2714">
        <v>0</v>
      </c>
      <c r="P2714">
        <v>0</v>
      </c>
      <c r="Q2714">
        <v>0</v>
      </c>
      <c r="R2714">
        <v>0</v>
      </c>
      <c r="S2714">
        <v>0</v>
      </c>
      <c r="T2714">
        <v>0</v>
      </c>
      <c r="U2714">
        <v>0</v>
      </c>
      <c r="V2714">
        <v>45</v>
      </c>
      <c r="W2714">
        <v>315</v>
      </c>
      <c r="X2714">
        <v>0</v>
      </c>
      <c r="Z2714">
        <v>1</v>
      </c>
      <c r="AA2714">
        <v>0</v>
      </c>
      <c r="AB2714">
        <v>0</v>
      </c>
      <c r="AC2714">
        <v>0</v>
      </c>
      <c r="AD2714" t="s">
        <v>5074</v>
      </c>
    </row>
    <row r="2715" spans="1:30" x14ac:dyDescent="0.25">
      <c r="H2715" t="s">
        <v>5075</v>
      </c>
    </row>
    <row r="2716" spans="1:30" x14ac:dyDescent="0.25">
      <c r="A2716">
        <v>1355</v>
      </c>
      <c r="B2716">
        <v>1039</v>
      </c>
      <c r="C2716" t="s">
        <v>5076</v>
      </c>
      <c r="D2716" t="s">
        <v>335</v>
      </c>
      <c r="E2716" t="s">
        <v>107</v>
      </c>
      <c r="F2716" t="s">
        <v>5077</v>
      </c>
      <c r="G2716" t="str">
        <f>"00301150"</f>
        <v>00301150</v>
      </c>
      <c r="H2716">
        <v>682</v>
      </c>
      <c r="I2716">
        <v>150</v>
      </c>
      <c r="J2716">
        <v>0</v>
      </c>
      <c r="K2716">
        <v>0</v>
      </c>
      <c r="L2716">
        <v>0</v>
      </c>
      <c r="M2716">
        <v>0</v>
      </c>
      <c r="N2716">
        <v>70</v>
      </c>
      <c r="O2716">
        <v>0</v>
      </c>
      <c r="P2716">
        <v>0</v>
      </c>
      <c r="Q2716">
        <v>0</v>
      </c>
      <c r="R2716">
        <v>0</v>
      </c>
      <c r="S2716">
        <v>0</v>
      </c>
      <c r="T2716">
        <v>0</v>
      </c>
      <c r="U2716">
        <v>0</v>
      </c>
      <c r="V2716">
        <v>0</v>
      </c>
      <c r="W2716">
        <v>0</v>
      </c>
      <c r="X2716">
        <v>0</v>
      </c>
      <c r="Z2716">
        <v>0</v>
      </c>
      <c r="AA2716">
        <v>0</v>
      </c>
      <c r="AB2716">
        <v>11</v>
      </c>
      <c r="AC2716">
        <v>187</v>
      </c>
      <c r="AD2716">
        <v>1089</v>
      </c>
    </row>
    <row r="2717" spans="1:30" x14ac:dyDescent="0.25">
      <c r="H2717" t="s">
        <v>5078</v>
      </c>
    </row>
    <row r="2718" spans="1:30" x14ac:dyDescent="0.25">
      <c r="A2718">
        <v>1356</v>
      </c>
      <c r="B2718">
        <v>2291</v>
      </c>
      <c r="C2718" t="s">
        <v>2015</v>
      </c>
      <c r="D2718" t="s">
        <v>335</v>
      </c>
      <c r="E2718" t="s">
        <v>5079</v>
      </c>
      <c r="F2718" t="s">
        <v>5080</v>
      </c>
      <c r="G2718" t="str">
        <f>"00324455"</f>
        <v>00324455</v>
      </c>
      <c r="H2718" t="s">
        <v>3212</v>
      </c>
      <c r="I2718">
        <v>0</v>
      </c>
      <c r="J2718">
        <v>0</v>
      </c>
      <c r="K2718">
        <v>0</v>
      </c>
      <c r="L2718">
        <v>0</v>
      </c>
      <c r="M2718">
        <v>0</v>
      </c>
      <c r="N2718">
        <v>30</v>
      </c>
      <c r="O2718">
        <v>0</v>
      </c>
      <c r="P2718">
        <v>0</v>
      </c>
      <c r="Q2718">
        <v>0</v>
      </c>
      <c r="R2718">
        <v>0</v>
      </c>
      <c r="S2718">
        <v>0</v>
      </c>
      <c r="T2718">
        <v>0</v>
      </c>
      <c r="U2718">
        <v>0</v>
      </c>
      <c r="V2718">
        <v>56</v>
      </c>
      <c r="W2718">
        <v>392</v>
      </c>
      <c r="X2718">
        <v>0</v>
      </c>
      <c r="Z2718">
        <v>0</v>
      </c>
      <c r="AA2718">
        <v>0</v>
      </c>
      <c r="AB2718">
        <v>0</v>
      </c>
      <c r="AC2718">
        <v>0</v>
      </c>
      <c r="AD2718" t="s">
        <v>5081</v>
      </c>
    </row>
    <row r="2719" spans="1:30" x14ac:dyDescent="0.25">
      <c r="H2719" t="s">
        <v>5082</v>
      </c>
    </row>
    <row r="2720" spans="1:30" x14ac:dyDescent="0.25">
      <c r="A2720">
        <v>1357</v>
      </c>
      <c r="B2720">
        <v>1083</v>
      </c>
      <c r="C2720" t="s">
        <v>2421</v>
      </c>
      <c r="D2720" t="s">
        <v>5083</v>
      </c>
      <c r="E2720" t="s">
        <v>39</v>
      </c>
      <c r="F2720" t="s">
        <v>5084</v>
      </c>
      <c r="G2720" t="str">
        <f>"00231196"</f>
        <v>00231196</v>
      </c>
      <c r="H2720" t="s">
        <v>123</v>
      </c>
      <c r="I2720">
        <v>0</v>
      </c>
      <c r="J2720">
        <v>0</v>
      </c>
      <c r="K2720">
        <v>0</v>
      </c>
      <c r="L2720">
        <v>0</v>
      </c>
      <c r="M2720">
        <v>0</v>
      </c>
      <c r="N2720">
        <v>30</v>
      </c>
      <c r="O2720">
        <v>0</v>
      </c>
      <c r="P2720">
        <v>0</v>
      </c>
      <c r="Q2720">
        <v>0</v>
      </c>
      <c r="R2720">
        <v>0</v>
      </c>
      <c r="S2720">
        <v>0</v>
      </c>
      <c r="T2720">
        <v>0</v>
      </c>
      <c r="U2720">
        <v>0</v>
      </c>
      <c r="V2720">
        <v>46</v>
      </c>
      <c r="W2720">
        <v>322</v>
      </c>
      <c r="X2720">
        <v>0</v>
      </c>
      <c r="Z2720">
        <v>0</v>
      </c>
      <c r="AA2720">
        <v>0</v>
      </c>
      <c r="AB2720">
        <v>0</v>
      </c>
      <c r="AC2720">
        <v>0</v>
      </c>
      <c r="AD2720" t="s">
        <v>5085</v>
      </c>
    </row>
    <row r="2721" spans="1:30" x14ac:dyDescent="0.25">
      <c r="H2721" t="s">
        <v>5086</v>
      </c>
    </row>
    <row r="2722" spans="1:30" x14ac:dyDescent="0.25">
      <c r="A2722">
        <v>1358</v>
      </c>
      <c r="B2722">
        <v>5044</v>
      </c>
      <c r="C2722" t="s">
        <v>5087</v>
      </c>
      <c r="D2722" t="s">
        <v>91</v>
      </c>
      <c r="E2722" t="s">
        <v>51</v>
      </c>
      <c r="F2722" t="s">
        <v>5088</v>
      </c>
      <c r="G2722" t="str">
        <f>"00157041"</f>
        <v>00157041</v>
      </c>
      <c r="H2722" t="s">
        <v>5089</v>
      </c>
      <c r="I2722">
        <v>0</v>
      </c>
      <c r="J2722">
        <v>0</v>
      </c>
      <c r="K2722">
        <v>0</v>
      </c>
      <c r="L2722">
        <v>200</v>
      </c>
      <c r="M2722">
        <v>0</v>
      </c>
      <c r="N2722">
        <v>30</v>
      </c>
      <c r="O2722">
        <v>0</v>
      </c>
      <c r="P2722">
        <v>0</v>
      </c>
      <c r="Q2722">
        <v>0</v>
      </c>
      <c r="R2722">
        <v>0</v>
      </c>
      <c r="S2722">
        <v>0</v>
      </c>
      <c r="T2722">
        <v>0</v>
      </c>
      <c r="U2722">
        <v>0</v>
      </c>
      <c r="V2722">
        <v>0</v>
      </c>
      <c r="W2722">
        <v>0</v>
      </c>
      <c r="X2722">
        <v>0</v>
      </c>
      <c r="Z2722">
        <v>0</v>
      </c>
      <c r="AA2722">
        <v>0</v>
      </c>
      <c r="AB2722">
        <v>0</v>
      </c>
      <c r="AC2722">
        <v>0</v>
      </c>
      <c r="AD2722" t="s">
        <v>5090</v>
      </c>
    </row>
    <row r="2723" spans="1:30" x14ac:dyDescent="0.25">
      <c r="H2723" t="s">
        <v>5091</v>
      </c>
    </row>
    <row r="2724" spans="1:30" x14ac:dyDescent="0.25">
      <c r="A2724">
        <v>1359</v>
      </c>
      <c r="B2724">
        <v>630</v>
      </c>
      <c r="C2724" t="s">
        <v>5092</v>
      </c>
      <c r="D2724" t="s">
        <v>262</v>
      </c>
      <c r="E2724" t="s">
        <v>107</v>
      </c>
      <c r="F2724" t="s">
        <v>5093</v>
      </c>
      <c r="G2724" t="str">
        <f>"201510000452"</f>
        <v>201510000452</v>
      </c>
      <c r="H2724" t="s">
        <v>2705</v>
      </c>
      <c r="I2724">
        <v>0</v>
      </c>
      <c r="J2724">
        <v>0</v>
      </c>
      <c r="K2724">
        <v>0</v>
      </c>
      <c r="L2724">
        <v>0</v>
      </c>
      <c r="M2724">
        <v>0</v>
      </c>
      <c r="N2724">
        <v>30</v>
      </c>
      <c r="O2724">
        <v>0</v>
      </c>
      <c r="P2724">
        <v>0</v>
      </c>
      <c r="Q2724">
        <v>0</v>
      </c>
      <c r="R2724">
        <v>0</v>
      </c>
      <c r="S2724">
        <v>0</v>
      </c>
      <c r="T2724">
        <v>0</v>
      </c>
      <c r="U2724">
        <v>0</v>
      </c>
      <c r="V2724">
        <v>10</v>
      </c>
      <c r="W2724">
        <v>70</v>
      </c>
      <c r="X2724">
        <v>0</v>
      </c>
      <c r="Z2724">
        <v>0</v>
      </c>
      <c r="AA2724">
        <v>0</v>
      </c>
      <c r="AB2724">
        <v>18</v>
      </c>
      <c r="AC2724">
        <v>306</v>
      </c>
      <c r="AD2724" t="s">
        <v>5090</v>
      </c>
    </row>
    <row r="2725" spans="1:30" x14ac:dyDescent="0.25">
      <c r="H2725" t="s">
        <v>5094</v>
      </c>
    </row>
    <row r="2726" spans="1:30" x14ac:dyDescent="0.25">
      <c r="A2726">
        <v>1360</v>
      </c>
      <c r="B2726">
        <v>4120</v>
      </c>
      <c r="C2726" t="s">
        <v>5095</v>
      </c>
      <c r="D2726" t="s">
        <v>98</v>
      </c>
      <c r="E2726" t="s">
        <v>91</v>
      </c>
      <c r="F2726" t="s">
        <v>5096</v>
      </c>
      <c r="G2726" t="str">
        <f>"201402010605"</f>
        <v>201402010605</v>
      </c>
      <c r="H2726" t="s">
        <v>388</v>
      </c>
      <c r="I2726">
        <v>0</v>
      </c>
      <c r="J2726">
        <v>0</v>
      </c>
      <c r="K2726">
        <v>0</v>
      </c>
      <c r="L2726">
        <v>0</v>
      </c>
      <c r="M2726">
        <v>0</v>
      </c>
      <c r="N2726">
        <v>30</v>
      </c>
      <c r="O2726">
        <v>0</v>
      </c>
      <c r="P2726">
        <v>0</v>
      </c>
      <c r="Q2726">
        <v>0</v>
      </c>
      <c r="R2726">
        <v>0</v>
      </c>
      <c r="S2726">
        <v>0</v>
      </c>
      <c r="T2726">
        <v>0</v>
      </c>
      <c r="U2726">
        <v>0</v>
      </c>
      <c r="V2726">
        <v>0</v>
      </c>
      <c r="W2726">
        <v>0</v>
      </c>
      <c r="X2726">
        <v>0</v>
      </c>
      <c r="Z2726">
        <v>2</v>
      </c>
      <c r="AA2726">
        <v>0</v>
      </c>
      <c r="AB2726">
        <v>21</v>
      </c>
      <c r="AC2726">
        <v>357</v>
      </c>
      <c r="AD2726" t="s">
        <v>5097</v>
      </c>
    </row>
    <row r="2727" spans="1:30" x14ac:dyDescent="0.25">
      <c r="H2727" t="s">
        <v>5098</v>
      </c>
    </row>
    <row r="2728" spans="1:30" x14ac:dyDescent="0.25">
      <c r="A2728">
        <v>1361</v>
      </c>
      <c r="B2728">
        <v>5310</v>
      </c>
      <c r="C2728" t="s">
        <v>5099</v>
      </c>
      <c r="D2728" t="s">
        <v>182</v>
      </c>
      <c r="E2728" t="s">
        <v>1772</v>
      </c>
      <c r="F2728" t="s">
        <v>5100</v>
      </c>
      <c r="G2728" t="str">
        <f>"201402001442"</f>
        <v>201402001442</v>
      </c>
      <c r="H2728" t="s">
        <v>5101</v>
      </c>
      <c r="I2728">
        <v>0</v>
      </c>
      <c r="J2728">
        <v>0</v>
      </c>
      <c r="K2728">
        <v>0</v>
      </c>
      <c r="L2728">
        <v>0</v>
      </c>
      <c r="M2728">
        <v>0</v>
      </c>
      <c r="N2728">
        <v>30</v>
      </c>
      <c r="O2728">
        <v>0</v>
      </c>
      <c r="P2728">
        <v>0</v>
      </c>
      <c r="Q2728">
        <v>0</v>
      </c>
      <c r="R2728">
        <v>0</v>
      </c>
      <c r="S2728">
        <v>0</v>
      </c>
      <c r="T2728">
        <v>0</v>
      </c>
      <c r="U2728">
        <v>0</v>
      </c>
      <c r="V2728">
        <v>20</v>
      </c>
      <c r="W2728">
        <v>140</v>
      </c>
      <c r="X2728">
        <v>0</v>
      </c>
      <c r="Z2728">
        <v>0</v>
      </c>
      <c r="AA2728">
        <v>0</v>
      </c>
      <c r="AB2728">
        <v>0</v>
      </c>
      <c r="AC2728">
        <v>0</v>
      </c>
      <c r="AD2728" t="s">
        <v>5102</v>
      </c>
    </row>
    <row r="2729" spans="1:30" x14ac:dyDescent="0.25">
      <c r="H2729" t="s">
        <v>5103</v>
      </c>
    </row>
    <row r="2730" spans="1:30" x14ac:dyDescent="0.25">
      <c r="A2730">
        <v>1362</v>
      </c>
      <c r="B2730">
        <v>3221</v>
      </c>
      <c r="C2730" t="s">
        <v>5104</v>
      </c>
      <c r="D2730" t="s">
        <v>262</v>
      </c>
      <c r="E2730" t="s">
        <v>47</v>
      </c>
      <c r="F2730" t="s">
        <v>5105</v>
      </c>
      <c r="G2730" t="str">
        <f>"00253071"</f>
        <v>00253071</v>
      </c>
      <c r="H2730" t="s">
        <v>1339</v>
      </c>
      <c r="I2730">
        <v>0</v>
      </c>
      <c r="J2730">
        <v>0</v>
      </c>
      <c r="K2730">
        <v>0</v>
      </c>
      <c r="L2730">
        <v>0</v>
      </c>
      <c r="M2730">
        <v>0</v>
      </c>
      <c r="N2730">
        <v>0</v>
      </c>
      <c r="O2730">
        <v>0</v>
      </c>
      <c r="P2730">
        <v>0</v>
      </c>
      <c r="Q2730">
        <v>0</v>
      </c>
      <c r="R2730">
        <v>0</v>
      </c>
      <c r="S2730">
        <v>0</v>
      </c>
      <c r="T2730">
        <v>0</v>
      </c>
      <c r="U2730">
        <v>0</v>
      </c>
      <c r="V2730">
        <v>59</v>
      </c>
      <c r="W2730">
        <v>413</v>
      </c>
      <c r="X2730">
        <v>0</v>
      </c>
      <c r="Z2730">
        <v>0</v>
      </c>
      <c r="AA2730">
        <v>0</v>
      </c>
      <c r="AB2730">
        <v>0</v>
      </c>
      <c r="AC2730">
        <v>0</v>
      </c>
      <c r="AD2730" t="s">
        <v>5106</v>
      </c>
    </row>
    <row r="2731" spans="1:30" x14ac:dyDescent="0.25">
      <c r="H2731">
        <v>1247</v>
      </c>
    </row>
    <row r="2732" spans="1:30" x14ac:dyDescent="0.25">
      <c r="A2732">
        <v>1363</v>
      </c>
      <c r="B2732">
        <v>4317</v>
      </c>
      <c r="C2732" t="s">
        <v>5107</v>
      </c>
      <c r="D2732" t="s">
        <v>75</v>
      </c>
      <c r="E2732" t="s">
        <v>47</v>
      </c>
      <c r="F2732" t="s">
        <v>5108</v>
      </c>
      <c r="G2732" t="str">
        <f>"200801002333"</f>
        <v>200801002333</v>
      </c>
      <c r="H2732">
        <v>748</v>
      </c>
      <c r="I2732">
        <v>0</v>
      </c>
      <c r="J2732">
        <v>0</v>
      </c>
      <c r="K2732">
        <v>0</v>
      </c>
      <c r="L2732">
        <v>0</v>
      </c>
      <c r="M2732">
        <v>0</v>
      </c>
      <c r="N2732">
        <v>30</v>
      </c>
      <c r="O2732">
        <v>0</v>
      </c>
      <c r="P2732">
        <v>0</v>
      </c>
      <c r="Q2732">
        <v>0</v>
      </c>
      <c r="R2732">
        <v>0</v>
      </c>
      <c r="S2732">
        <v>0</v>
      </c>
      <c r="T2732">
        <v>0</v>
      </c>
      <c r="U2732">
        <v>0</v>
      </c>
      <c r="V2732">
        <v>44</v>
      </c>
      <c r="W2732">
        <v>308</v>
      </c>
      <c r="X2732">
        <v>0</v>
      </c>
      <c r="Z2732">
        <v>0</v>
      </c>
      <c r="AA2732">
        <v>0</v>
      </c>
      <c r="AB2732">
        <v>0</v>
      </c>
      <c r="AC2732">
        <v>0</v>
      </c>
      <c r="AD2732">
        <v>1086</v>
      </c>
    </row>
    <row r="2733" spans="1:30" x14ac:dyDescent="0.25">
      <c r="H2733" t="s">
        <v>5109</v>
      </c>
    </row>
    <row r="2734" spans="1:30" x14ac:dyDescent="0.25">
      <c r="A2734">
        <v>1364</v>
      </c>
      <c r="B2734">
        <v>2881</v>
      </c>
      <c r="C2734" t="s">
        <v>5110</v>
      </c>
      <c r="D2734" t="s">
        <v>151</v>
      </c>
      <c r="E2734" t="s">
        <v>238</v>
      </c>
      <c r="F2734" t="s">
        <v>5111</v>
      </c>
      <c r="G2734" t="str">
        <f>"00147274"</f>
        <v>00147274</v>
      </c>
      <c r="H2734" t="s">
        <v>219</v>
      </c>
      <c r="I2734">
        <v>150</v>
      </c>
      <c r="J2734">
        <v>0</v>
      </c>
      <c r="K2734">
        <v>0</v>
      </c>
      <c r="L2734">
        <v>0</v>
      </c>
      <c r="M2734">
        <v>0</v>
      </c>
      <c r="N2734">
        <v>30</v>
      </c>
      <c r="O2734">
        <v>0</v>
      </c>
      <c r="P2734">
        <v>0</v>
      </c>
      <c r="Q2734">
        <v>0</v>
      </c>
      <c r="R2734">
        <v>0</v>
      </c>
      <c r="S2734">
        <v>0</v>
      </c>
      <c r="T2734">
        <v>0</v>
      </c>
      <c r="U2734">
        <v>0</v>
      </c>
      <c r="V2734">
        <v>19</v>
      </c>
      <c r="W2734">
        <v>133</v>
      </c>
      <c r="X2734">
        <v>0</v>
      </c>
      <c r="Z2734">
        <v>0</v>
      </c>
      <c r="AA2734">
        <v>0</v>
      </c>
      <c r="AB2734">
        <v>0</v>
      </c>
      <c r="AC2734">
        <v>0</v>
      </c>
      <c r="AD2734" t="s">
        <v>5112</v>
      </c>
    </row>
    <row r="2735" spans="1:30" x14ac:dyDescent="0.25">
      <c r="H2735" t="s">
        <v>5113</v>
      </c>
    </row>
    <row r="2736" spans="1:30" x14ac:dyDescent="0.25">
      <c r="A2736">
        <v>1365</v>
      </c>
      <c r="B2736">
        <v>3944</v>
      </c>
      <c r="C2736" t="s">
        <v>5114</v>
      </c>
      <c r="D2736" t="s">
        <v>526</v>
      </c>
      <c r="E2736" t="s">
        <v>40</v>
      </c>
      <c r="F2736" t="s">
        <v>5115</v>
      </c>
      <c r="G2736" t="str">
        <f>"00043014"</f>
        <v>00043014</v>
      </c>
      <c r="H2736">
        <v>770</v>
      </c>
      <c r="I2736">
        <v>0</v>
      </c>
      <c r="J2736">
        <v>0</v>
      </c>
      <c r="K2736">
        <v>0</v>
      </c>
      <c r="L2736">
        <v>0</v>
      </c>
      <c r="M2736">
        <v>0</v>
      </c>
      <c r="N2736">
        <v>0</v>
      </c>
      <c r="O2736">
        <v>0</v>
      </c>
      <c r="P2736">
        <v>0</v>
      </c>
      <c r="Q2736">
        <v>0</v>
      </c>
      <c r="R2736">
        <v>0</v>
      </c>
      <c r="S2736">
        <v>0</v>
      </c>
      <c r="T2736">
        <v>0</v>
      </c>
      <c r="U2736">
        <v>0</v>
      </c>
      <c r="V2736">
        <v>45</v>
      </c>
      <c r="W2736">
        <v>315</v>
      </c>
      <c r="X2736">
        <v>0</v>
      </c>
      <c r="Z2736">
        <v>0</v>
      </c>
      <c r="AA2736">
        <v>0</v>
      </c>
      <c r="AB2736">
        <v>0</v>
      </c>
      <c r="AC2736">
        <v>0</v>
      </c>
      <c r="AD2736">
        <v>1085</v>
      </c>
    </row>
    <row r="2737" spans="1:30" x14ac:dyDescent="0.25">
      <c r="H2737" t="s">
        <v>1670</v>
      </c>
    </row>
    <row r="2738" spans="1:30" x14ac:dyDescent="0.25">
      <c r="A2738">
        <v>1366</v>
      </c>
      <c r="B2738">
        <v>5355</v>
      </c>
      <c r="C2738" t="s">
        <v>5116</v>
      </c>
      <c r="D2738" t="s">
        <v>134</v>
      </c>
      <c r="E2738" t="s">
        <v>509</v>
      </c>
      <c r="F2738" t="s">
        <v>5117</v>
      </c>
      <c r="G2738" t="str">
        <f>"00243302"</f>
        <v>00243302</v>
      </c>
      <c r="H2738" t="s">
        <v>185</v>
      </c>
      <c r="I2738">
        <v>0</v>
      </c>
      <c r="J2738">
        <v>0</v>
      </c>
      <c r="K2738">
        <v>0</v>
      </c>
      <c r="L2738">
        <v>200</v>
      </c>
      <c r="M2738">
        <v>0</v>
      </c>
      <c r="N2738">
        <v>30</v>
      </c>
      <c r="O2738">
        <v>0</v>
      </c>
      <c r="P2738">
        <v>0</v>
      </c>
      <c r="Q2738">
        <v>0</v>
      </c>
      <c r="R2738">
        <v>0</v>
      </c>
      <c r="S2738">
        <v>0</v>
      </c>
      <c r="T2738">
        <v>0</v>
      </c>
      <c r="U2738">
        <v>0</v>
      </c>
      <c r="V2738">
        <v>0</v>
      </c>
      <c r="W2738">
        <v>0</v>
      </c>
      <c r="X2738">
        <v>0</v>
      </c>
      <c r="Z2738">
        <v>0</v>
      </c>
      <c r="AA2738">
        <v>0</v>
      </c>
      <c r="AB2738">
        <v>0</v>
      </c>
      <c r="AC2738">
        <v>0</v>
      </c>
      <c r="AD2738" t="s">
        <v>5118</v>
      </c>
    </row>
    <row r="2739" spans="1:30" x14ac:dyDescent="0.25">
      <c r="H2739" t="s">
        <v>5119</v>
      </c>
    </row>
    <row r="2740" spans="1:30" x14ac:dyDescent="0.25">
      <c r="A2740">
        <v>1367</v>
      </c>
      <c r="B2740">
        <v>3534</v>
      </c>
      <c r="C2740" t="s">
        <v>5120</v>
      </c>
      <c r="D2740" t="s">
        <v>39</v>
      </c>
      <c r="E2740" t="s">
        <v>140</v>
      </c>
      <c r="F2740" t="s">
        <v>5121</v>
      </c>
      <c r="G2740" t="str">
        <f>"00343046"</f>
        <v>00343046</v>
      </c>
      <c r="H2740" t="s">
        <v>241</v>
      </c>
      <c r="I2740">
        <v>0</v>
      </c>
      <c r="J2740">
        <v>0</v>
      </c>
      <c r="K2740">
        <v>0</v>
      </c>
      <c r="L2740">
        <v>0</v>
      </c>
      <c r="M2740">
        <v>0</v>
      </c>
      <c r="N2740">
        <v>70</v>
      </c>
      <c r="O2740">
        <v>0</v>
      </c>
      <c r="P2740">
        <v>0</v>
      </c>
      <c r="Q2740">
        <v>0</v>
      </c>
      <c r="R2740">
        <v>0</v>
      </c>
      <c r="S2740">
        <v>0</v>
      </c>
      <c r="T2740">
        <v>0</v>
      </c>
      <c r="U2740">
        <v>0</v>
      </c>
      <c r="V2740">
        <v>42</v>
      </c>
      <c r="W2740">
        <v>294</v>
      </c>
      <c r="X2740">
        <v>0</v>
      </c>
      <c r="Z2740">
        <v>0</v>
      </c>
      <c r="AA2740">
        <v>0</v>
      </c>
      <c r="AB2740">
        <v>0</v>
      </c>
      <c r="AC2740">
        <v>0</v>
      </c>
      <c r="AD2740" t="s">
        <v>5122</v>
      </c>
    </row>
    <row r="2741" spans="1:30" x14ac:dyDescent="0.25">
      <c r="H2741" t="s">
        <v>5123</v>
      </c>
    </row>
    <row r="2742" spans="1:30" x14ac:dyDescent="0.25">
      <c r="A2742">
        <v>1368</v>
      </c>
      <c r="B2742">
        <v>3973</v>
      </c>
      <c r="C2742" t="s">
        <v>5124</v>
      </c>
      <c r="D2742" t="s">
        <v>98</v>
      </c>
      <c r="E2742" t="s">
        <v>290</v>
      </c>
      <c r="F2742" t="s">
        <v>5125</v>
      </c>
      <c r="G2742" t="str">
        <f>"201406012939"</f>
        <v>201406012939</v>
      </c>
      <c r="H2742" t="s">
        <v>4168</v>
      </c>
      <c r="I2742">
        <v>0</v>
      </c>
      <c r="J2742">
        <v>0</v>
      </c>
      <c r="K2742">
        <v>0</v>
      </c>
      <c r="L2742">
        <v>0</v>
      </c>
      <c r="M2742">
        <v>0</v>
      </c>
      <c r="N2742">
        <v>50</v>
      </c>
      <c r="O2742">
        <v>0</v>
      </c>
      <c r="P2742">
        <v>0</v>
      </c>
      <c r="Q2742">
        <v>0</v>
      </c>
      <c r="R2742">
        <v>0</v>
      </c>
      <c r="S2742">
        <v>0</v>
      </c>
      <c r="T2742">
        <v>0</v>
      </c>
      <c r="U2742">
        <v>0</v>
      </c>
      <c r="V2742">
        <v>26</v>
      </c>
      <c r="W2742">
        <v>182</v>
      </c>
      <c r="X2742">
        <v>0</v>
      </c>
      <c r="Z2742">
        <v>0</v>
      </c>
      <c r="AA2742">
        <v>0</v>
      </c>
      <c r="AB2742">
        <v>6</v>
      </c>
      <c r="AC2742">
        <v>102</v>
      </c>
      <c r="AD2742" t="s">
        <v>5126</v>
      </c>
    </row>
    <row r="2743" spans="1:30" x14ac:dyDescent="0.25">
      <c r="H2743" t="s">
        <v>1852</v>
      </c>
    </row>
    <row r="2744" spans="1:30" x14ac:dyDescent="0.25">
      <c r="A2744">
        <v>1369</v>
      </c>
      <c r="B2744">
        <v>1146</v>
      </c>
      <c r="C2744" t="s">
        <v>5127</v>
      </c>
      <c r="D2744" t="s">
        <v>468</v>
      </c>
      <c r="E2744" t="s">
        <v>107</v>
      </c>
      <c r="F2744" t="s">
        <v>5128</v>
      </c>
      <c r="G2744" t="str">
        <f>"00297744"</f>
        <v>00297744</v>
      </c>
      <c r="H2744">
        <v>847</v>
      </c>
      <c r="I2744">
        <v>0</v>
      </c>
      <c r="J2744">
        <v>0</v>
      </c>
      <c r="K2744">
        <v>0</v>
      </c>
      <c r="L2744">
        <v>0</v>
      </c>
      <c r="M2744">
        <v>0</v>
      </c>
      <c r="N2744">
        <v>30</v>
      </c>
      <c r="O2744">
        <v>0</v>
      </c>
      <c r="P2744">
        <v>30</v>
      </c>
      <c r="Q2744">
        <v>0</v>
      </c>
      <c r="R2744">
        <v>0</v>
      </c>
      <c r="S2744">
        <v>0</v>
      </c>
      <c r="T2744">
        <v>0</v>
      </c>
      <c r="U2744">
        <v>0</v>
      </c>
      <c r="V2744">
        <v>25</v>
      </c>
      <c r="W2744">
        <v>175</v>
      </c>
      <c r="X2744">
        <v>0</v>
      </c>
      <c r="Z2744">
        <v>0</v>
      </c>
      <c r="AA2744">
        <v>0</v>
      </c>
      <c r="AB2744">
        <v>0</v>
      </c>
      <c r="AC2744">
        <v>0</v>
      </c>
      <c r="AD2744">
        <v>1082</v>
      </c>
    </row>
    <row r="2745" spans="1:30" x14ac:dyDescent="0.25">
      <c r="H2745" t="s">
        <v>5129</v>
      </c>
    </row>
    <row r="2746" spans="1:30" x14ac:dyDescent="0.25">
      <c r="A2746">
        <v>1370</v>
      </c>
      <c r="B2746">
        <v>163</v>
      </c>
      <c r="C2746" t="s">
        <v>5130</v>
      </c>
      <c r="D2746" t="s">
        <v>224</v>
      </c>
      <c r="E2746" t="s">
        <v>140</v>
      </c>
      <c r="F2746" t="s">
        <v>5131</v>
      </c>
      <c r="G2746" t="str">
        <f>"00102670"</f>
        <v>00102670</v>
      </c>
      <c r="H2746" t="s">
        <v>71</v>
      </c>
      <c r="I2746">
        <v>0</v>
      </c>
      <c r="J2746">
        <v>0</v>
      </c>
      <c r="K2746">
        <v>0</v>
      </c>
      <c r="L2746">
        <v>0</v>
      </c>
      <c r="M2746">
        <v>0</v>
      </c>
      <c r="N2746">
        <v>0</v>
      </c>
      <c r="O2746">
        <v>0</v>
      </c>
      <c r="P2746">
        <v>0</v>
      </c>
      <c r="Q2746">
        <v>0</v>
      </c>
      <c r="R2746">
        <v>0</v>
      </c>
      <c r="S2746">
        <v>0</v>
      </c>
      <c r="T2746">
        <v>0</v>
      </c>
      <c r="U2746">
        <v>0</v>
      </c>
      <c r="V2746">
        <v>36</v>
      </c>
      <c r="W2746">
        <v>252</v>
      </c>
      <c r="X2746">
        <v>0</v>
      </c>
      <c r="Z2746">
        <v>0</v>
      </c>
      <c r="AA2746">
        <v>0</v>
      </c>
      <c r="AB2746">
        <v>0</v>
      </c>
      <c r="AC2746">
        <v>0</v>
      </c>
      <c r="AD2746" t="s">
        <v>5132</v>
      </c>
    </row>
    <row r="2747" spans="1:30" x14ac:dyDescent="0.25">
      <c r="H2747" t="s">
        <v>5133</v>
      </c>
    </row>
    <row r="2748" spans="1:30" x14ac:dyDescent="0.25">
      <c r="A2748">
        <v>1371</v>
      </c>
      <c r="B2748">
        <v>5918</v>
      </c>
      <c r="C2748" t="s">
        <v>1933</v>
      </c>
      <c r="D2748" t="s">
        <v>636</v>
      </c>
      <c r="E2748" t="s">
        <v>39</v>
      </c>
      <c r="F2748" t="s">
        <v>5134</v>
      </c>
      <c r="G2748" t="str">
        <f>"00229993"</f>
        <v>00229993</v>
      </c>
      <c r="H2748" t="s">
        <v>2928</v>
      </c>
      <c r="I2748">
        <v>0</v>
      </c>
      <c r="J2748">
        <v>0</v>
      </c>
      <c r="K2748">
        <v>0</v>
      </c>
      <c r="L2748">
        <v>200</v>
      </c>
      <c r="M2748">
        <v>0</v>
      </c>
      <c r="N2748">
        <v>70</v>
      </c>
      <c r="O2748">
        <v>0</v>
      </c>
      <c r="P2748">
        <v>0</v>
      </c>
      <c r="Q2748">
        <v>0</v>
      </c>
      <c r="R2748">
        <v>0</v>
      </c>
      <c r="S2748">
        <v>0</v>
      </c>
      <c r="T2748">
        <v>0</v>
      </c>
      <c r="U2748">
        <v>0</v>
      </c>
      <c r="V2748">
        <v>12</v>
      </c>
      <c r="W2748">
        <v>84</v>
      </c>
      <c r="X2748">
        <v>0</v>
      </c>
      <c r="Z2748">
        <v>0</v>
      </c>
      <c r="AA2748">
        <v>0</v>
      </c>
      <c r="AB2748">
        <v>0</v>
      </c>
      <c r="AC2748">
        <v>0</v>
      </c>
      <c r="AD2748" t="s">
        <v>5135</v>
      </c>
    </row>
    <row r="2749" spans="1:30" x14ac:dyDescent="0.25">
      <c r="H2749" t="s">
        <v>273</v>
      </c>
    </row>
    <row r="2750" spans="1:30" x14ac:dyDescent="0.25">
      <c r="A2750">
        <v>1372</v>
      </c>
      <c r="B2750">
        <v>5619</v>
      </c>
      <c r="C2750" t="s">
        <v>5136</v>
      </c>
      <c r="D2750" t="s">
        <v>869</v>
      </c>
      <c r="E2750" t="s">
        <v>151</v>
      </c>
      <c r="F2750" t="s">
        <v>5137</v>
      </c>
      <c r="G2750" t="str">
        <f>"00153739"</f>
        <v>00153739</v>
      </c>
      <c r="H2750">
        <v>737</v>
      </c>
      <c r="I2750">
        <v>0</v>
      </c>
      <c r="J2750">
        <v>0</v>
      </c>
      <c r="K2750">
        <v>0</v>
      </c>
      <c r="L2750">
        <v>0</v>
      </c>
      <c r="M2750">
        <v>0</v>
      </c>
      <c r="N2750">
        <v>0</v>
      </c>
      <c r="O2750">
        <v>0</v>
      </c>
      <c r="P2750">
        <v>0</v>
      </c>
      <c r="Q2750">
        <v>0</v>
      </c>
      <c r="R2750">
        <v>0</v>
      </c>
      <c r="S2750">
        <v>0</v>
      </c>
      <c r="T2750">
        <v>0</v>
      </c>
      <c r="U2750">
        <v>0</v>
      </c>
      <c r="V2750">
        <v>49</v>
      </c>
      <c r="W2750">
        <v>343</v>
      </c>
      <c r="X2750">
        <v>0</v>
      </c>
      <c r="Z2750">
        <v>0</v>
      </c>
      <c r="AA2750">
        <v>0</v>
      </c>
      <c r="AB2750">
        <v>0</v>
      </c>
      <c r="AC2750">
        <v>0</v>
      </c>
      <c r="AD2750">
        <v>1080</v>
      </c>
    </row>
    <row r="2751" spans="1:30" x14ac:dyDescent="0.25">
      <c r="H2751" t="s">
        <v>5138</v>
      </c>
    </row>
    <row r="2752" spans="1:30" x14ac:dyDescent="0.25">
      <c r="A2752">
        <v>1373</v>
      </c>
      <c r="B2752">
        <v>6112</v>
      </c>
      <c r="C2752" t="s">
        <v>5139</v>
      </c>
      <c r="D2752" t="s">
        <v>2092</v>
      </c>
      <c r="E2752" t="s">
        <v>291</v>
      </c>
      <c r="F2752" t="s">
        <v>5140</v>
      </c>
      <c r="G2752" t="str">
        <f>"00159761"</f>
        <v>00159761</v>
      </c>
      <c r="H2752" t="s">
        <v>332</v>
      </c>
      <c r="I2752">
        <v>0</v>
      </c>
      <c r="J2752">
        <v>0</v>
      </c>
      <c r="K2752">
        <v>0</v>
      </c>
      <c r="L2752">
        <v>200</v>
      </c>
      <c r="M2752">
        <v>0</v>
      </c>
      <c r="N2752">
        <v>70</v>
      </c>
      <c r="O2752">
        <v>0</v>
      </c>
      <c r="P2752">
        <v>0</v>
      </c>
      <c r="Q2752">
        <v>0</v>
      </c>
      <c r="R2752">
        <v>0</v>
      </c>
      <c r="S2752">
        <v>0</v>
      </c>
      <c r="T2752">
        <v>0</v>
      </c>
      <c r="U2752">
        <v>0</v>
      </c>
      <c r="V2752">
        <v>11</v>
      </c>
      <c r="W2752">
        <v>77</v>
      </c>
      <c r="X2752">
        <v>0</v>
      </c>
      <c r="Z2752">
        <v>2</v>
      </c>
      <c r="AA2752">
        <v>0</v>
      </c>
      <c r="AB2752">
        <v>0</v>
      </c>
      <c r="AC2752">
        <v>0</v>
      </c>
      <c r="AD2752" t="s">
        <v>5141</v>
      </c>
    </row>
    <row r="2753" spans="1:30" x14ac:dyDescent="0.25">
      <c r="H2753" t="s">
        <v>5142</v>
      </c>
    </row>
    <row r="2754" spans="1:30" x14ac:dyDescent="0.25">
      <c r="A2754">
        <v>1374</v>
      </c>
      <c r="B2754">
        <v>174</v>
      </c>
      <c r="C2754" t="s">
        <v>5143</v>
      </c>
      <c r="D2754" t="s">
        <v>526</v>
      </c>
      <c r="E2754" t="s">
        <v>509</v>
      </c>
      <c r="F2754" t="s">
        <v>5144</v>
      </c>
      <c r="G2754" t="str">
        <f>"00150412"</f>
        <v>00150412</v>
      </c>
      <c r="H2754">
        <v>693</v>
      </c>
      <c r="I2754">
        <v>0</v>
      </c>
      <c r="J2754">
        <v>0</v>
      </c>
      <c r="K2754">
        <v>0</v>
      </c>
      <c r="L2754">
        <v>200</v>
      </c>
      <c r="M2754">
        <v>0</v>
      </c>
      <c r="N2754">
        <v>30</v>
      </c>
      <c r="O2754">
        <v>0</v>
      </c>
      <c r="P2754">
        <v>0</v>
      </c>
      <c r="Q2754">
        <v>0</v>
      </c>
      <c r="R2754">
        <v>0</v>
      </c>
      <c r="S2754">
        <v>0</v>
      </c>
      <c r="T2754">
        <v>0</v>
      </c>
      <c r="U2754">
        <v>0</v>
      </c>
      <c r="V2754">
        <v>8</v>
      </c>
      <c r="W2754">
        <v>56</v>
      </c>
      <c r="X2754">
        <v>0</v>
      </c>
      <c r="Z2754">
        <v>0</v>
      </c>
      <c r="AA2754">
        <v>100</v>
      </c>
      <c r="AB2754">
        <v>0</v>
      </c>
      <c r="AC2754">
        <v>0</v>
      </c>
      <c r="AD2754">
        <v>1079</v>
      </c>
    </row>
    <row r="2755" spans="1:30" x14ac:dyDescent="0.25">
      <c r="H2755" t="s">
        <v>3337</v>
      </c>
    </row>
    <row r="2756" spans="1:30" x14ac:dyDescent="0.25">
      <c r="A2756">
        <v>1375</v>
      </c>
      <c r="B2756">
        <v>1027</v>
      </c>
      <c r="C2756" t="s">
        <v>5145</v>
      </c>
      <c r="D2756" t="s">
        <v>599</v>
      </c>
      <c r="E2756" t="s">
        <v>2932</v>
      </c>
      <c r="F2756" t="s">
        <v>5146</v>
      </c>
      <c r="G2756" t="str">
        <f>"00196899"</f>
        <v>00196899</v>
      </c>
      <c r="H2756">
        <v>671</v>
      </c>
      <c r="I2756">
        <v>0</v>
      </c>
      <c r="J2756">
        <v>0</v>
      </c>
      <c r="K2756">
        <v>0</v>
      </c>
      <c r="L2756">
        <v>0</v>
      </c>
      <c r="M2756">
        <v>0</v>
      </c>
      <c r="N2756">
        <v>30</v>
      </c>
      <c r="O2756">
        <v>0</v>
      </c>
      <c r="P2756">
        <v>0</v>
      </c>
      <c r="Q2756">
        <v>0</v>
      </c>
      <c r="R2756">
        <v>0</v>
      </c>
      <c r="S2756">
        <v>0</v>
      </c>
      <c r="T2756">
        <v>0</v>
      </c>
      <c r="U2756">
        <v>0</v>
      </c>
      <c r="V2756">
        <v>54</v>
      </c>
      <c r="W2756">
        <v>378</v>
      </c>
      <c r="X2756">
        <v>0</v>
      </c>
      <c r="Z2756">
        <v>2</v>
      </c>
      <c r="AA2756">
        <v>0</v>
      </c>
      <c r="AB2756">
        <v>0</v>
      </c>
      <c r="AC2756">
        <v>0</v>
      </c>
      <c r="AD2756">
        <v>1079</v>
      </c>
    </row>
    <row r="2757" spans="1:30" x14ac:dyDescent="0.25">
      <c r="H2757" t="s">
        <v>5147</v>
      </c>
    </row>
    <row r="2758" spans="1:30" x14ac:dyDescent="0.25">
      <c r="A2758">
        <v>1376</v>
      </c>
      <c r="B2758">
        <v>2885</v>
      </c>
      <c r="C2758" t="s">
        <v>5148</v>
      </c>
      <c r="D2758" t="s">
        <v>2537</v>
      </c>
      <c r="E2758" t="s">
        <v>40</v>
      </c>
      <c r="F2758" t="s">
        <v>5149</v>
      </c>
      <c r="G2758" t="str">
        <f>"00336918"</f>
        <v>00336918</v>
      </c>
      <c r="H2758">
        <v>671</v>
      </c>
      <c r="I2758">
        <v>0</v>
      </c>
      <c r="J2758">
        <v>0</v>
      </c>
      <c r="K2758">
        <v>0</v>
      </c>
      <c r="L2758">
        <v>0</v>
      </c>
      <c r="M2758">
        <v>0</v>
      </c>
      <c r="N2758">
        <v>30</v>
      </c>
      <c r="O2758">
        <v>0</v>
      </c>
      <c r="P2758">
        <v>0</v>
      </c>
      <c r="Q2758">
        <v>0</v>
      </c>
      <c r="R2758">
        <v>0</v>
      </c>
      <c r="S2758">
        <v>0</v>
      </c>
      <c r="T2758">
        <v>0</v>
      </c>
      <c r="U2758">
        <v>0</v>
      </c>
      <c r="V2758">
        <v>54</v>
      </c>
      <c r="W2758">
        <v>378</v>
      </c>
      <c r="X2758">
        <v>0</v>
      </c>
      <c r="Z2758">
        <v>0</v>
      </c>
      <c r="AA2758">
        <v>0</v>
      </c>
      <c r="AB2758">
        <v>0</v>
      </c>
      <c r="AC2758">
        <v>0</v>
      </c>
      <c r="AD2758">
        <v>1079</v>
      </c>
    </row>
    <row r="2759" spans="1:30" x14ac:dyDescent="0.25">
      <c r="H2759" t="s">
        <v>5150</v>
      </c>
    </row>
    <row r="2760" spans="1:30" x14ac:dyDescent="0.25">
      <c r="A2760">
        <v>1377</v>
      </c>
      <c r="B2760">
        <v>3126</v>
      </c>
      <c r="C2760" t="s">
        <v>4275</v>
      </c>
      <c r="D2760" t="s">
        <v>262</v>
      </c>
      <c r="E2760" t="s">
        <v>40</v>
      </c>
      <c r="F2760" t="s">
        <v>5151</v>
      </c>
      <c r="G2760" t="str">
        <f>"201406006345"</f>
        <v>201406006345</v>
      </c>
      <c r="H2760">
        <v>726</v>
      </c>
      <c r="I2760">
        <v>0</v>
      </c>
      <c r="J2760">
        <v>0</v>
      </c>
      <c r="K2760">
        <v>0</v>
      </c>
      <c r="L2760">
        <v>0</v>
      </c>
      <c r="M2760">
        <v>0</v>
      </c>
      <c r="N2760">
        <v>30</v>
      </c>
      <c r="O2760">
        <v>0</v>
      </c>
      <c r="P2760">
        <v>0</v>
      </c>
      <c r="Q2760">
        <v>0</v>
      </c>
      <c r="R2760">
        <v>0</v>
      </c>
      <c r="S2760">
        <v>0</v>
      </c>
      <c r="T2760">
        <v>0</v>
      </c>
      <c r="U2760">
        <v>0</v>
      </c>
      <c r="V2760">
        <v>46</v>
      </c>
      <c r="W2760">
        <v>322</v>
      </c>
      <c r="X2760">
        <v>0</v>
      </c>
      <c r="Z2760">
        <v>0</v>
      </c>
      <c r="AA2760">
        <v>0</v>
      </c>
      <c r="AB2760">
        <v>0</v>
      </c>
      <c r="AC2760">
        <v>0</v>
      </c>
      <c r="AD2760">
        <v>1078</v>
      </c>
    </row>
    <row r="2761" spans="1:30" x14ac:dyDescent="0.25">
      <c r="H2761" t="s">
        <v>5152</v>
      </c>
    </row>
    <row r="2762" spans="1:30" x14ac:dyDescent="0.25">
      <c r="A2762">
        <v>1378</v>
      </c>
      <c r="B2762">
        <v>756</v>
      </c>
      <c r="C2762" t="s">
        <v>5153</v>
      </c>
      <c r="D2762" t="s">
        <v>75</v>
      </c>
      <c r="E2762" t="s">
        <v>99</v>
      </c>
      <c r="F2762" t="s">
        <v>5154</v>
      </c>
      <c r="G2762" t="str">
        <f>"201511011818"</f>
        <v>201511011818</v>
      </c>
      <c r="H2762" t="s">
        <v>5155</v>
      </c>
      <c r="I2762">
        <v>0</v>
      </c>
      <c r="J2762">
        <v>0</v>
      </c>
      <c r="K2762">
        <v>0</v>
      </c>
      <c r="L2762">
        <v>0</v>
      </c>
      <c r="M2762">
        <v>0</v>
      </c>
      <c r="N2762">
        <v>70</v>
      </c>
      <c r="O2762">
        <v>0</v>
      </c>
      <c r="P2762">
        <v>0</v>
      </c>
      <c r="Q2762">
        <v>0</v>
      </c>
      <c r="R2762">
        <v>0</v>
      </c>
      <c r="S2762">
        <v>0</v>
      </c>
      <c r="T2762">
        <v>0</v>
      </c>
      <c r="U2762">
        <v>0</v>
      </c>
      <c r="V2762">
        <v>17</v>
      </c>
      <c r="W2762">
        <v>119</v>
      </c>
      <c r="X2762">
        <v>0</v>
      </c>
      <c r="Z2762">
        <v>0</v>
      </c>
      <c r="AA2762">
        <v>0</v>
      </c>
      <c r="AB2762">
        <v>0</v>
      </c>
      <c r="AC2762">
        <v>0</v>
      </c>
      <c r="AD2762" t="s">
        <v>5156</v>
      </c>
    </row>
    <row r="2763" spans="1:30" x14ac:dyDescent="0.25">
      <c r="H2763" t="s">
        <v>5157</v>
      </c>
    </row>
    <row r="2764" spans="1:30" x14ac:dyDescent="0.25">
      <c r="A2764">
        <v>1379</v>
      </c>
      <c r="B2764">
        <v>4938</v>
      </c>
      <c r="C2764" t="s">
        <v>5158</v>
      </c>
      <c r="D2764" t="s">
        <v>166</v>
      </c>
      <c r="E2764" t="s">
        <v>107</v>
      </c>
      <c r="F2764" t="s">
        <v>5159</v>
      </c>
      <c r="G2764" t="str">
        <f>"201405000902"</f>
        <v>201405000902</v>
      </c>
      <c r="H2764" t="s">
        <v>1150</v>
      </c>
      <c r="I2764">
        <v>150</v>
      </c>
      <c r="J2764">
        <v>0</v>
      </c>
      <c r="K2764">
        <v>0</v>
      </c>
      <c r="L2764">
        <v>0</v>
      </c>
      <c r="M2764">
        <v>0</v>
      </c>
      <c r="N2764">
        <v>30</v>
      </c>
      <c r="O2764">
        <v>0</v>
      </c>
      <c r="P2764">
        <v>0</v>
      </c>
      <c r="Q2764">
        <v>0</v>
      </c>
      <c r="R2764">
        <v>0</v>
      </c>
      <c r="S2764">
        <v>0</v>
      </c>
      <c r="T2764">
        <v>0</v>
      </c>
      <c r="U2764">
        <v>0</v>
      </c>
      <c r="V2764">
        <v>28</v>
      </c>
      <c r="W2764">
        <v>196</v>
      </c>
      <c r="X2764">
        <v>0</v>
      </c>
      <c r="Z2764">
        <v>0</v>
      </c>
      <c r="AA2764">
        <v>0</v>
      </c>
      <c r="AB2764">
        <v>0</v>
      </c>
      <c r="AC2764">
        <v>0</v>
      </c>
      <c r="AD2764" t="s">
        <v>5156</v>
      </c>
    </row>
    <row r="2765" spans="1:30" x14ac:dyDescent="0.25">
      <c r="H2765" t="s">
        <v>5160</v>
      </c>
    </row>
    <row r="2766" spans="1:30" x14ac:dyDescent="0.25">
      <c r="A2766">
        <v>1380</v>
      </c>
      <c r="B2766">
        <v>2335</v>
      </c>
      <c r="C2766" t="s">
        <v>5161</v>
      </c>
      <c r="D2766" t="s">
        <v>629</v>
      </c>
      <c r="E2766" t="s">
        <v>40</v>
      </c>
      <c r="F2766" t="s">
        <v>5162</v>
      </c>
      <c r="G2766" t="str">
        <f>"201406013953"</f>
        <v>201406013953</v>
      </c>
      <c r="H2766" t="s">
        <v>854</v>
      </c>
      <c r="I2766">
        <v>0</v>
      </c>
      <c r="J2766">
        <v>0</v>
      </c>
      <c r="K2766">
        <v>0</v>
      </c>
      <c r="L2766">
        <v>0</v>
      </c>
      <c r="M2766">
        <v>0</v>
      </c>
      <c r="N2766">
        <v>30</v>
      </c>
      <c r="O2766">
        <v>0</v>
      </c>
      <c r="P2766">
        <v>0</v>
      </c>
      <c r="Q2766">
        <v>0</v>
      </c>
      <c r="R2766">
        <v>0</v>
      </c>
      <c r="S2766">
        <v>0</v>
      </c>
      <c r="T2766">
        <v>0</v>
      </c>
      <c r="U2766">
        <v>0</v>
      </c>
      <c r="V2766">
        <v>48</v>
      </c>
      <c r="W2766">
        <v>336</v>
      </c>
      <c r="X2766">
        <v>0</v>
      </c>
      <c r="Z2766">
        <v>0</v>
      </c>
      <c r="AA2766">
        <v>0</v>
      </c>
      <c r="AB2766">
        <v>0</v>
      </c>
      <c r="AC2766">
        <v>0</v>
      </c>
      <c r="AD2766" t="s">
        <v>5163</v>
      </c>
    </row>
    <row r="2767" spans="1:30" x14ac:dyDescent="0.25">
      <c r="H2767">
        <v>1247</v>
      </c>
    </row>
    <row r="2768" spans="1:30" x14ac:dyDescent="0.25">
      <c r="A2768">
        <v>1381</v>
      </c>
      <c r="B2768">
        <v>5552</v>
      </c>
      <c r="C2768" t="s">
        <v>5164</v>
      </c>
      <c r="D2768" t="s">
        <v>335</v>
      </c>
      <c r="E2768" t="s">
        <v>140</v>
      </c>
      <c r="F2768" t="s">
        <v>5165</v>
      </c>
      <c r="G2768" t="str">
        <f>"00324986"</f>
        <v>00324986</v>
      </c>
      <c r="H2768" t="s">
        <v>1256</v>
      </c>
      <c r="I2768">
        <v>0</v>
      </c>
      <c r="J2768">
        <v>0</v>
      </c>
      <c r="K2768">
        <v>0</v>
      </c>
      <c r="L2768">
        <v>0</v>
      </c>
      <c r="M2768">
        <v>0</v>
      </c>
      <c r="N2768">
        <v>0</v>
      </c>
      <c r="O2768">
        <v>0</v>
      </c>
      <c r="P2768">
        <v>0</v>
      </c>
      <c r="Q2768">
        <v>0</v>
      </c>
      <c r="R2768">
        <v>0</v>
      </c>
      <c r="S2768">
        <v>0</v>
      </c>
      <c r="T2768">
        <v>0</v>
      </c>
      <c r="U2768">
        <v>0</v>
      </c>
      <c r="V2768">
        <v>59</v>
      </c>
      <c r="W2768">
        <v>413</v>
      </c>
      <c r="X2768">
        <v>0</v>
      </c>
      <c r="Z2768">
        <v>0</v>
      </c>
      <c r="AA2768">
        <v>0</v>
      </c>
      <c r="AB2768">
        <v>0</v>
      </c>
      <c r="AC2768">
        <v>0</v>
      </c>
      <c r="AD2768" t="s">
        <v>5166</v>
      </c>
    </row>
    <row r="2769" spans="1:30" x14ac:dyDescent="0.25">
      <c r="H2769" t="s">
        <v>5167</v>
      </c>
    </row>
    <row r="2770" spans="1:30" x14ac:dyDescent="0.25">
      <c r="A2770">
        <v>1382</v>
      </c>
      <c r="B2770">
        <v>6060</v>
      </c>
      <c r="C2770" t="s">
        <v>5168</v>
      </c>
      <c r="D2770" t="s">
        <v>852</v>
      </c>
      <c r="E2770" t="s">
        <v>595</v>
      </c>
      <c r="F2770" t="s">
        <v>5169</v>
      </c>
      <c r="G2770" t="str">
        <f>"00348735"</f>
        <v>00348735</v>
      </c>
      <c r="H2770">
        <v>902</v>
      </c>
      <c r="I2770">
        <v>0</v>
      </c>
      <c r="J2770">
        <v>0</v>
      </c>
      <c r="K2770">
        <v>0</v>
      </c>
      <c r="L2770">
        <v>0</v>
      </c>
      <c r="M2770">
        <v>0</v>
      </c>
      <c r="N2770">
        <v>70</v>
      </c>
      <c r="O2770">
        <v>0</v>
      </c>
      <c r="P2770">
        <v>0</v>
      </c>
      <c r="Q2770">
        <v>0</v>
      </c>
      <c r="R2770">
        <v>0</v>
      </c>
      <c r="S2770">
        <v>0</v>
      </c>
      <c r="T2770">
        <v>0</v>
      </c>
      <c r="U2770">
        <v>0</v>
      </c>
      <c r="V2770">
        <v>15</v>
      </c>
      <c r="W2770">
        <v>105</v>
      </c>
      <c r="X2770">
        <v>0</v>
      </c>
      <c r="Z2770">
        <v>0</v>
      </c>
      <c r="AA2770">
        <v>0</v>
      </c>
      <c r="AB2770">
        <v>0</v>
      </c>
      <c r="AC2770">
        <v>0</v>
      </c>
      <c r="AD2770">
        <v>1077</v>
      </c>
    </row>
    <row r="2771" spans="1:30" x14ac:dyDescent="0.25">
      <c r="H2771" t="s">
        <v>5170</v>
      </c>
    </row>
    <row r="2772" spans="1:30" x14ac:dyDescent="0.25">
      <c r="A2772">
        <v>1383</v>
      </c>
      <c r="B2772">
        <v>960</v>
      </c>
      <c r="C2772" t="s">
        <v>5171</v>
      </c>
      <c r="D2772" t="s">
        <v>3732</v>
      </c>
      <c r="E2772" t="s">
        <v>183</v>
      </c>
      <c r="F2772" t="s">
        <v>5172</v>
      </c>
      <c r="G2772" t="str">
        <f>"00152239"</f>
        <v>00152239</v>
      </c>
      <c r="H2772">
        <v>781</v>
      </c>
      <c r="I2772">
        <v>0</v>
      </c>
      <c r="J2772">
        <v>0</v>
      </c>
      <c r="K2772">
        <v>0</v>
      </c>
      <c r="L2772">
        <v>0</v>
      </c>
      <c r="M2772">
        <v>0</v>
      </c>
      <c r="N2772">
        <v>30</v>
      </c>
      <c r="O2772">
        <v>0</v>
      </c>
      <c r="P2772">
        <v>0</v>
      </c>
      <c r="Q2772">
        <v>0</v>
      </c>
      <c r="R2772">
        <v>0</v>
      </c>
      <c r="S2772">
        <v>0</v>
      </c>
      <c r="T2772">
        <v>0</v>
      </c>
      <c r="U2772">
        <v>0</v>
      </c>
      <c r="V2772">
        <v>38</v>
      </c>
      <c r="W2772">
        <v>266</v>
      </c>
      <c r="X2772">
        <v>0</v>
      </c>
      <c r="Z2772">
        <v>2</v>
      </c>
      <c r="AA2772">
        <v>0</v>
      </c>
      <c r="AB2772">
        <v>0</v>
      </c>
      <c r="AC2772">
        <v>0</v>
      </c>
      <c r="AD2772">
        <v>1077</v>
      </c>
    </row>
    <row r="2773" spans="1:30" x14ac:dyDescent="0.25">
      <c r="H2773" t="s">
        <v>5173</v>
      </c>
    </row>
    <row r="2774" spans="1:30" x14ac:dyDescent="0.25">
      <c r="A2774">
        <v>1384</v>
      </c>
      <c r="B2774">
        <v>2888</v>
      </c>
      <c r="C2774" t="s">
        <v>5174</v>
      </c>
      <c r="D2774" t="s">
        <v>115</v>
      </c>
      <c r="E2774" t="s">
        <v>449</v>
      </c>
      <c r="F2774" t="s">
        <v>5175</v>
      </c>
      <c r="G2774" t="str">
        <f>"00252343"</f>
        <v>00252343</v>
      </c>
      <c r="H2774">
        <v>671</v>
      </c>
      <c r="I2774">
        <v>0</v>
      </c>
      <c r="J2774">
        <v>0</v>
      </c>
      <c r="K2774">
        <v>0</v>
      </c>
      <c r="L2774">
        <v>0</v>
      </c>
      <c r="M2774">
        <v>0</v>
      </c>
      <c r="N2774">
        <v>0</v>
      </c>
      <c r="O2774">
        <v>0</v>
      </c>
      <c r="P2774">
        <v>0</v>
      </c>
      <c r="Q2774">
        <v>0</v>
      </c>
      <c r="R2774">
        <v>0</v>
      </c>
      <c r="S2774">
        <v>0</v>
      </c>
      <c r="T2774">
        <v>0</v>
      </c>
      <c r="U2774">
        <v>0</v>
      </c>
      <c r="V2774">
        <v>58</v>
      </c>
      <c r="W2774">
        <v>406</v>
      </c>
      <c r="X2774">
        <v>0</v>
      </c>
      <c r="Z2774">
        <v>0</v>
      </c>
      <c r="AA2774">
        <v>0</v>
      </c>
      <c r="AB2774">
        <v>0</v>
      </c>
      <c r="AC2774">
        <v>0</v>
      </c>
      <c r="AD2774">
        <v>1077</v>
      </c>
    </row>
    <row r="2775" spans="1:30" x14ac:dyDescent="0.25">
      <c r="H2775" t="s">
        <v>5176</v>
      </c>
    </row>
    <row r="2776" spans="1:30" x14ac:dyDescent="0.25">
      <c r="A2776">
        <v>1385</v>
      </c>
      <c r="B2776">
        <v>4627</v>
      </c>
      <c r="C2776" t="s">
        <v>899</v>
      </c>
      <c r="D2776" t="s">
        <v>271</v>
      </c>
      <c r="E2776" t="s">
        <v>47</v>
      </c>
      <c r="F2776" t="s">
        <v>5177</v>
      </c>
      <c r="G2776" t="str">
        <f>"00205873"</f>
        <v>00205873</v>
      </c>
      <c r="H2776" t="s">
        <v>2742</v>
      </c>
      <c r="I2776">
        <v>0</v>
      </c>
      <c r="J2776">
        <v>0</v>
      </c>
      <c r="K2776">
        <v>0</v>
      </c>
      <c r="L2776">
        <v>0</v>
      </c>
      <c r="M2776">
        <v>0</v>
      </c>
      <c r="N2776">
        <v>50</v>
      </c>
      <c r="O2776">
        <v>0</v>
      </c>
      <c r="P2776">
        <v>0</v>
      </c>
      <c r="Q2776">
        <v>0</v>
      </c>
      <c r="R2776">
        <v>0</v>
      </c>
      <c r="S2776">
        <v>0</v>
      </c>
      <c r="T2776">
        <v>0</v>
      </c>
      <c r="U2776">
        <v>0</v>
      </c>
      <c r="V2776">
        <v>41</v>
      </c>
      <c r="W2776">
        <v>287</v>
      </c>
      <c r="X2776">
        <v>0</v>
      </c>
      <c r="Z2776">
        <v>0</v>
      </c>
      <c r="AA2776">
        <v>0</v>
      </c>
      <c r="AB2776">
        <v>0</v>
      </c>
      <c r="AC2776">
        <v>0</v>
      </c>
      <c r="AD2776" t="s">
        <v>5178</v>
      </c>
    </row>
    <row r="2777" spans="1:30" x14ac:dyDescent="0.25">
      <c r="H2777" t="s">
        <v>3337</v>
      </c>
    </row>
    <row r="2778" spans="1:30" x14ac:dyDescent="0.25">
      <c r="A2778">
        <v>1386</v>
      </c>
      <c r="B2778">
        <v>4981</v>
      </c>
      <c r="C2778" t="s">
        <v>5179</v>
      </c>
      <c r="D2778" t="s">
        <v>1660</v>
      </c>
      <c r="E2778" t="s">
        <v>40</v>
      </c>
      <c r="F2778" t="s">
        <v>5180</v>
      </c>
      <c r="G2778" t="str">
        <f>"201402003674"</f>
        <v>201402003674</v>
      </c>
      <c r="H2778" t="s">
        <v>690</v>
      </c>
      <c r="I2778">
        <v>0</v>
      </c>
      <c r="J2778">
        <v>0</v>
      </c>
      <c r="K2778">
        <v>0</v>
      </c>
      <c r="L2778">
        <v>0</v>
      </c>
      <c r="M2778">
        <v>0</v>
      </c>
      <c r="N2778">
        <v>30</v>
      </c>
      <c r="O2778">
        <v>0</v>
      </c>
      <c r="P2778">
        <v>0</v>
      </c>
      <c r="Q2778">
        <v>0</v>
      </c>
      <c r="R2778">
        <v>0</v>
      </c>
      <c r="S2778">
        <v>0</v>
      </c>
      <c r="T2778">
        <v>0</v>
      </c>
      <c r="U2778">
        <v>0</v>
      </c>
      <c r="V2778">
        <v>40</v>
      </c>
      <c r="W2778">
        <v>280</v>
      </c>
      <c r="X2778">
        <v>0</v>
      </c>
      <c r="Z2778">
        <v>0</v>
      </c>
      <c r="AA2778">
        <v>0</v>
      </c>
      <c r="AB2778">
        <v>0</v>
      </c>
      <c r="AC2778">
        <v>0</v>
      </c>
      <c r="AD2778" t="s">
        <v>5181</v>
      </c>
    </row>
    <row r="2779" spans="1:30" x14ac:dyDescent="0.25">
      <c r="H2779" t="s">
        <v>5182</v>
      </c>
    </row>
    <row r="2780" spans="1:30" x14ac:dyDescent="0.25">
      <c r="A2780">
        <v>1387</v>
      </c>
      <c r="B2780">
        <v>4497</v>
      </c>
      <c r="C2780" t="s">
        <v>5183</v>
      </c>
      <c r="D2780" t="s">
        <v>166</v>
      </c>
      <c r="E2780" t="s">
        <v>239</v>
      </c>
      <c r="F2780" t="s">
        <v>5184</v>
      </c>
      <c r="G2780" t="str">
        <f>"201406002810"</f>
        <v>201406002810</v>
      </c>
      <c r="H2780" t="s">
        <v>1572</v>
      </c>
      <c r="I2780">
        <v>0</v>
      </c>
      <c r="J2780">
        <v>0</v>
      </c>
      <c r="K2780">
        <v>0</v>
      </c>
      <c r="L2780">
        <v>200</v>
      </c>
      <c r="M2780">
        <v>0</v>
      </c>
      <c r="N2780">
        <v>30</v>
      </c>
      <c r="O2780">
        <v>0</v>
      </c>
      <c r="P2780">
        <v>0</v>
      </c>
      <c r="Q2780">
        <v>0</v>
      </c>
      <c r="R2780">
        <v>0</v>
      </c>
      <c r="S2780">
        <v>0</v>
      </c>
      <c r="T2780">
        <v>0</v>
      </c>
      <c r="U2780">
        <v>0</v>
      </c>
      <c r="V2780">
        <v>18</v>
      </c>
      <c r="W2780">
        <v>126</v>
      </c>
      <c r="X2780">
        <v>0</v>
      </c>
      <c r="Z2780">
        <v>0</v>
      </c>
      <c r="AA2780">
        <v>0</v>
      </c>
      <c r="AB2780">
        <v>0</v>
      </c>
      <c r="AC2780">
        <v>0</v>
      </c>
      <c r="AD2780" t="s">
        <v>5185</v>
      </c>
    </row>
    <row r="2781" spans="1:30" x14ac:dyDescent="0.25">
      <c r="H2781" t="s">
        <v>3912</v>
      </c>
    </row>
    <row r="2782" spans="1:30" x14ac:dyDescent="0.25">
      <c r="A2782">
        <v>1388</v>
      </c>
      <c r="B2782">
        <v>449</v>
      </c>
      <c r="C2782" t="s">
        <v>5186</v>
      </c>
      <c r="D2782" t="s">
        <v>162</v>
      </c>
      <c r="E2782" t="s">
        <v>39</v>
      </c>
      <c r="F2782" t="s">
        <v>5187</v>
      </c>
      <c r="G2782" t="str">
        <f>"00167598"</f>
        <v>00167598</v>
      </c>
      <c r="H2782" t="s">
        <v>2451</v>
      </c>
      <c r="I2782">
        <v>0</v>
      </c>
      <c r="J2782">
        <v>0</v>
      </c>
      <c r="K2782">
        <v>0</v>
      </c>
      <c r="L2782">
        <v>0</v>
      </c>
      <c r="M2782">
        <v>0</v>
      </c>
      <c r="N2782">
        <v>30</v>
      </c>
      <c r="O2782">
        <v>0</v>
      </c>
      <c r="P2782">
        <v>0</v>
      </c>
      <c r="Q2782">
        <v>0</v>
      </c>
      <c r="R2782">
        <v>0</v>
      </c>
      <c r="S2782">
        <v>0</v>
      </c>
      <c r="T2782">
        <v>0</v>
      </c>
      <c r="U2782">
        <v>0</v>
      </c>
      <c r="V2782">
        <v>56</v>
      </c>
      <c r="W2782">
        <v>392</v>
      </c>
      <c r="X2782">
        <v>0</v>
      </c>
      <c r="Z2782">
        <v>0</v>
      </c>
      <c r="AA2782">
        <v>0</v>
      </c>
      <c r="AB2782">
        <v>0</v>
      </c>
      <c r="AC2782">
        <v>0</v>
      </c>
      <c r="AD2782" t="s">
        <v>5188</v>
      </c>
    </row>
    <row r="2783" spans="1:30" x14ac:dyDescent="0.25">
      <c r="H2783" t="s">
        <v>5189</v>
      </c>
    </row>
    <row r="2784" spans="1:30" x14ac:dyDescent="0.25">
      <c r="A2784">
        <v>1389</v>
      </c>
      <c r="B2784">
        <v>4673</v>
      </c>
      <c r="C2784" t="s">
        <v>5190</v>
      </c>
      <c r="D2784" t="s">
        <v>115</v>
      </c>
      <c r="E2784" t="s">
        <v>140</v>
      </c>
      <c r="F2784" t="s">
        <v>5191</v>
      </c>
      <c r="G2784" t="str">
        <f>"201402012568"</f>
        <v>201402012568</v>
      </c>
      <c r="H2784" t="s">
        <v>3482</v>
      </c>
      <c r="I2784">
        <v>0</v>
      </c>
      <c r="J2784">
        <v>0</v>
      </c>
      <c r="K2784">
        <v>0</v>
      </c>
      <c r="L2784">
        <v>200</v>
      </c>
      <c r="M2784">
        <v>0</v>
      </c>
      <c r="N2784">
        <v>70</v>
      </c>
      <c r="O2784">
        <v>0</v>
      </c>
      <c r="P2784">
        <v>0</v>
      </c>
      <c r="Q2784">
        <v>0</v>
      </c>
      <c r="R2784">
        <v>0</v>
      </c>
      <c r="S2784">
        <v>0</v>
      </c>
      <c r="T2784">
        <v>0</v>
      </c>
      <c r="U2784">
        <v>0</v>
      </c>
      <c r="V2784">
        <v>0</v>
      </c>
      <c r="W2784">
        <v>0</v>
      </c>
      <c r="X2784">
        <v>0</v>
      </c>
      <c r="Z2784">
        <v>0</v>
      </c>
      <c r="AA2784">
        <v>0</v>
      </c>
      <c r="AB2784">
        <v>5</v>
      </c>
      <c r="AC2784">
        <v>85</v>
      </c>
      <c r="AD2784" t="s">
        <v>5192</v>
      </c>
    </row>
    <row r="2785" spans="1:30" x14ac:dyDescent="0.25">
      <c r="H2785" t="s">
        <v>5193</v>
      </c>
    </row>
    <row r="2786" spans="1:30" x14ac:dyDescent="0.25">
      <c r="A2786">
        <v>1390</v>
      </c>
      <c r="B2786">
        <v>6195</v>
      </c>
      <c r="C2786" t="s">
        <v>4428</v>
      </c>
      <c r="D2786" t="s">
        <v>852</v>
      </c>
      <c r="E2786" t="s">
        <v>47</v>
      </c>
      <c r="F2786" t="s">
        <v>5194</v>
      </c>
      <c r="G2786" t="str">
        <f>"201405001546"</f>
        <v>201405001546</v>
      </c>
      <c r="H2786" t="s">
        <v>456</v>
      </c>
      <c r="I2786">
        <v>0</v>
      </c>
      <c r="J2786">
        <v>0</v>
      </c>
      <c r="K2786">
        <v>0</v>
      </c>
      <c r="L2786">
        <v>200</v>
      </c>
      <c r="M2786">
        <v>0</v>
      </c>
      <c r="N2786">
        <v>30</v>
      </c>
      <c r="O2786">
        <v>0</v>
      </c>
      <c r="P2786">
        <v>0</v>
      </c>
      <c r="Q2786">
        <v>0</v>
      </c>
      <c r="R2786">
        <v>0</v>
      </c>
      <c r="S2786">
        <v>0</v>
      </c>
      <c r="T2786">
        <v>0</v>
      </c>
      <c r="U2786">
        <v>0</v>
      </c>
      <c r="V2786">
        <v>6</v>
      </c>
      <c r="W2786">
        <v>42</v>
      </c>
      <c r="X2786">
        <v>0</v>
      </c>
      <c r="Z2786">
        <v>0</v>
      </c>
      <c r="AA2786">
        <v>0</v>
      </c>
      <c r="AB2786">
        <v>0</v>
      </c>
      <c r="AC2786">
        <v>0</v>
      </c>
      <c r="AD2786" t="s">
        <v>5195</v>
      </c>
    </row>
    <row r="2787" spans="1:30" x14ac:dyDescent="0.25">
      <c r="H2787" t="s">
        <v>5196</v>
      </c>
    </row>
    <row r="2788" spans="1:30" x14ac:dyDescent="0.25">
      <c r="A2788">
        <v>1391</v>
      </c>
      <c r="B2788">
        <v>1577</v>
      </c>
      <c r="C2788" t="s">
        <v>5197</v>
      </c>
      <c r="D2788" t="s">
        <v>5198</v>
      </c>
      <c r="E2788" t="s">
        <v>482</v>
      </c>
      <c r="F2788" t="s">
        <v>5199</v>
      </c>
      <c r="G2788" t="str">
        <f>"201411000370"</f>
        <v>201411000370</v>
      </c>
      <c r="H2788" t="s">
        <v>1404</v>
      </c>
      <c r="I2788">
        <v>0</v>
      </c>
      <c r="J2788">
        <v>0</v>
      </c>
      <c r="K2788">
        <v>0</v>
      </c>
      <c r="L2788">
        <v>0</v>
      </c>
      <c r="M2788">
        <v>0</v>
      </c>
      <c r="N2788">
        <v>30</v>
      </c>
      <c r="O2788">
        <v>0</v>
      </c>
      <c r="P2788">
        <v>0</v>
      </c>
      <c r="Q2788">
        <v>50</v>
      </c>
      <c r="R2788">
        <v>0</v>
      </c>
      <c r="S2788">
        <v>0</v>
      </c>
      <c r="T2788">
        <v>0</v>
      </c>
      <c r="U2788">
        <v>0</v>
      </c>
      <c r="V2788">
        <v>25</v>
      </c>
      <c r="W2788">
        <v>175</v>
      </c>
      <c r="X2788">
        <v>0</v>
      </c>
      <c r="Z2788">
        <v>0</v>
      </c>
      <c r="AA2788">
        <v>0</v>
      </c>
      <c r="AB2788">
        <v>0</v>
      </c>
      <c r="AC2788">
        <v>0</v>
      </c>
      <c r="AD2788" t="s">
        <v>5200</v>
      </c>
    </row>
    <row r="2789" spans="1:30" x14ac:dyDescent="0.25">
      <c r="H2789" t="s">
        <v>5201</v>
      </c>
    </row>
    <row r="2790" spans="1:30" x14ac:dyDescent="0.25">
      <c r="A2790">
        <v>1392</v>
      </c>
      <c r="B2790">
        <v>6028</v>
      </c>
      <c r="C2790" t="s">
        <v>5202</v>
      </c>
      <c r="D2790" t="s">
        <v>75</v>
      </c>
      <c r="E2790" t="s">
        <v>40</v>
      </c>
      <c r="F2790" t="s">
        <v>5203</v>
      </c>
      <c r="G2790" t="str">
        <f>"00369160"</f>
        <v>00369160</v>
      </c>
      <c r="H2790">
        <v>726</v>
      </c>
      <c r="I2790">
        <v>0</v>
      </c>
      <c r="J2790">
        <v>0</v>
      </c>
      <c r="K2790">
        <v>0</v>
      </c>
      <c r="L2790">
        <v>0</v>
      </c>
      <c r="M2790">
        <v>0</v>
      </c>
      <c r="N2790">
        <v>0</v>
      </c>
      <c r="O2790">
        <v>0</v>
      </c>
      <c r="P2790">
        <v>0</v>
      </c>
      <c r="Q2790">
        <v>0</v>
      </c>
      <c r="R2790">
        <v>0</v>
      </c>
      <c r="S2790">
        <v>0</v>
      </c>
      <c r="T2790">
        <v>0</v>
      </c>
      <c r="U2790">
        <v>0</v>
      </c>
      <c r="V2790">
        <v>49</v>
      </c>
      <c r="W2790">
        <v>343</v>
      </c>
      <c r="X2790">
        <v>0</v>
      </c>
      <c r="Z2790">
        <v>0</v>
      </c>
      <c r="AA2790">
        <v>0</v>
      </c>
      <c r="AB2790">
        <v>0</v>
      </c>
      <c r="AC2790">
        <v>0</v>
      </c>
      <c r="AD2790">
        <v>1069</v>
      </c>
    </row>
    <row r="2791" spans="1:30" x14ac:dyDescent="0.25">
      <c r="H2791" t="s">
        <v>5204</v>
      </c>
    </row>
    <row r="2792" spans="1:30" x14ac:dyDescent="0.25">
      <c r="A2792">
        <v>1393</v>
      </c>
      <c r="B2792">
        <v>1786</v>
      </c>
      <c r="C2792" t="s">
        <v>5205</v>
      </c>
      <c r="D2792" t="s">
        <v>5206</v>
      </c>
      <c r="E2792" t="s">
        <v>51</v>
      </c>
      <c r="F2792" t="s">
        <v>5207</v>
      </c>
      <c r="G2792" t="str">
        <f>"201511024616"</f>
        <v>201511024616</v>
      </c>
      <c r="H2792" t="s">
        <v>769</v>
      </c>
      <c r="I2792">
        <v>0</v>
      </c>
      <c r="J2792">
        <v>0</v>
      </c>
      <c r="K2792">
        <v>0</v>
      </c>
      <c r="L2792">
        <v>0</v>
      </c>
      <c r="M2792">
        <v>0</v>
      </c>
      <c r="N2792">
        <v>70</v>
      </c>
      <c r="O2792">
        <v>0</v>
      </c>
      <c r="P2792">
        <v>0</v>
      </c>
      <c r="Q2792">
        <v>0</v>
      </c>
      <c r="R2792">
        <v>0</v>
      </c>
      <c r="S2792">
        <v>0</v>
      </c>
      <c r="T2792">
        <v>0</v>
      </c>
      <c r="U2792">
        <v>0</v>
      </c>
      <c r="V2792">
        <v>34</v>
      </c>
      <c r="W2792">
        <v>238</v>
      </c>
      <c r="X2792">
        <v>0</v>
      </c>
      <c r="Z2792">
        <v>0</v>
      </c>
      <c r="AA2792">
        <v>0</v>
      </c>
      <c r="AB2792">
        <v>0</v>
      </c>
      <c r="AC2792">
        <v>0</v>
      </c>
      <c r="AD2792" t="s">
        <v>5208</v>
      </c>
    </row>
    <row r="2793" spans="1:30" x14ac:dyDescent="0.25">
      <c r="H2793" t="s">
        <v>5209</v>
      </c>
    </row>
    <row r="2794" spans="1:30" x14ac:dyDescent="0.25">
      <c r="A2794">
        <v>1394</v>
      </c>
      <c r="B2794">
        <v>1560</v>
      </c>
      <c r="C2794" t="s">
        <v>5210</v>
      </c>
      <c r="D2794" t="s">
        <v>5211</v>
      </c>
      <c r="E2794" t="s">
        <v>5212</v>
      </c>
      <c r="F2794" t="s">
        <v>5213</v>
      </c>
      <c r="G2794" t="str">
        <f>"00227599"</f>
        <v>00227599</v>
      </c>
      <c r="H2794">
        <v>682</v>
      </c>
      <c r="I2794">
        <v>0</v>
      </c>
      <c r="J2794">
        <v>0</v>
      </c>
      <c r="K2794">
        <v>0</v>
      </c>
      <c r="L2794">
        <v>0</v>
      </c>
      <c r="M2794">
        <v>0</v>
      </c>
      <c r="N2794">
        <v>0</v>
      </c>
      <c r="O2794">
        <v>0</v>
      </c>
      <c r="P2794">
        <v>50</v>
      </c>
      <c r="Q2794">
        <v>0</v>
      </c>
      <c r="R2794">
        <v>0</v>
      </c>
      <c r="S2794">
        <v>0</v>
      </c>
      <c r="T2794">
        <v>0</v>
      </c>
      <c r="U2794">
        <v>0</v>
      </c>
      <c r="V2794">
        <v>48</v>
      </c>
      <c r="W2794">
        <v>336</v>
      </c>
      <c r="X2794">
        <v>0</v>
      </c>
      <c r="Z2794">
        <v>0</v>
      </c>
      <c r="AA2794">
        <v>0</v>
      </c>
      <c r="AB2794">
        <v>0</v>
      </c>
      <c r="AC2794">
        <v>0</v>
      </c>
      <c r="AD2794">
        <v>1068</v>
      </c>
    </row>
    <row r="2795" spans="1:30" x14ac:dyDescent="0.25">
      <c r="H2795" t="s">
        <v>5214</v>
      </c>
    </row>
    <row r="2796" spans="1:30" x14ac:dyDescent="0.25">
      <c r="A2796">
        <v>1395</v>
      </c>
      <c r="B2796">
        <v>2855</v>
      </c>
      <c r="C2796" t="s">
        <v>5215</v>
      </c>
      <c r="D2796" t="s">
        <v>5216</v>
      </c>
      <c r="E2796" t="s">
        <v>454</v>
      </c>
      <c r="F2796" t="s">
        <v>5217</v>
      </c>
      <c r="G2796" t="str">
        <f>"00332721"</f>
        <v>00332721</v>
      </c>
      <c r="H2796" t="s">
        <v>1063</v>
      </c>
      <c r="I2796">
        <v>0</v>
      </c>
      <c r="J2796">
        <v>0</v>
      </c>
      <c r="K2796">
        <v>0</v>
      </c>
      <c r="L2796">
        <v>0</v>
      </c>
      <c r="M2796">
        <v>0</v>
      </c>
      <c r="N2796">
        <v>50</v>
      </c>
      <c r="O2796">
        <v>0</v>
      </c>
      <c r="P2796">
        <v>0</v>
      </c>
      <c r="Q2796">
        <v>0</v>
      </c>
      <c r="R2796">
        <v>0</v>
      </c>
      <c r="S2796">
        <v>0</v>
      </c>
      <c r="T2796">
        <v>0</v>
      </c>
      <c r="U2796">
        <v>0</v>
      </c>
      <c r="V2796">
        <v>39</v>
      </c>
      <c r="W2796">
        <v>273</v>
      </c>
      <c r="X2796">
        <v>0</v>
      </c>
      <c r="Z2796">
        <v>0</v>
      </c>
      <c r="AA2796">
        <v>0</v>
      </c>
      <c r="AB2796">
        <v>0</v>
      </c>
      <c r="AC2796">
        <v>0</v>
      </c>
      <c r="AD2796" t="s">
        <v>5218</v>
      </c>
    </row>
    <row r="2797" spans="1:30" x14ac:dyDescent="0.25">
      <c r="H2797" t="s">
        <v>5219</v>
      </c>
    </row>
    <row r="2798" spans="1:30" x14ac:dyDescent="0.25">
      <c r="A2798">
        <v>1396</v>
      </c>
      <c r="B2798">
        <v>1828</v>
      </c>
      <c r="C2798" t="s">
        <v>5220</v>
      </c>
      <c r="D2798" t="s">
        <v>51</v>
      </c>
      <c r="E2798" t="s">
        <v>47</v>
      </c>
      <c r="F2798" t="s">
        <v>5221</v>
      </c>
      <c r="G2798" t="str">
        <f>"201407000197"</f>
        <v>201407000197</v>
      </c>
      <c r="H2798" t="s">
        <v>1779</v>
      </c>
      <c r="I2798">
        <v>0</v>
      </c>
      <c r="J2798">
        <v>0</v>
      </c>
      <c r="K2798">
        <v>0</v>
      </c>
      <c r="L2798">
        <v>200</v>
      </c>
      <c r="M2798">
        <v>0</v>
      </c>
      <c r="N2798">
        <v>70</v>
      </c>
      <c r="O2798">
        <v>0</v>
      </c>
      <c r="P2798">
        <v>0</v>
      </c>
      <c r="Q2798">
        <v>0</v>
      </c>
      <c r="R2798">
        <v>0</v>
      </c>
      <c r="S2798">
        <v>0</v>
      </c>
      <c r="T2798">
        <v>0</v>
      </c>
      <c r="U2798">
        <v>0</v>
      </c>
      <c r="V2798">
        <v>0</v>
      </c>
      <c r="W2798">
        <v>0</v>
      </c>
      <c r="X2798">
        <v>0</v>
      </c>
      <c r="Z2798">
        <v>0</v>
      </c>
      <c r="AA2798">
        <v>0</v>
      </c>
      <c r="AB2798">
        <v>0</v>
      </c>
      <c r="AC2798">
        <v>0</v>
      </c>
      <c r="AD2798" t="s">
        <v>5222</v>
      </c>
    </row>
    <row r="2799" spans="1:30" x14ac:dyDescent="0.25">
      <c r="H2799" t="s">
        <v>5223</v>
      </c>
    </row>
    <row r="2800" spans="1:30" x14ac:dyDescent="0.25">
      <c r="A2800">
        <v>1397</v>
      </c>
      <c r="B2800">
        <v>6166</v>
      </c>
      <c r="C2800" t="s">
        <v>5224</v>
      </c>
      <c r="D2800" t="s">
        <v>296</v>
      </c>
      <c r="E2800" t="s">
        <v>107</v>
      </c>
      <c r="F2800" t="s">
        <v>5225</v>
      </c>
      <c r="G2800" t="str">
        <f>"201511035788"</f>
        <v>201511035788</v>
      </c>
      <c r="H2800" t="s">
        <v>94</v>
      </c>
      <c r="I2800">
        <v>0</v>
      </c>
      <c r="J2800">
        <v>0</v>
      </c>
      <c r="K2800">
        <v>0</v>
      </c>
      <c r="L2800">
        <v>0</v>
      </c>
      <c r="M2800">
        <v>0</v>
      </c>
      <c r="N2800">
        <v>30</v>
      </c>
      <c r="O2800">
        <v>0</v>
      </c>
      <c r="P2800">
        <v>0</v>
      </c>
      <c r="Q2800">
        <v>0</v>
      </c>
      <c r="R2800">
        <v>0</v>
      </c>
      <c r="S2800">
        <v>0</v>
      </c>
      <c r="T2800">
        <v>0</v>
      </c>
      <c r="U2800">
        <v>0</v>
      </c>
      <c r="V2800">
        <v>41</v>
      </c>
      <c r="W2800">
        <v>287</v>
      </c>
      <c r="X2800">
        <v>0</v>
      </c>
      <c r="Z2800">
        <v>1</v>
      </c>
      <c r="AA2800">
        <v>0</v>
      </c>
      <c r="AB2800">
        <v>0</v>
      </c>
      <c r="AC2800">
        <v>0</v>
      </c>
      <c r="AD2800" t="s">
        <v>5226</v>
      </c>
    </row>
    <row r="2801" spans="1:30" x14ac:dyDescent="0.25">
      <c r="H2801" t="s">
        <v>5227</v>
      </c>
    </row>
    <row r="2802" spans="1:30" x14ac:dyDescent="0.25">
      <c r="A2802">
        <v>1398</v>
      </c>
      <c r="B2802">
        <v>810</v>
      </c>
      <c r="C2802" t="s">
        <v>5228</v>
      </c>
      <c r="D2802" t="s">
        <v>176</v>
      </c>
      <c r="E2802" t="s">
        <v>183</v>
      </c>
      <c r="F2802" t="s">
        <v>5229</v>
      </c>
      <c r="G2802" t="str">
        <f>"00122935"</f>
        <v>00122935</v>
      </c>
      <c r="H2802" t="s">
        <v>754</v>
      </c>
      <c r="I2802">
        <v>0</v>
      </c>
      <c r="J2802">
        <v>0</v>
      </c>
      <c r="K2802">
        <v>0</v>
      </c>
      <c r="L2802">
        <v>0</v>
      </c>
      <c r="M2802">
        <v>0</v>
      </c>
      <c r="N2802">
        <v>30</v>
      </c>
      <c r="O2802">
        <v>0</v>
      </c>
      <c r="P2802">
        <v>0</v>
      </c>
      <c r="Q2802">
        <v>0</v>
      </c>
      <c r="R2802">
        <v>0</v>
      </c>
      <c r="S2802">
        <v>0</v>
      </c>
      <c r="T2802">
        <v>0</v>
      </c>
      <c r="U2802">
        <v>0</v>
      </c>
      <c r="V2802">
        <v>1</v>
      </c>
      <c r="W2802">
        <v>7</v>
      </c>
      <c r="X2802">
        <v>0</v>
      </c>
      <c r="Z2802">
        <v>0</v>
      </c>
      <c r="AA2802">
        <v>0</v>
      </c>
      <c r="AB2802">
        <v>18</v>
      </c>
      <c r="AC2802">
        <v>306</v>
      </c>
      <c r="AD2802" t="s">
        <v>5230</v>
      </c>
    </row>
    <row r="2803" spans="1:30" x14ac:dyDescent="0.25">
      <c r="H2803" t="s">
        <v>5231</v>
      </c>
    </row>
    <row r="2804" spans="1:30" x14ac:dyDescent="0.25">
      <c r="A2804">
        <v>1399</v>
      </c>
      <c r="B2804">
        <v>60</v>
      </c>
      <c r="C2804" t="s">
        <v>5232</v>
      </c>
      <c r="D2804" t="s">
        <v>296</v>
      </c>
      <c r="E2804" t="s">
        <v>595</v>
      </c>
      <c r="F2804" t="s">
        <v>5233</v>
      </c>
      <c r="G2804" t="str">
        <f>"00276342"</f>
        <v>00276342</v>
      </c>
      <c r="H2804" t="s">
        <v>672</v>
      </c>
      <c r="I2804">
        <v>0</v>
      </c>
      <c r="J2804">
        <v>0</v>
      </c>
      <c r="K2804">
        <v>0</v>
      </c>
      <c r="L2804">
        <v>0</v>
      </c>
      <c r="M2804">
        <v>0</v>
      </c>
      <c r="N2804">
        <v>30</v>
      </c>
      <c r="O2804">
        <v>0</v>
      </c>
      <c r="P2804">
        <v>0</v>
      </c>
      <c r="Q2804">
        <v>0</v>
      </c>
      <c r="R2804">
        <v>0</v>
      </c>
      <c r="S2804">
        <v>0</v>
      </c>
      <c r="T2804">
        <v>0</v>
      </c>
      <c r="U2804">
        <v>0</v>
      </c>
      <c r="V2804">
        <v>43</v>
      </c>
      <c r="W2804">
        <v>301</v>
      </c>
      <c r="X2804">
        <v>0</v>
      </c>
      <c r="Z2804">
        <v>0</v>
      </c>
      <c r="AA2804">
        <v>0</v>
      </c>
      <c r="AB2804">
        <v>0</v>
      </c>
      <c r="AC2804">
        <v>0</v>
      </c>
      <c r="AD2804" t="s">
        <v>5234</v>
      </c>
    </row>
    <row r="2805" spans="1:30" x14ac:dyDescent="0.25">
      <c r="H2805" t="s">
        <v>5235</v>
      </c>
    </row>
    <row r="2806" spans="1:30" x14ac:dyDescent="0.25">
      <c r="A2806">
        <v>1400</v>
      </c>
      <c r="B2806">
        <v>358</v>
      </c>
      <c r="C2806" t="s">
        <v>5236</v>
      </c>
      <c r="D2806" t="s">
        <v>1292</v>
      </c>
      <c r="E2806" t="s">
        <v>51</v>
      </c>
      <c r="F2806" t="s">
        <v>5237</v>
      </c>
      <c r="G2806" t="str">
        <f>"00255659"</f>
        <v>00255659</v>
      </c>
      <c r="H2806" t="s">
        <v>3132</v>
      </c>
      <c r="I2806">
        <v>0</v>
      </c>
      <c r="J2806">
        <v>0</v>
      </c>
      <c r="K2806">
        <v>0</v>
      </c>
      <c r="L2806">
        <v>0</v>
      </c>
      <c r="M2806">
        <v>0</v>
      </c>
      <c r="N2806">
        <v>50</v>
      </c>
      <c r="O2806">
        <v>0</v>
      </c>
      <c r="P2806">
        <v>0</v>
      </c>
      <c r="Q2806">
        <v>0</v>
      </c>
      <c r="R2806">
        <v>0</v>
      </c>
      <c r="S2806">
        <v>0</v>
      </c>
      <c r="T2806">
        <v>0</v>
      </c>
      <c r="U2806">
        <v>0</v>
      </c>
      <c r="V2806">
        <v>6</v>
      </c>
      <c r="W2806">
        <v>42</v>
      </c>
      <c r="X2806">
        <v>0</v>
      </c>
      <c r="Z2806">
        <v>2</v>
      </c>
      <c r="AA2806">
        <v>0</v>
      </c>
      <c r="AB2806">
        <v>17</v>
      </c>
      <c r="AC2806">
        <v>289</v>
      </c>
      <c r="AD2806" t="s">
        <v>5238</v>
      </c>
    </row>
    <row r="2807" spans="1:30" x14ac:dyDescent="0.25">
      <c r="H2807" t="s">
        <v>5239</v>
      </c>
    </row>
    <row r="2808" spans="1:30" x14ac:dyDescent="0.25">
      <c r="A2808">
        <v>1401</v>
      </c>
      <c r="B2808">
        <v>2815</v>
      </c>
      <c r="C2808" t="s">
        <v>5240</v>
      </c>
      <c r="D2808" t="s">
        <v>420</v>
      </c>
      <c r="E2808" t="s">
        <v>140</v>
      </c>
      <c r="F2808" t="s">
        <v>5241</v>
      </c>
      <c r="G2808" t="str">
        <f>"200903000806"</f>
        <v>200903000806</v>
      </c>
      <c r="H2808" t="s">
        <v>705</v>
      </c>
      <c r="I2808">
        <v>0</v>
      </c>
      <c r="J2808">
        <v>0</v>
      </c>
      <c r="K2808">
        <v>0</v>
      </c>
      <c r="L2808">
        <v>0</v>
      </c>
      <c r="M2808">
        <v>0</v>
      </c>
      <c r="N2808">
        <v>0</v>
      </c>
      <c r="O2808">
        <v>0</v>
      </c>
      <c r="P2808">
        <v>0</v>
      </c>
      <c r="Q2808">
        <v>0</v>
      </c>
      <c r="R2808">
        <v>0</v>
      </c>
      <c r="S2808">
        <v>0</v>
      </c>
      <c r="T2808">
        <v>0</v>
      </c>
      <c r="U2808">
        <v>0</v>
      </c>
      <c r="V2808">
        <v>43</v>
      </c>
      <c r="W2808">
        <v>301</v>
      </c>
      <c r="X2808">
        <v>0</v>
      </c>
      <c r="Z2808">
        <v>0</v>
      </c>
      <c r="AA2808">
        <v>0</v>
      </c>
      <c r="AB2808">
        <v>0</v>
      </c>
      <c r="AC2808">
        <v>0</v>
      </c>
      <c r="AD2808" t="s">
        <v>5242</v>
      </c>
    </row>
    <row r="2809" spans="1:30" x14ac:dyDescent="0.25">
      <c r="H2809" t="s">
        <v>1716</v>
      </c>
    </row>
    <row r="2810" spans="1:30" x14ac:dyDescent="0.25">
      <c r="A2810">
        <v>1402</v>
      </c>
      <c r="B2810">
        <v>1399</v>
      </c>
      <c r="C2810" t="s">
        <v>5243</v>
      </c>
      <c r="D2810" t="s">
        <v>5244</v>
      </c>
      <c r="E2810" t="s">
        <v>449</v>
      </c>
      <c r="F2810" t="s">
        <v>5245</v>
      </c>
      <c r="G2810" t="str">
        <f>"201406003894"</f>
        <v>201406003894</v>
      </c>
      <c r="H2810" t="s">
        <v>2742</v>
      </c>
      <c r="I2810">
        <v>0</v>
      </c>
      <c r="J2810">
        <v>0</v>
      </c>
      <c r="K2810">
        <v>0</v>
      </c>
      <c r="L2810">
        <v>0</v>
      </c>
      <c r="M2810">
        <v>0</v>
      </c>
      <c r="N2810">
        <v>50</v>
      </c>
      <c r="O2810">
        <v>30</v>
      </c>
      <c r="P2810">
        <v>0</v>
      </c>
      <c r="Q2810">
        <v>0</v>
      </c>
      <c r="R2810">
        <v>0</v>
      </c>
      <c r="S2810">
        <v>0</v>
      </c>
      <c r="T2810">
        <v>0</v>
      </c>
      <c r="U2810">
        <v>0</v>
      </c>
      <c r="V2810">
        <v>35</v>
      </c>
      <c r="W2810">
        <v>245</v>
      </c>
      <c r="X2810">
        <v>0</v>
      </c>
      <c r="Z2810">
        <v>0</v>
      </c>
      <c r="AA2810">
        <v>0</v>
      </c>
      <c r="AB2810">
        <v>0</v>
      </c>
      <c r="AC2810">
        <v>0</v>
      </c>
      <c r="AD2810" t="s">
        <v>5246</v>
      </c>
    </row>
    <row r="2811" spans="1:30" x14ac:dyDescent="0.25">
      <c r="H2811" t="s">
        <v>5247</v>
      </c>
    </row>
    <row r="2812" spans="1:30" x14ac:dyDescent="0.25">
      <c r="A2812">
        <v>1403</v>
      </c>
      <c r="B2812">
        <v>5498</v>
      </c>
      <c r="C2812" t="s">
        <v>5248</v>
      </c>
      <c r="D2812" t="s">
        <v>59</v>
      </c>
      <c r="E2812" t="s">
        <v>140</v>
      </c>
      <c r="F2812" t="s">
        <v>5249</v>
      </c>
      <c r="G2812" t="str">
        <f>"00195840"</f>
        <v>00195840</v>
      </c>
      <c r="H2812" t="s">
        <v>4168</v>
      </c>
      <c r="I2812">
        <v>0</v>
      </c>
      <c r="J2812">
        <v>0</v>
      </c>
      <c r="K2812">
        <v>0</v>
      </c>
      <c r="L2812">
        <v>0</v>
      </c>
      <c r="M2812">
        <v>0</v>
      </c>
      <c r="N2812">
        <v>70</v>
      </c>
      <c r="O2812">
        <v>0</v>
      </c>
      <c r="P2812">
        <v>0</v>
      </c>
      <c r="Q2812">
        <v>0</v>
      </c>
      <c r="R2812">
        <v>0</v>
      </c>
      <c r="S2812">
        <v>0</v>
      </c>
      <c r="T2812">
        <v>0</v>
      </c>
      <c r="U2812">
        <v>0</v>
      </c>
      <c r="V2812">
        <v>35</v>
      </c>
      <c r="W2812">
        <v>245</v>
      </c>
      <c r="X2812">
        <v>0</v>
      </c>
      <c r="Z2812">
        <v>0</v>
      </c>
      <c r="AA2812">
        <v>0</v>
      </c>
      <c r="AB2812">
        <v>0</v>
      </c>
      <c r="AC2812">
        <v>0</v>
      </c>
      <c r="AD2812" t="s">
        <v>5250</v>
      </c>
    </row>
    <row r="2813" spans="1:30" x14ac:dyDescent="0.25">
      <c r="H2813" t="s">
        <v>5251</v>
      </c>
    </row>
    <row r="2814" spans="1:30" x14ac:dyDescent="0.25">
      <c r="A2814">
        <v>1404</v>
      </c>
      <c r="B2814">
        <v>3805</v>
      </c>
      <c r="C2814" t="s">
        <v>5252</v>
      </c>
      <c r="D2814" t="s">
        <v>5253</v>
      </c>
      <c r="E2814" t="s">
        <v>33</v>
      </c>
      <c r="F2814" t="s">
        <v>5254</v>
      </c>
      <c r="G2814" t="str">
        <f>"00356199"</f>
        <v>00356199</v>
      </c>
      <c r="H2814" t="s">
        <v>672</v>
      </c>
      <c r="I2814">
        <v>0</v>
      </c>
      <c r="J2814">
        <v>0</v>
      </c>
      <c r="K2814">
        <v>0</v>
      </c>
      <c r="L2814">
        <v>0</v>
      </c>
      <c r="M2814">
        <v>0</v>
      </c>
      <c r="N2814">
        <v>0</v>
      </c>
      <c r="O2814">
        <v>0</v>
      </c>
      <c r="P2814">
        <v>0</v>
      </c>
      <c r="Q2814">
        <v>0</v>
      </c>
      <c r="R2814">
        <v>0</v>
      </c>
      <c r="S2814">
        <v>0</v>
      </c>
      <c r="T2814">
        <v>0</v>
      </c>
      <c r="U2814">
        <v>0</v>
      </c>
      <c r="V2814">
        <v>47</v>
      </c>
      <c r="W2814">
        <v>329</v>
      </c>
      <c r="X2814">
        <v>0</v>
      </c>
      <c r="Z2814">
        <v>2</v>
      </c>
      <c r="AA2814">
        <v>0</v>
      </c>
      <c r="AB2814">
        <v>0</v>
      </c>
      <c r="AC2814">
        <v>0</v>
      </c>
      <c r="AD2814" t="s">
        <v>5255</v>
      </c>
    </row>
    <row r="2815" spans="1:30" x14ac:dyDescent="0.25">
      <c r="H2815">
        <v>1247</v>
      </c>
    </row>
    <row r="2816" spans="1:30" x14ac:dyDescent="0.25">
      <c r="A2816">
        <v>1405</v>
      </c>
      <c r="B2816">
        <v>2701</v>
      </c>
      <c r="C2816" t="s">
        <v>473</v>
      </c>
      <c r="D2816" t="s">
        <v>335</v>
      </c>
      <c r="E2816" t="s">
        <v>87</v>
      </c>
      <c r="F2816" t="s">
        <v>5256</v>
      </c>
      <c r="G2816" t="str">
        <f>"00158236"</f>
        <v>00158236</v>
      </c>
      <c r="H2816" t="s">
        <v>2742</v>
      </c>
      <c r="I2816">
        <v>0</v>
      </c>
      <c r="J2816">
        <v>0</v>
      </c>
      <c r="K2816">
        <v>0</v>
      </c>
      <c r="L2816">
        <v>0</v>
      </c>
      <c r="M2816">
        <v>0</v>
      </c>
      <c r="N2816">
        <v>30</v>
      </c>
      <c r="O2816">
        <v>0</v>
      </c>
      <c r="P2816">
        <v>0</v>
      </c>
      <c r="Q2816">
        <v>0</v>
      </c>
      <c r="R2816">
        <v>0</v>
      </c>
      <c r="S2816">
        <v>0</v>
      </c>
      <c r="T2816">
        <v>0</v>
      </c>
      <c r="U2816">
        <v>0</v>
      </c>
      <c r="V2816">
        <v>42</v>
      </c>
      <c r="W2816">
        <v>294</v>
      </c>
      <c r="X2816">
        <v>0</v>
      </c>
      <c r="Z2816">
        <v>0</v>
      </c>
      <c r="AA2816">
        <v>0</v>
      </c>
      <c r="AB2816">
        <v>0</v>
      </c>
      <c r="AC2816">
        <v>0</v>
      </c>
      <c r="AD2816" t="s">
        <v>5257</v>
      </c>
    </row>
    <row r="2817" spans="1:30" x14ac:dyDescent="0.25">
      <c r="H2817" t="s">
        <v>5258</v>
      </c>
    </row>
    <row r="2818" spans="1:30" x14ac:dyDescent="0.25">
      <c r="A2818">
        <v>1406</v>
      </c>
      <c r="B2818">
        <v>5078</v>
      </c>
      <c r="C2818" t="s">
        <v>2418</v>
      </c>
      <c r="D2818" t="s">
        <v>182</v>
      </c>
      <c r="E2818" t="s">
        <v>40</v>
      </c>
      <c r="F2818" t="s">
        <v>5259</v>
      </c>
      <c r="G2818" t="str">
        <f>"20160705460"</f>
        <v>20160705460</v>
      </c>
      <c r="H2818">
        <v>671</v>
      </c>
      <c r="I2818">
        <v>0</v>
      </c>
      <c r="J2818">
        <v>0</v>
      </c>
      <c r="K2818">
        <v>0</v>
      </c>
      <c r="L2818">
        <v>0</v>
      </c>
      <c r="M2818">
        <v>0</v>
      </c>
      <c r="N2818">
        <v>0</v>
      </c>
      <c r="O2818">
        <v>0</v>
      </c>
      <c r="P2818">
        <v>0</v>
      </c>
      <c r="Q2818">
        <v>0</v>
      </c>
      <c r="R2818">
        <v>0</v>
      </c>
      <c r="S2818">
        <v>0</v>
      </c>
      <c r="T2818">
        <v>0</v>
      </c>
      <c r="U2818">
        <v>0</v>
      </c>
      <c r="V2818">
        <v>56</v>
      </c>
      <c r="W2818">
        <v>392</v>
      </c>
      <c r="X2818">
        <v>0</v>
      </c>
      <c r="Z2818">
        <v>1</v>
      </c>
      <c r="AA2818">
        <v>0</v>
      </c>
      <c r="AB2818">
        <v>0</v>
      </c>
      <c r="AC2818">
        <v>0</v>
      </c>
      <c r="AD2818">
        <v>1063</v>
      </c>
    </row>
    <row r="2819" spans="1:30" x14ac:dyDescent="0.25">
      <c r="H2819" t="s">
        <v>5260</v>
      </c>
    </row>
    <row r="2820" spans="1:30" x14ac:dyDescent="0.25">
      <c r="A2820">
        <v>1407</v>
      </c>
      <c r="B2820">
        <v>4820</v>
      </c>
      <c r="C2820" t="s">
        <v>5261</v>
      </c>
      <c r="D2820" t="s">
        <v>1507</v>
      </c>
      <c r="E2820" t="s">
        <v>183</v>
      </c>
      <c r="F2820" t="s">
        <v>5262</v>
      </c>
      <c r="G2820" t="str">
        <f>"201406013079"</f>
        <v>201406013079</v>
      </c>
      <c r="H2820" t="s">
        <v>1949</v>
      </c>
      <c r="I2820">
        <v>0</v>
      </c>
      <c r="J2820">
        <v>0</v>
      </c>
      <c r="K2820">
        <v>0</v>
      </c>
      <c r="L2820">
        <v>0</v>
      </c>
      <c r="M2820">
        <v>0</v>
      </c>
      <c r="N2820">
        <v>30</v>
      </c>
      <c r="O2820">
        <v>0</v>
      </c>
      <c r="P2820">
        <v>0</v>
      </c>
      <c r="Q2820">
        <v>0</v>
      </c>
      <c r="R2820">
        <v>0</v>
      </c>
      <c r="S2820">
        <v>0</v>
      </c>
      <c r="T2820">
        <v>0</v>
      </c>
      <c r="U2820">
        <v>0</v>
      </c>
      <c r="V2820">
        <v>44</v>
      </c>
      <c r="W2820">
        <v>308</v>
      </c>
      <c r="X2820">
        <v>0</v>
      </c>
      <c r="Z2820">
        <v>0</v>
      </c>
      <c r="AA2820">
        <v>0</v>
      </c>
      <c r="AB2820">
        <v>0</v>
      </c>
      <c r="AC2820">
        <v>0</v>
      </c>
      <c r="AD2820" t="s">
        <v>5263</v>
      </c>
    </row>
    <row r="2821" spans="1:30" x14ac:dyDescent="0.25">
      <c r="H2821" t="s">
        <v>5264</v>
      </c>
    </row>
    <row r="2822" spans="1:30" x14ac:dyDescent="0.25">
      <c r="A2822">
        <v>1408</v>
      </c>
      <c r="B2822">
        <v>1779</v>
      </c>
      <c r="C2822" t="s">
        <v>5265</v>
      </c>
      <c r="D2822" t="s">
        <v>75</v>
      </c>
      <c r="E2822" t="s">
        <v>140</v>
      </c>
      <c r="F2822" t="s">
        <v>5266</v>
      </c>
      <c r="G2822" t="str">
        <f>"200801003147"</f>
        <v>200801003147</v>
      </c>
      <c r="H2822" t="s">
        <v>2287</v>
      </c>
      <c r="I2822">
        <v>0</v>
      </c>
      <c r="J2822">
        <v>0</v>
      </c>
      <c r="K2822">
        <v>0</v>
      </c>
      <c r="L2822">
        <v>0</v>
      </c>
      <c r="M2822">
        <v>0</v>
      </c>
      <c r="N2822">
        <v>30</v>
      </c>
      <c r="O2822">
        <v>0</v>
      </c>
      <c r="P2822">
        <v>0</v>
      </c>
      <c r="Q2822">
        <v>0</v>
      </c>
      <c r="R2822">
        <v>0</v>
      </c>
      <c r="S2822">
        <v>0</v>
      </c>
      <c r="T2822">
        <v>0</v>
      </c>
      <c r="U2822">
        <v>0</v>
      </c>
      <c r="V2822">
        <v>20</v>
      </c>
      <c r="W2822">
        <v>140</v>
      </c>
      <c r="X2822">
        <v>0</v>
      </c>
      <c r="Z2822">
        <v>0</v>
      </c>
      <c r="AA2822">
        <v>0</v>
      </c>
      <c r="AB2822">
        <v>5</v>
      </c>
      <c r="AC2822">
        <v>85</v>
      </c>
      <c r="AD2822" t="s">
        <v>5267</v>
      </c>
    </row>
    <row r="2823" spans="1:30" x14ac:dyDescent="0.25">
      <c r="H2823">
        <v>1248</v>
      </c>
    </row>
    <row r="2824" spans="1:30" x14ac:dyDescent="0.25">
      <c r="A2824">
        <v>1409</v>
      </c>
      <c r="B2824">
        <v>4997</v>
      </c>
      <c r="C2824" t="s">
        <v>1417</v>
      </c>
      <c r="D2824" t="s">
        <v>5268</v>
      </c>
      <c r="E2824" t="s">
        <v>162</v>
      </c>
      <c r="F2824" t="s">
        <v>5269</v>
      </c>
      <c r="G2824" t="str">
        <f>"201512004804"</f>
        <v>201512004804</v>
      </c>
      <c r="H2824">
        <v>737</v>
      </c>
      <c r="I2824">
        <v>0</v>
      </c>
      <c r="J2824">
        <v>0</v>
      </c>
      <c r="K2824">
        <v>0</v>
      </c>
      <c r="L2824">
        <v>0</v>
      </c>
      <c r="M2824">
        <v>0</v>
      </c>
      <c r="N2824">
        <v>30</v>
      </c>
      <c r="O2824">
        <v>50</v>
      </c>
      <c r="P2824">
        <v>0</v>
      </c>
      <c r="Q2824">
        <v>0</v>
      </c>
      <c r="R2824">
        <v>0</v>
      </c>
      <c r="S2824">
        <v>0</v>
      </c>
      <c r="T2824">
        <v>0</v>
      </c>
      <c r="U2824">
        <v>0</v>
      </c>
      <c r="V2824">
        <v>35</v>
      </c>
      <c r="W2824">
        <v>245</v>
      </c>
      <c r="X2824">
        <v>0</v>
      </c>
      <c r="Z2824">
        <v>0</v>
      </c>
      <c r="AA2824">
        <v>0</v>
      </c>
      <c r="AB2824">
        <v>0</v>
      </c>
      <c r="AC2824">
        <v>0</v>
      </c>
      <c r="AD2824">
        <v>1062</v>
      </c>
    </row>
    <row r="2825" spans="1:30" x14ac:dyDescent="0.25">
      <c r="H2825" t="s">
        <v>5270</v>
      </c>
    </row>
    <row r="2826" spans="1:30" x14ac:dyDescent="0.25">
      <c r="A2826">
        <v>1410</v>
      </c>
      <c r="B2826">
        <v>167</v>
      </c>
      <c r="C2826" t="s">
        <v>2584</v>
      </c>
      <c r="D2826" t="s">
        <v>162</v>
      </c>
      <c r="E2826" t="s">
        <v>140</v>
      </c>
      <c r="F2826" t="s">
        <v>5271</v>
      </c>
      <c r="G2826" t="str">
        <f>"00247731"</f>
        <v>00247731</v>
      </c>
      <c r="H2826" t="s">
        <v>1930</v>
      </c>
      <c r="I2826">
        <v>0</v>
      </c>
      <c r="J2826">
        <v>0</v>
      </c>
      <c r="K2826">
        <v>0</v>
      </c>
      <c r="L2826">
        <v>200</v>
      </c>
      <c r="M2826">
        <v>0</v>
      </c>
      <c r="N2826">
        <v>70</v>
      </c>
      <c r="O2826">
        <v>0</v>
      </c>
      <c r="P2826">
        <v>0</v>
      </c>
      <c r="Q2826">
        <v>0</v>
      </c>
      <c r="R2826">
        <v>0</v>
      </c>
      <c r="S2826">
        <v>0</v>
      </c>
      <c r="T2826">
        <v>0</v>
      </c>
      <c r="U2826">
        <v>0</v>
      </c>
      <c r="V2826">
        <v>13</v>
      </c>
      <c r="W2826">
        <v>91</v>
      </c>
      <c r="X2826">
        <v>0</v>
      </c>
      <c r="Z2826">
        <v>0</v>
      </c>
      <c r="AA2826">
        <v>0</v>
      </c>
      <c r="AB2826">
        <v>0</v>
      </c>
      <c r="AC2826">
        <v>0</v>
      </c>
      <c r="AD2826" t="s">
        <v>5272</v>
      </c>
    </row>
    <row r="2827" spans="1:30" x14ac:dyDescent="0.25">
      <c r="H2827">
        <v>1247</v>
      </c>
    </row>
    <row r="2828" spans="1:30" x14ac:dyDescent="0.25">
      <c r="A2828">
        <v>1411</v>
      </c>
      <c r="B2828">
        <v>1602</v>
      </c>
      <c r="C2828" t="s">
        <v>1124</v>
      </c>
      <c r="D2828" t="s">
        <v>5273</v>
      </c>
      <c r="E2828" t="s">
        <v>162</v>
      </c>
      <c r="F2828" t="s">
        <v>5274</v>
      </c>
      <c r="G2828" t="str">
        <f>"00217538"</f>
        <v>00217538</v>
      </c>
      <c r="H2828" t="s">
        <v>123</v>
      </c>
      <c r="I2828">
        <v>0</v>
      </c>
      <c r="J2828">
        <v>0</v>
      </c>
      <c r="K2828">
        <v>0</v>
      </c>
      <c r="L2828">
        <v>0</v>
      </c>
      <c r="M2828">
        <v>0</v>
      </c>
      <c r="N2828">
        <v>30</v>
      </c>
      <c r="O2828">
        <v>0</v>
      </c>
      <c r="P2828">
        <v>0</v>
      </c>
      <c r="Q2828">
        <v>0</v>
      </c>
      <c r="R2828">
        <v>0</v>
      </c>
      <c r="S2828">
        <v>0</v>
      </c>
      <c r="T2828">
        <v>0</v>
      </c>
      <c r="U2828">
        <v>0</v>
      </c>
      <c r="V2828">
        <v>42</v>
      </c>
      <c r="W2828">
        <v>294</v>
      </c>
      <c r="X2828">
        <v>0</v>
      </c>
      <c r="Z2828">
        <v>2</v>
      </c>
      <c r="AA2828">
        <v>0</v>
      </c>
      <c r="AB2828">
        <v>0</v>
      </c>
      <c r="AC2828">
        <v>0</v>
      </c>
      <c r="AD2828" t="s">
        <v>5275</v>
      </c>
    </row>
    <row r="2829" spans="1:30" x14ac:dyDescent="0.25">
      <c r="H2829" t="s">
        <v>5276</v>
      </c>
    </row>
    <row r="2830" spans="1:30" x14ac:dyDescent="0.25">
      <c r="A2830">
        <v>1412</v>
      </c>
      <c r="B2830">
        <v>3586</v>
      </c>
      <c r="C2830" t="s">
        <v>5277</v>
      </c>
      <c r="D2830" t="s">
        <v>162</v>
      </c>
      <c r="E2830" t="s">
        <v>535</v>
      </c>
      <c r="F2830" t="s">
        <v>5278</v>
      </c>
      <c r="G2830" t="str">
        <f>"00004688"</f>
        <v>00004688</v>
      </c>
      <c r="H2830" t="s">
        <v>574</v>
      </c>
      <c r="I2830">
        <v>0</v>
      </c>
      <c r="J2830">
        <v>0</v>
      </c>
      <c r="K2830">
        <v>0</v>
      </c>
      <c r="L2830">
        <v>0</v>
      </c>
      <c r="M2830">
        <v>0</v>
      </c>
      <c r="N2830">
        <v>30</v>
      </c>
      <c r="O2830">
        <v>0</v>
      </c>
      <c r="P2830">
        <v>0</v>
      </c>
      <c r="Q2830">
        <v>0</v>
      </c>
      <c r="R2830">
        <v>0</v>
      </c>
      <c r="S2830">
        <v>0</v>
      </c>
      <c r="T2830">
        <v>0</v>
      </c>
      <c r="U2830">
        <v>0</v>
      </c>
      <c r="V2830">
        <v>43</v>
      </c>
      <c r="W2830">
        <v>301</v>
      </c>
      <c r="X2830">
        <v>0</v>
      </c>
      <c r="Z2830">
        <v>0</v>
      </c>
      <c r="AA2830">
        <v>0</v>
      </c>
      <c r="AB2830">
        <v>0</v>
      </c>
      <c r="AC2830">
        <v>0</v>
      </c>
      <c r="AD2830" t="s">
        <v>5279</v>
      </c>
    </row>
    <row r="2831" spans="1:30" x14ac:dyDescent="0.25">
      <c r="H2831" t="s">
        <v>5280</v>
      </c>
    </row>
    <row r="2832" spans="1:30" x14ac:dyDescent="0.25">
      <c r="A2832">
        <v>1413</v>
      </c>
      <c r="B2832">
        <v>5300</v>
      </c>
      <c r="C2832" t="s">
        <v>5281</v>
      </c>
      <c r="D2832" t="s">
        <v>335</v>
      </c>
      <c r="E2832" t="s">
        <v>40</v>
      </c>
      <c r="F2832" t="s">
        <v>5282</v>
      </c>
      <c r="G2832" t="str">
        <f>"201406007834"</f>
        <v>201406007834</v>
      </c>
      <c r="H2832" t="s">
        <v>1251</v>
      </c>
      <c r="I2832">
        <v>0</v>
      </c>
      <c r="J2832">
        <v>0</v>
      </c>
      <c r="K2832">
        <v>0</v>
      </c>
      <c r="L2832">
        <v>0</v>
      </c>
      <c r="M2832">
        <v>0</v>
      </c>
      <c r="N2832">
        <v>0</v>
      </c>
      <c r="O2832">
        <v>0</v>
      </c>
      <c r="P2832">
        <v>0</v>
      </c>
      <c r="Q2832">
        <v>0</v>
      </c>
      <c r="R2832">
        <v>0</v>
      </c>
      <c r="S2832">
        <v>0</v>
      </c>
      <c r="T2832">
        <v>0</v>
      </c>
      <c r="U2832">
        <v>0</v>
      </c>
      <c r="V2832">
        <v>52</v>
      </c>
      <c r="W2832">
        <v>364</v>
      </c>
      <c r="X2832">
        <v>0</v>
      </c>
      <c r="Z2832">
        <v>1</v>
      </c>
      <c r="AA2832">
        <v>0</v>
      </c>
      <c r="AB2832">
        <v>0</v>
      </c>
      <c r="AC2832">
        <v>0</v>
      </c>
      <c r="AD2832" t="s">
        <v>5279</v>
      </c>
    </row>
    <row r="2833" spans="1:30" x14ac:dyDescent="0.25">
      <c r="H2833">
        <v>1247</v>
      </c>
    </row>
    <row r="2834" spans="1:30" x14ac:dyDescent="0.25">
      <c r="A2834">
        <v>1414</v>
      </c>
      <c r="B2834">
        <v>2856</v>
      </c>
      <c r="C2834" t="s">
        <v>5283</v>
      </c>
      <c r="D2834" t="s">
        <v>39</v>
      </c>
      <c r="E2834" t="s">
        <v>47</v>
      </c>
      <c r="F2834" t="s">
        <v>5284</v>
      </c>
      <c r="G2834" t="str">
        <f>"201511027052"</f>
        <v>201511027052</v>
      </c>
      <c r="H2834" t="s">
        <v>740</v>
      </c>
      <c r="I2834">
        <v>0</v>
      </c>
      <c r="J2834">
        <v>0</v>
      </c>
      <c r="K2834">
        <v>0</v>
      </c>
      <c r="L2834">
        <v>0</v>
      </c>
      <c r="M2834">
        <v>0</v>
      </c>
      <c r="N2834">
        <v>30</v>
      </c>
      <c r="O2834">
        <v>0</v>
      </c>
      <c r="P2834">
        <v>0</v>
      </c>
      <c r="Q2834">
        <v>0</v>
      </c>
      <c r="R2834">
        <v>0</v>
      </c>
      <c r="S2834">
        <v>0</v>
      </c>
      <c r="T2834">
        <v>0</v>
      </c>
      <c r="U2834">
        <v>0</v>
      </c>
      <c r="V2834">
        <v>49</v>
      </c>
      <c r="W2834">
        <v>343</v>
      </c>
      <c r="X2834">
        <v>0</v>
      </c>
      <c r="Z2834">
        <v>0</v>
      </c>
      <c r="AA2834">
        <v>0</v>
      </c>
      <c r="AB2834">
        <v>0</v>
      </c>
      <c r="AC2834">
        <v>0</v>
      </c>
      <c r="AD2834" t="s">
        <v>5285</v>
      </c>
    </row>
    <row r="2835" spans="1:30" x14ac:dyDescent="0.25">
      <c r="H2835" t="s">
        <v>5286</v>
      </c>
    </row>
    <row r="2836" spans="1:30" x14ac:dyDescent="0.25">
      <c r="A2836">
        <v>1415</v>
      </c>
      <c r="B2836">
        <v>5253</v>
      </c>
      <c r="C2836" t="s">
        <v>5287</v>
      </c>
      <c r="D2836" t="s">
        <v>5288</v>
      </c>
      <c r="E2836" t="s">
        <v>5289</v>
      </c>
      <c r="F2836" t="s">
        <v>5290</v>
      </c>
      <c r="G2836" t="str">
        <f>"00070214"</f>
        <v>00070214</v>
      </c>
      <c r="H2836">
        <v>748</v>
      </c>
      <c r="I2836">
        <v>0</v>
      </c>
      <c r="J2836">
        <v>0</v>
      </c>
      <c r="K2836">
        <v>0</v>
      </c>
      <c r="L2836">
        <v>0</v>
      </c>
      <c r="M2836">
        <v>0</v>
      </c>
      <c r="N2836">
        <v>50</v>
      </c>
      <c r="O2836">
        <v>0</v>
      </c>
      <c r="P2836">
        <v>0</v>
      </c>
      <c r="Q2836">
        <v>0</v>
      </c>
      <c r="R2836">
        <v>0</v>
      </c>
      <c r="S2836">
        <v>0</v>
      </c>
      <c r="T2836">
        <v>0</v>
      </c>
      <c r="U2836">
        <v>0</v>
      </c>
      <c r="V2836">
        <v>37</v>
      </c>
      <c r="W2836">
        <v>259</v>
      </c>
      <c r="X2836">
        <v>0</v>
      </c>
      <c r="Z2836">
        <v>0</v>
      </c>
      <c r="AA2836">
        <v>0</v>
      </c>
      <c r="AB2836">
        <v>0</v>
      </c>
      <c r="AC2836">
        <v>0</v>
      </c>
      <c r="AD2836">
        <v>1057</v>
      </c>
    </row>
    <row r="2837" spans="1:30" x14ac:dyDescent="0.25">
      <c r="H2837" t="s">
        <v>1652</v>
      </c>
    </row>
    <row r="2838" spans="1:30" x14ac:dyDescent="0.25">
      <c r="A2838">
        <v>1416</v>
      </c>
      <c r="B2838">
        <v>1169</v>
      </c>
      <c r="C2838" t="s">
        <v>3596</v>
      </c>
      <c r="D2838" t="s">
        <v>572</v>
      </c>
      <c r="E2838" t="s">
        <v>5291</v>
      </c>
      <c r="F2838" t="s">
        <v>5292</v>
      </c>
      <c r="G2838" t="str">
        <f>"201401001990"</f>
        <v>201401001990</v>
      </c>
      <c r="H2838">
        <v>682</v>
      </c>
      <c r="I2838">
        <v>0</v>
      </c>
      <c r="J2838">
        <v>0</v>
      </c>
      <c r="K2838">
        <v>0</v>
      </c>
      <c r="L2838">
        <v>200</v>
      </c>
      <c r="M2838">
        <v>0</v>
      </c>
      <c r="N2838">
        <v>70</v>
      </c>
      <c r="O2838">
        <v>0</v>
      </c>
      <c r="P2838">
        <v>0</v>
      </c>
      <c r="Q2838">
        <v>0</v>
      </c>
      <c r="R2838">
        <v>0</v>
      </c>
      <c r="S2838">
        <v>0</v>
      </c>
      <c r="T2838">
        <v>0</v>
      </c>
      <c r="U2838">
        <v>0</v>
      </c>
      <c r="V2838">
        <v>15</v>
      </c>
      <c r="W2838">
        <v>105</v>
      </c>
      <c r="X2838">
        <v>0</v>
      </c>
      <c r="Z2838">
        <v>0</v>
      </c>
      <c r="AA2838">
        <v>0</v>
      </c>
      <c r="AB2838">
        <v>0</v>
      </c>
      <c r="AC2838">
        <v>0</v>
      </c>
      <c r="AD2838">
        <v>1057</v>
      </c>
    </row>
    <row r="2839" spans="1:30" x14ac:dyDescent="0.25">
      <c r="H2839" t="s">
        <v>5293</v>
      </c>
    </row>
    <row r="2840" spans="1:30" x14ac:dyDescent="0.25">
      <c r="A2840">
        <v>1417</v>
      </c>
      <c r="B2840">
        <v>2952</v>
      </c>
      <c r="C2840" t="s">
        <v>5294</v>
      </c>
      <c r="D2840" t="s">
        <v>335</v>
      </c>
      <c r="E2840" t="s">
        <v>176</v>
      </c>
      <c r="F2840" t="s">
        <v>5295</v>
      </c>
      <c r="G2840" t="str">
        <f>"00158812"</f>
        <v>00158812</v>
      </c>
      <c r="H2840">
        <v>660</v>
      </c>
      <c r="I2840">
        <v>0</v>
      </c>
      <c r="J2840">
        <v>0</v>
      </c>
      <c r="K2840">
        <v>0</v>
      </c>
      <c r="L2840">
        <v>0</v>
      </c>
      <c r="M2840">
        <v>0</v>
      </c>
      <c r="N2840">
        <v>0</v>
      </c>
      <c r="O2840">
        <v>0</v>
      </c>
      <c r="P2840">
        <v>0</v>
      </c>
      <c r="Q2840">
        <v>0</v>
      </c>
      <c r="R2840">
        <v>0</v>
      </c>
      <c r="S2840">
        <v>0</v>
      </c>
      <c r="T2840">
        <v>0</v>
      </c>
      <c r="U2840">
        <v>0</v>
      </c>
      <c r="V2840">
        <v>3</v>
      </c>
      <c r="W2840">
        <v>21</v>
      </c>
      <c r="X2840">
        <v>0</v>
      </c>
      <c r="Z2840">
        <v>0</v>
      </c>
      <c r="AA2840">
        <v>0</v>
      </c>
      <c r="AB2840">
        <v>22</v>
      </c>
      <c r="AC2840">
        <v>374</v>
      </c>
      <c r="AD2840">
        <v>1055</v>
      </c>
    </row>
    <row r="2841" spans="1:30" x14ac:dyDescent="0.25">
      <c r="H2841" t="s">
        <v>5296</v>
      </c>
    </row>
    <row r="2842" spans="1:30" x14ac:dyDescent="0.25">
      <c r="A2842">
        <v>1418</v>
      </c>
      <c r="B2842">
        <v>1535</v>
      </c>
      <c r="C2842" t="s">
        <v>5297</v>
      </c>
      <c r="D2842" t="s">
        <v>40</v>
      </c>
      <c r="E2842" t="s">
        <v>162</v>
      </c>
      <c r="F2842" t="s">
        <v>5298</v>
      </c>
      <c r="G2842" t="str">
        <f>"200805000797"</f>
        <v>200805000797</v>
      </c>
      <c r="H2842">
        <v>693</v>
      </c>
      <c r="I2842">
        <v>0</v>
      </c>
      <c r="J2842">
        <v>0</v>
      </c>
      <c r="K2842">
        <v>0</v>
      </c>
      <c r="L2842">
        <v>0</v>
      </c>
      <c r="M2842">
        <v>100</v>
      </c>
      <c r="N2842">
        <v>70</v>
      </c>
      <c r="O2842">
        <v>0</v>
      </c>
      <c r="P2842">
        <v>0</v>
      </c>
      <c r="Q2842">
        <v>0</v>
      </c>
      <c r="R2842">
        <v>0</v>
      </c>
      <c r="S2842">
        <v>0</v>
      </c>
      <c r="T2842">
        <v>0</v>
      </c>
      <c r="U2842">
        <v>0</v>
      </c>
      <c r="V2842">
        <v>27</v>
      </c>
      <c r="W2842">
        <v>189</v>
      </c>
      <c r="X2842">
        <v>0</v>
      </c>
      <c r="Z2842">
        <v>0</v>
      </c>
      <c r="AA2842">
        <v>0</v>
      </c>
      <c r="AB2842">
        <v>0</v>
      </c>
      <c r="AC2842">
        <v>0</v>
      </c>
      <c r="AD2842">
        <v>1052</v>
      </c>
    </row>
    <row r="2843" spans="1:30" x14ac:dyDescent="0.25">
      <c r="H2843" t="s">
        <v>549</v>
      </c>
    </row>
    <row r="2844" spans="1:30" x14ac:dyDescent="0.25">
      <c r="A2844">
        <v>1419</v>
      </c>
      <c r="B2844">
        <v>2096</v>
      </c>
      <c r="C2844" t="s">
        <v>5299</v>
      </c>
      <c r="D2844" t="s">
        <v>5300</v>
      </c>
      <c r="E2844" t="s">
        <v>33</v>
      </c>
      <c r="F2844" t="s">
        <v>5301</v>
      </c>
      <c r="G2844" t="str">
        <f>"201406011304"</f>
        <v>201406011304</v>
      </c>
      <c r="H2844" t="s">
        <v>754</v>
      </c>
      <c r="I2844">
        <v>150</v>
      </c>
      <c r="J2844">
        <v>0</v>
      </c>
      <c r="K2844">
        <v>0</v>
      </c>
      <c r="L2844">
        <v>0</v>
      </c>
      <c r="M2844">
        <v>0</v>
      </c>
      <c r="N2844">
        <v>30</v>
      </c>
      <c r="O2844">
        <v>0</v>
      </c>
      <c r="P2844">
        <v>0</v>
      </c>
      <c r="Q2844">
        <v>0</v>
      </c>
      <c r="R2844">
        <v>0</v>
      </c>
      <c r="S2844">
        <v>0</v>
      </c>
      <c r="T2844">
        <v>0</v>
      </c>
      <c r="U2844">
        <v>0</v>
      </c>
      <c r="V2844">
        <v>9</v>
      </c>
      <c r="W2844">
        <v>63</v>
      </c>
      <c r="X2844">
        <v>0</v>
      </c>
      <c r="Z2844">
        <v>0</v>
      </c>
      <c r="AA2844">
        <v>0</v>
      </c>
      <c r="AB2844">
        <v>5</v>
      </c>
      <c r="AC2844">
        <v>85</v>
      </c>
      <c r="AD2844" t="s">
        <v>5302</v>
      </c>
    </row>
    <row r="2845" spans="1:30" x14ac:dyDescent="0.25">
      <c r="H2845" t="s">
        <v>2341</v>
      </c>
    </row>
    <row r="2846" spans="1:30" x14ac:dyDescent="0.25">
      <c r="A2846">
        <v>1420</v>
      </c>
      <c r="B2846">
        <v>563</v>
      </c>
      <c r="C2846" t="s">
        <v>5303</v>
      </c>
      <c r="D2846" t="s">
        <v>5304</v>
      </c>
      <c r="E2846" t="s">
        <v>47</v>
      </c>
      <c r="F2846" t="s">
        <v>5305</v>
      </c>
      <c r="G2846" t="str">
        <f>"200712002330"</f>
        <v>200712002330</v>
      </c>
      <c r="H2846" t="s">
        <v>293</v>
      </c>
      <c r="I2846">
        <v>0</v>
      </c>
      <c r="J2846">
        <v>0</v>
      </c>
      <c r="K2846">
        <v>0</v>
      </c>
      <c r="L2846">
        <v>0</v>
      </c>
      <c r="M2846">
        <v>0</v>
      </c>
      <c r="N2846">
        <v>50</v>
      </c>
      <c r="O2846">
        <v>0</v>
      </c>
      <c r="P2846">
        <v>0</v>
      </c>
      <c r="Q2846">
        <v>30</v>
      </c>
      <c r="R2846">
        <v>0</v>
      </c>
      <c r="S2846">
        <v>0</v>
      </c>
      <c r="T2846">
        <v>0</v>
      </c>
      <c r="U2846">
        <v>0</v>
      </c>
      <c r="V2846">
        <v>34</v>
      </c>
      <c r="W2846">
        <v>238</v>
      </c>
      <c r="X2846">
        <v>0</v>
      </c>
      <c r="Z2846">
        <v>0</v>
      </c>
      <c r="AA2846">
        <v>0</v>
      </c>
      <c r="AB2846">
        <v>0</v>
      </c>
      <c r="AC2846">
        <v>0</v>
      </c>
      <c r="AD2846" t="s">
        <v>5306</v>
      </c>
    </row>
    <row r="2847" spans="1:30" x14ac:dyDescent="0.25">
      <c r="H2847" t="s">
        <v>5307</v>
      </c>
    </row>
    <row r="2848" spans="1:30" x14ac:dyDescent="0.25">
      <c r="A2848">
        <v>1421</v>
      </c>
      <c r="B2848">
        <v>5169</v>
      </c>
      <c r="C2848" t="s">
        <v>5308</v>
      </c>
      <c r="D2848" t="s">
        <v>86</v>
      </c>
      <c r="E2848" t="s">
        <v>47</v>
      </c>
      <c r="F2848" t="s">
        <v>5309</v>
      </c>
      <c r="G2848" t="str">
        <f>"201401000166"</f>
        <v>201401000166</v>
      </c>
      <c r="H2848">
        <v>770</v>
      </c>
      <c r="I2848">
        <v>0</v>
      </c>
      <c r="J2848">
        <v>0</v>
      </c>
      <c r="K2848">
        <v>0</v>
      </c>
      <c r="L2848">
        <v>200</v>
      </c>
      <c r="M2848">
        <v>0</v>
      </c>
      <c r="N2848">
        <v>50</v>
      </c>
      <c r="O2848">
        <v>0</v>
      </c>
      <c r="P2848">
        <v>0</v>
      </c>
      <c r="Q2848">
        <v>30</v>
      </c>
      <c r="R2848">
        <v>0</v>
      </c>
      <c r="S2848">
        <v>0</v>
      </c>
      <c r="T2848">
        <v>0</v>
      </c>
      <c r="U2848">
        <v>0</v>
      </c>
      <c r="V2848">
        <v>0</v>
      </c>
      <c r="W2848">
        <v>0</v>
      </c>
      <c r="X2848">
        <v>0</v>
      </c>
      <c r="Z2848">
        <v>0</v>
      </c>
      <c r="AA2848">
        <v>0</v>
      </c>
      <c r="AB2848">
        <v>0</v>
      </c>
      <c r="AC2848">
        <v>0</v>
      </c>
      <c r="AD2848">
        <v>1050</v>
      </c>
    </row>
    <row r="2849" spans="1:30" x14ac:dyDescent="0.25">
      <c r="H2849" t="s">
        <v>2017</v>
      </c>
    </row>
    <row r="2850" spans="1:30" x14ac:dyDescent="0.25">
      <c r="A2850">
        <v>1422</v>
      </c>
      <c r="B2850">
        <v>3512</v>
      </c>
      <c r="C2850" t="s">
        <v>2644</v>
      </c>
      <c r="D2850" t="s">
        <v>75</v>
      </c>
      <c r="E2850" t="s">
        <v>162</v>
      </c>
      <c r="F2850" t="s">
        <v>5310</v>
      </c>
      <c r="G2850" t="str">
        <f>"201511028760"</f>
        <v>201511028760</v>
      </c>
      <c r="H2850">
        <v>726</v>
      </c>
      <c r="I2850">
        <v>0</v>
      </c>
      <c r="J2850">
        <v>0</v>
      </c>
      <c r="K2850">
        <v>0</v>
      </c>
      <c r="L2850">
        <v>0</v>
      </c>
      <c r="M2850">
        <v>0</v>
      </c>
      <c r="N2850">
        <v>30</v>
      </c>
      <c r="O2850">
        <v>0</v>
      </c>
      <c r="P2850">
        <v>0</v>
      </c>
      <c r="Q2850">
        <v>0</v>
      </c>
      <c r="R2850">
        <v>0</v>
      </c>
      <c r="S2850">
        <v>0</v>
      </c>
      <c r="T2850">
        <v>0</v>
      </c>
      <c r="U2850">
        <v>0</v>
      </c>
      <c r="V2850">
        <v>42</v>
      </c>
      <c r="W2850">
        <v>294</v>
      </c>
      <c r="X2850">
        <v>0</v>
      </c>
      <c r="Z2850">
        <v>2</v>
      </c>
      <c r="AA2850">
        <v>0</v>
      </c>
      <c r="AB2850">
        <v>0</v>
      </c>
      <c r="AC2850">
        <v>0</v>
      </c>
      <c r="AD2850">
        <v>1050</v>
      </c>
    </row>
    <row r="2851" spans="1:30" x14ac:dyDescent="0.25">
      <c r="H2851" t="s">
        <v>5311</v>
      </c>
    </row>
    <row r="2852" spans="1:30" x14ac:dyDescent="0.25">
      <c r="A2852">
        <v>1423</v>
      </c>
      <c r="B2852">
        <v>399</v>
      </c>
      <c r="C2852" t="s">
        <v>5312</v>
      </c>
      <c r="D2852" t="s">
        <v>1269</v>
      </c>
      <c r="E2852" t="s">
        <v>39</v>
      </c>
      <c r="F2852" t="s">
        <v>5313</v>
      </c>
      <c r="G2852" t="str">
        <f>"201406003955"</f>
        <v>201406003955</v>
      </c>
      <c r="H2852" t="s">
        <v>1256</v>
      </c>
      <c r="I2852">
        <v>0</v>
      </c>
      <c r="J2852">
        <v>0</v>
      </c>
      <c r="K2852">
        <v>0</v>
      </c>
      <c r="L2852">
        <v>0</v>
      </c>
      <c r="M2852">
        <v>0</v>
      </c>
      <c r="N2852">
        <v>0</v>
      </c>
      <c r="O2852">
        <v>0</v>
      </c>
      <c r="P2852">
        <v>0</v>
      </c>
      <c r="Q2852">
        <v>0</v>
      </c>
      <c r="R2852">
        <v>0</v>
      </c>
      <c r="S2852">
        <v>0</v>
      </c>
      <c r="T2852">
        <v>0</v>
      </c>
      <c r="U2852">
        <v>0</v>
      </c>
      <c r="V2852">
        <v>55</v>
      </c>
      <c r="W2852">
        <v>385</v>
      </c>
      <c r="X2852">
        <v>0</v>
      </c>
      <c r="Z2852">
        <v>0</v>
      </c>
      <c r="AA2852">
        <v>0</v>
      </c>
      <c r="AB2852">
        <v>0</v>
      </c>
      <c r="AC2852">
        <v>0</v>
      </c>
      <c r="AD2852" t="s">
        <v>5314</v>
      </c>
    </row>
    <row r="2853" spans="1:30" x14ac:dyDescent="0.25">
      <c r="H2853" t="s">
        <v>5315</v>
      </c>
    </row>
    <row r="2854" spans="1:30" x14ac:dyDescent="0.25">
      <c r="A2854">
        <v>1424</v>
      </c>
      <c r="B2854">
        <v>5476</v>
      </c>
      <c r="C2854" t="s">
        <v>394</v>
      </c>
      <c r="D2854" t="s">
        <v>4002</v>
      </c>
      <c r="E2854" t="s">
        <v>1039</v>
      </c>
      <c r="F2854" t="s">
        <v>5316</v>
      </c>
      <c r="G2854" t="str">
        <f>"00336203"</f>
        <v>00336203</v>
      </c>
      <c r="H2854" t="s">
        <v>5317</v>
      </c>
      <c r="I2854">
        <v>0</v>
      </c>
      <c r="J2854">
        <v>0</v>
      </c>
      <c r="K2854">
        <v>0</v>
      </c>
      <c r="L2854">
        <v>0</v>
      </c>
      <c r="M2854">
        <v>0</v>
      </c>
      <c r="N2854">
        <v>30</v>
      </c>
      <c r="O2854">
        <v>0</v>
      </c>
      <c r="P2854">
        <v>0</v>
      </c>
      <c r="Q2854">
        <v>0</v>
      </c>
      <c r="R2854">
        <v>0</v>
      </c>
      <c r="S2854">
        <v>0</v>
      </c>
      <c r="T2854">
        <v>0</v>
      </c>
      <c r="U2854">
        <v>0</v>
      </c>
      <c r="V2854">
        <v>54</v>
      </c>
      <c r="W2854">
        <v>378</v>
      </c>
      <c r="X2854">
        <v>0</v>
      </c>
      <c r="Z2854">
        <v>0</v>
      </c>
      <c r="AA2854">
        <v>0</v>
      </c>
      <c r="AB2854">
        <v>0</v>
      </c>
      <c r="AC2854">
        <v>0</v>
      </c>
      <c r="AD2854" t="s">
        <v>5318</v>
      </c>
    </row>
    <row r="2855" spans="1:30" x14ac:dyDescent="0.25">
      <c r="H2855" t="s">
        <v>1213</v>
      </c>
    </row>
    <row r="2856" spans="1:30" x14ac:dyDescent="0.25">
      <c r="A2856">
        <v>1425</v>
      </c>
      <c r="B2856">
        <v>3007</v>
      </c>
      <c r="C2856" t="s">
        <v>5319</v>
      </c>
      <c r="D2856" t="s">
        <v>40</v>
      </c>
      <c r="E2856" t="s">
        <v>974</v>
      </c>
      <c r="F2856" t="s">
        <v>5320</v>
      </c>
      <c r="G2856" t="str">
        <f>"00333224"</f>
        <v>00333224</v>
      </c>
      <c r="H2856" t="s">
        <v>642</v>
      </c>
      <c r="I2856">
        <v>0</v>
      </c>
      <c r="J2856">
        <v>0</v>
      </c>
      <c r="K2856">
        <v>0</v>
      </c>
      <c r="L2856">
        <v>0</v>
      </c>
      <c r="M2856">
        <v>0</v>
      </c>
      <c r="N2856">
        <v>30</v>
      </c>
      <c r="O2856">
        <v>0</v>
      </c>
      <c r="P2856">
        <v>0</v>
      </c>
      <c r="Q2856">
        <v>0</v>
      </c>
      <c r="R2856">
        <v>0</v>
      </c>
      <c r="S2856">
        <v>0</v>
      </c>
      <c r="T2856">
        <v>0</v>
      </c>
      <c r="U2856">
        <v>0</v>
      </c>
      <c r="V2856">
        <v>51</v>
      </c>
      <c r="W2856">
        <v>357</v>
      </c>
      <c r="X2856">
        <v>0</v>
      </c>
      <c r="Z2856">
        <v>0</v>
      </c>
      <c r="AA2856">
        <v>0</v>
      </c>
      <c r="AB2856">
        <v>0</v>
      </c>
      <c r="AC2856">
        <v>0</v>
      </c>
      <c r="AD2856" t="s">
        <v>5321</v>
      </c>
    </row>
    <row r="2857" spans="1:30" x14ac:dyDescent="0.25">
      <c r="H2857" t="s">
        <v>451</v>
      </c>
    </row>
    <row r="2858" spans="1:30" x14ac:dyDescent="0.25">
      <c r="A2858">
        <v>1426</v>
      </c>
      <c r="B2858">
        <v>2831</v>
      </c>
      <c r="C2858" t="s">
        <v>5322</v>
      </c>
      <c r="D2858" t="s">
        <v>5323</v>
      </c>
      <c r="E2858" t="s">
        <v>950</v>
      </c>
      <c r="F2858" t="s">
        <v>5324</v>
      </c>
      <c r="G2858" t="str">
        <f>"00344876"</f>
        <v>00344876</v>
      </c>
      <c r="H2858" t="s">
        <v>5089</v>
      </c>
      <c r="I2858">
        <v>0</v>
      </c>
      <c r="J2858">
        <v>0</v>
      </c>
      <c r="K2858">
        <v>0</v>
      </c>
      <c r="L2858">
        <v>0</v>
      </c>
      <c r="M2858">
        <v>0</v>
      </c>
      <c r="N2858">
        <v>30</v>
      </c>
      <c r="O2858">
        <v>0</v>
      </c>
      <c r="P2858">
        <v>0</v>
      </c>
      <c r="Q2858">
        <v>0</v>
      </c>
      <c r="R2858">
        <v>0</v>
      </c>
      <c r="S2858">
        <v>0</v>
      </c>
      <c r="T2858">
        <v>0</v>
      </c>
      <c r="U2858">
        <v>0</v>
      </c>
      <c r="V2858">
        <v>23</v>
      </c>
      <c r="W2858">
        <v>161</v>
      </c>
      <c r="X2858">
        <v>0</v>
      </c>
      <c r="Z2858">
        <v>0</v>
      </c>
      <c r="AA2858">
        <v>0</v>
      </c>
      <c r="AB2858">
        <v>0</v>
      </c>
      <c r="AC2858">
        <v>0</v>
      </c>
      <c r="AD2858" t="s">
        <v>5325</v>
      </c>
    </row>
    <row r="2859" spans="1:30" x14ac:dyDescent="0.25">
      <c r="H2859" t="s">
        <v>5326</v>
      </c>
    </row>
    <row r="2860" spans="1:30" x14ac:dyDescent="0.25">
      <c r="A2860">
        <v>1427</v>
      </c>
      <c r="B2860">
        <v>3793</v>
      </c>
      <c r="C2860" t="s">
        <v>5327</v>
      </c>
      <c r="D2860" t="s">
        <v>2404</v>
      </c>
      <c r="E2860" t="s">
        <v>40</v>
      </c>
      <c r="F2860" t="s">
        <v>5328</v>
      </c>
      <c r="G2860" t="str">
        <f>"00124587"</f>
        <v>00124587</v>
      </c>
      <c r="H2860" t="s">
        <v>2545</v>
      </c>
      <c r="I2860">
        <v>0</v>
      </c>
      <c r="J2860">
        <v>0</v>
      </c>
      <c r="K2860">
        <v>0</v>
      </c>
      <c r="L2860">
        <v>0</v>
      </c>
      <c r="M2860">
        <v>0</v>
      </c>
      <c r="N2860">
        <v>50</v>
      </c>
      <c r="O2860">
        <v>0</v>
      </c>
      <c r="P2860">
        <v>0</v>
      </c>
      <c r="Q2860">
        <v>0</v>
      </c>
      <c r="R2860">
        <v>0</v>
      </c>
      <c r="S2860">
        <v>0</v>
      </c>
      <c r="T2860">
        <v>0</v>
      </c>
      <c r="U2860">
        <v>0</v>
      </c>
      <c r="V2860">
        <v>-24</v>
      </c>
      <c r="W2860">
        <v>-168</v>
      </c>
      <c r="X2860">
        <v>0</v>
      </c>
      <c r="Z2860">
        <v>0</v>
      </c>
      <c r="AA2860">
        <v>0</v>
      </c>
      <c r="AB2860">
        <v>24</v>
      </c>
      <c r="AC2860">
        <v>408</v>
      </c>
      <c r="AD2860" t="s">
        <v>5325</v>
      </c>
    </row>
    <row r="2861" spans="1:30" x14ac:dyDescent="0.25">
      <c r="H2861" t="s">
        <v>5329</v>
      </c>
    </row>
    <row r="2862" spans="1:30" x14ac:dyDescent="0.25">
      <c r="A2862">
        <v>1428</v>
      </c>
      <c r="B2862">
        <v>3580</v>
      </c>
      <c r="C2862" t="s">
        <v>5330</v>
      </c>
      <c r="D2862" t="s">
        <v>162</v>
      </c>
      <c r="E2862" t="s">
        <v>468</v>
      </c>
      <c r="F2862" t="s">
        <v>5331</v>
      </c>
      <c r="G2862" t="str">
        <f>"201512001421"</f>
        <v>201512001421</v>
      </c>
      <c r="H2862" t="s">
        <v>293</v>
      </c>
      <c r="I2862">
        <v>0</v>
      </c>
      <c r="J2862">
        <v>0</v>
      </c>
      <c r="K2862">
        <v>0</v>
      </c>
      <c r="L2862">
        <v>200</v>
      </c>
      <c r="M2862">
        <v>0</v>
      </c>
      <c r="N2862">
        <v>30</v>
      </c>
      <c r="O2862">
        <v>0</v>
      </c>
      <c r="P2862">
        <v>0</v>
      </c>
      <c r="Q2862">
        <v>0</v>
      </c>
      <c r="R2862">
        <v>0</v>
      </c>
      <c r="S2862">
        <v>0</v>
      </c>
      <c r="T2862">
        <v>0</v>
      </c>
      <c r="U2862">
        <v>0</v>
      </c>
      <c r="V2862">
        <v>12</v>
      </c>
      <c r="W2862">
        <v>84</v>
      </c>
      <c r="X2862">
        <v>0</v>
      </c>
      <c r="Z2862">
        <v>0</v>
      </c>
      <c r="AA2862">
        <v>0</v>
      </c>
      <c r="AB2862">
        <v>0</v>
      </c>
      <c r="AC2862">
        <v>0</v>
      </c>
      <c r="AD2862" t="s">
        <v>5332</v>
      </c>
    </row>
    <row r="2863" spans="1:30" x14ac:dyDescent="0.25">
      <c r="H2863" t="s">
        <v>5333</v>
      </c>
    </row>
    <row r="2864" spans="1:30" x14ac:dyDescent="0.25">
      <c r="A2864">
        <v>1429</v>
      </c>
      <c r="B2864">
        <v>1311</v>
      </c>
      <c r="C2864" t="s">
        <v>5334</v>
      </c>
      <c r="D2864" t="s">
        <v>1555</v>
      </c>
      <c r="E2864" t="s">
        <v>509</v>
      </c>
      <c r="F2864" t="s">
        <v>5335</v>
      </c>
      <c r="G2864" t="str">
        <f>"00140636"</f>
        <v>00140636</v>
      </c>
      <c r="H2864" t="s">
        <v>204</v>
      </c>
      <c r="I2864">
        <v>0</v>
      </c>
      <c r="J2864">
        <v>0</v>
      </c>
      <c r="K2864">
        <v>0</v>
      </c>
      <c r="L2864">
        <v>0</v>
      </c>
      <c r="M2864">
        <v>0</v>
      </c>
      <c r="N2864">
        <v>30</v>
      </c>
      <c r="O2864">
        <v>0</v>
      </c>
      <c r="P2864">
        <v>0</v>
      </c>
      <c r="Q2864">
        <v>0</v>
      </c>
      <c r="R2864">
        <v>0</v>
      </c>
      <c r="S2864">
        <v>0</v>
      </c>
      <c r="T2864">
        <v>0</v>
      </c>
      <c r="U2864">
        <v>0</v>
      </c>
      <c r="V2864">
        <v>41</v>
      </c>
      <c r="W2864">
        <v>287</v>
      </c>
      <c r="X2864">
        <v>0</v>
      </c>
      <c r="Z2864">
        <v>0</v>
      </c>
      <c r="AA2864">
        <v>0</v>
      </c>
      <c r="AB2864">
        <v>0</v>
      </c>
      <c r="AC2864">
        <v>0</v>
      </c>
      <c r="AD2864" t="s">
        <v>5336</v>
      </c>
    </row>
    <row r="2865" spans="1:30" x14ac:dyDescent="0.25">
      <c r="H2865" t="s">
        <v>5337</v>
      </c>
    </row>
    <row r="2866" spans="1:30" x14ac:dyDescent="0.25">
      <c r="A2866">
        <v>1430</v>
      </c>
      <c r="B2866">
        <v>5941</v>
      </c>
      <c r="C2866" t="s">
        <v>5338</v>
      </c>
      <c r="D2866" t="s">
        <v>1772</v>
      </c>
      <c r="E2866" t="s">
        <v>1039</v>
      </c>
      <c r="F2866" t="s">
        <v>5339</v>
      </c>
      <c r="G2866" t="str">
        <f>"00316250"</f>
        <v>00316250</v>
      </c>
      <c r="H2866" t="s">
        <v>740</v>
      </c>
      <c r="I2866">
        <v>150</v>
      </c>
      <c r="J2866">
        <v>0</v>
      </c>
      <c r="K2866">
        <v>0</v>
      </c>
      <c r="L2866">
        <v>0</v>
      </c>
      <c r="M2866">
        <v>100</v>
      </c>
      <c r="N2866">
        <v>70</v>
      </c>
      <c r="O2866">
        <v>0</v>
      </c>
      <c r="P2866">
        <v>0</v>
      </c>
      <c r="Q2866">
        <v>0</v>
      </c>
      <c r="R2866">
        <v>0</v>
      </c>
      <c r="S2866">
        <v>0</v>
      </c>
      <c r="T2866">
        <v>0</v>
      </c>
      <c r="U2866">
        <v>0</v>
      </c>
      <c r="V2866">
        <v>6</v>
      </c>
      <c r="W2866">
        <v>42</v>
      </c>
      <c r="X2866">
        <v>0</v>
      </c>
      <c r="Z2866">
        <v>0</v>
      </c>
      <c r="AA2866">
        <v>0</v>
      </c>
      <c r="AB2866">
        <v>0</v>
      </c>
      <c r="AC2866">
        <v>0</v>
      </c>
      <c r="AD2866" t="s">
        <v>5340</v>
      </c>
    </row>
    <row r="2867" spans="1:30" x14ac:dyDescent="0.25">
      <c r="H2867" t="s">
        <v>5341</v>
      </c>
    </row>
    <row r="2868" spans="1:30" x14ac:dyDescent="0.25">
      <c r="A2868">
        <v>1431</v>
      </c>
      <c r="B2868">
        <v>3472</v>
      </c>
      <c r="C2868" t="s">
        <v>5342</v>
      </c>
      <c r="D2868" t="s">
        <v>474</v>
      </c>
      <c r="E2868" t="s">
        <v>40</v>
      </c>
      <c r="F2868" t="s">
        <v>5343</v>
      </c>
      <c r="G2868" t="str">
        <f>"200809000321"</f>
        <v>200809000321</v>
      </c>
      <c r="H2868">
        <v>836</v>
      </c>
      <c r="I2868">
        <v>0</v>
      </c>
      <c r="J2868">
        <v>0</v>
      </c>
      <c r="K2868">
        <v>0</v>
      </c>
      <c r="L2868">
        <v>0</v>
      </c>
      <c r="M2868">
        <v>0</v>
      </c>
      <c r="N2868">
        <v>50</v>
      </c>
      <c r="O2868">
        <v>0</v>
      </c>
      <c r="P2868">
        <v>0</v>
      </c>
      <c r="Q2868">
        <v>0</v>
      </c>
      <c r="R2868">
        <v>0</v>
      </c>
      <c r="S2868">
        <v>0</v>
      </c>
      <c r="T2868">
        <v>0</v>
      </c>
      <c r="U2868">
        <v>0</v>
      </c>
      <c r="V2868">
        <v>23</v>
      </c>
      <c r="W2868">
        <v>161</v>
      </c>
      <c r="X2868">
        <v>0</v>
      </c>
      <c r="Z2868">
        <v>0</v>
      </c>
      <c r="AA2868">
        <v>0</v>
      </c>
      <c r="AB2868">
        <v>0</v>
      </c>
      <c r="AC2868">
        <v>0</v>
      </c>
      <c r="AD2868">
        <v>1047</v>
      </c>
    </row>
    <row r="2869" spans="1:30" x14ac:dyDescent="0.25">
      <c r="H2869" t="s">
        <v>5344</v>
      </c>
    </row>
    <row r="2870" spans="1:30" x14ac:dyDescent="0.25">
      <c r="A2870">
        <v>1432</v>
      </c>
      <c r="B2870">
        <v>2082</v>
      </c>
      <c r="C2870" t="s">
        <v>5345</v>
      </c>
      <c r="D2870" t="s">
        <v>335</v>
      </c>
      <c r="E2870" t="s">
        <v>183</v>
      </c>
      <c r="F2870" t="s">
        <v>5346</v>
      </c>
      <c r="G2870" t="str">
        <f>"201511041807"</f>
        <v>201511041807</v>
      </c>
      <c r="H2870" t="s">
        <v>146</v>
      </c>
      <c r="I2870">
        <v>0</v>
      </c>
      <c r="J2870">
        <v>0</v>
      </c>
      <c r="K2870">
        <v>0</v>
      </c>
      <c r="L2870">
        <v>0</v>
      </c>
      <c r="M2870">
        <v>0</v>
      </c>
      <c r="N2870">
        <v>30</v>
      </c>
      <c r="O2870">
        <v>0</v>
      </c>
      <c r="P2870">
        <v>0</v>
      </c>
      <c r="Q2870">
        <v>0</v>
      </c>
      <c r="R2870">
        <v>0</v>
      </c>
      <c r="S2870">
        <v>0</v>
      </c>
      <c r="T2870">
        <v>0</v>
      </c>
      <c r="U2870">
        <v>0</v>
      </c>
      <c r="V2870">
        <v>8</v>
      </c>
      <c r="W2870">
        <v>56</v>
      </c>
      <c r="X2870">
        <v>0</v>
      </c>
      <c r="Z2870">
        <v>0</v>
      </c>
      <c r="AA2870">
        <v>0</v>
      </c>
      <c r="AB2870">
        <v>12</v>
      </c>
      <c r="AC2870">
        <v>204</v>
      </c>
      <c r="AD2870" t="s">
        <v>5347</v>
      </c>
    </row>
    <row r="2871" spans="1:30" x14ac:dyDescent="0.25">
      <c r="H2871" t="s">
        <v>5348</v>
      </c>
    </row>
    <row r="2872" spans="1:30" x14ac:dyDescent="0.25">
      <c r="A2872">
        <v>1433</v>
      </c>
      <c r="B2872">
        <v>2196</v>
      </c>
      <c r="C2872" t="s">
        <v>5349</v>
      </c>
      <c r="D2872" t="s">
        <v>3226</v>
      </c>
      <c r="E2872" t="s">
        <v>39</v>
      </c>
      <c r="F2872" t="s">
        <v>5350</v>
      </c>
      <c r="G2872" t="str">
        <f>"00265540"</f>
        <v>00265540</v>
      </c>
      <c r="H2872" t="s">
        <v>417</v>
      </c>
      <c r="I2872">
        <v>0</v>
      </c>
      <c r="J2872">
        <v>0</v>
      </c>
      <c r="K2872">
        <v>0</v>
      </c>
      <c r="L2872">
        <v>0</v>
      </c>
      <c r="M2872">
        <v>0</v>
      </c>
      <c r="N2872">
        <v>30</v>
      </c>
      <c r="O2872">
        <v>0</v>
      </c>
      <c r="P2872">
        <v>0</v>
      </c>
      <c r="Q2872">
        <v>50</v>
      </c>
      <c r="R2872">
        <v>0</v>
      </c>
      <c r="S2872">
        <v>0</v>
      </c>
      <c r="T2872">
        <v>0</v>
      </c>
      <c r="U2872">
        <v>0</v>
      </c>
      <c r="V2872">
        <v>18</v>
      </c>
      <c r="W2872">
        <v>126</v>
      </c>
      <c r="X2872">
        <v>0</v>
      </c>
      <c r="Z2872">
        <v>0</v>
      </c>
      <c r="AA2872">
        <v>0</v>
      </c>
      <c r="AB2872">
        <v>0</v>
      </c>
      <c r="AC2872">
        <v>0</v>
      </c>
      <c r="AD2872" t="s">
        <v>5351</v>
      </c>
    </row>
    <row r="2873" spans="1:30" x14ac:dyDescent="0.25">
      <c r="H2873" t="s">
        <v>5352</v>
      </c>
    </row>
    <row r="2874" spans="1:30" x14ac:dyDescent="0.25">
      <c r="A2874">
        <v>1434</v>
      </c>
      <c r="B2874">
        <v>760</v>
      </c>
      <c r="C2874" t="s">
        <v>5353</v>
      </c>
      <c r="D2874" t="s">
        <v>107</v>
      </c>
      <c r="E2874" t="s">
        <v>47</v>
      </c>
      <c r="F2874" t="s">
        <v>5354</v>
      </c>
      <c r="G2874" t="str">
        <f>"201103000065"</f>
        <v>201103000065</v>
      </c>
      <c r="H2874" t="s">
        <v>1030</v>
      </c>
      <c r="I2874">
        <v>0</v>
      </c>
      <c r="J2874">
        <v>0</v>
      </c>
      <c r="K2874">
        <v>0</v>
      </c>
      <c r="L2874">
        <v>0</v>
      </c>
      <c r="M2874">
        <v>0</v>
      </c>
      <c r="N2874">
        <v>0</v>
      </c>
      <c r="O2874">
        <v>0</v>
      </c>
      <c r="P2874">
        <v>0</v>
      </c>
      <c r="Q2874">
        <v>0</v>
      </c>
      <c r="R2874">
        <v>0</v>
      </c>
      <c r="S2874">
        <v>0</v>
      </c>
      <c r="T2874">
        <v>0</v>
      </c>
      <c r="U2874">
        <v>0</v>
      </c>
      <c r="V2874">
        <v>0</v>
      </c>
      <c r="W2874">
        <v>0</v>
      </c>
      <c r="X2874">
        <v>0</v>
      </c>
      <c r="Z2874">
        <v>1</v>
      </c>
      <c r="AA2874">
        <v>0</v>
      </c>
      <c r="AB2874">
        <v>13</v>
      </c>
      <c r="AC2874">
        <v>221</v>
      </c>
      <c r="AD2874" t="s">
        <v>5355</v>
      </c>
    </row>
    <row r="2875" spans="1:30" x14ac:dyDescent="0.25">
      <c r="H2875" t="s">
        <v>3337</v>
      </c>
    </row>
    <row r="2876" spans="1:30" x14ac:dyDescent="0.25">
      <c r="A2876">
        <v>1435</v>
      </c>
      <c r="B2876">
        <v>4209</v>
      </c>
      <c r="C2876" t="s">
        <v>1153</v>
      </c>
      <c r="D2876" t="s">
        <v>75</v>
      </c>
      <c r="E2876" t="s">
        <v>107</v>
      </c>
      <c r="F2876" t="s">
        <v>5356</v>
      </c>
      <c r="G2876" t="str">
        <f>"00157724"</f>
        <v>00157724</v>
      </c>
      <c r="H2876" t="s">
        <v>553</v>
      </c>
      <c r="I2876">
        <v>0</v>
      </c>
      <c r="J2876">
        <v>0</v>
      </c>
      <c r="K2876">
        <v>0</v>
      </c>
      <c r="L2876">
        <v>0</v>
      </c>
      <c r="M2876">
        <v>0</v>
      </c>
      <c r="N2876">
        <v>30</v>
      </c>
      <c r="O2876">
        <v>0</v>
      </c>
      <c r="P2876">
        <v>0</v>
      </c>
      <c r="Q2876">
        <v>0</v>
      </c>
      <c r="R2876">
        <v>0</v>
      </c>
      <c r="S2876">
        <v>0</v>
      </c>
      <c r="T2876">
        <v>0</v>
      </c>
      <c r="U2876">
        <v>0</v>
      </c>
      <c r="V2876">
        <v>29</v>
      </c>
      <c r="W2876">
        <v>203</v>
      </c>
      <c r="X2876">
        <v>0</v>
      </c>
      <c r="Z2876">
        <v>1</v>
      </c>
      <c r="AA2876">
        <v>0</v>
      </c>
      <c r="AB2876">
        <v>0</v>
      </c>
      <c r="AC2876">
        <v>0</v>
      </c>
      <c r="AD2876" t="s">
        <v>5357</v>
      </c>
    </row>
    <row r="2877" spans="1:30" x14ac:dyDescent="0.25">
      <c r="H2877" t="s">
        <v>5358</v>
      </c>
    </row>
    <row r="2878" spans="1:30" x14ac:dyDescent="0.25">
      <c r="A2878">
        <v>1436</v>
      </c>
      <c r="B2878">
        <v>5594</v>
      </c>
      <c r="C2878" t="s">
        <v>1985</v>
      </c>
      <c r="D2878" t="s">
        <v>694</v>
      </c>
      <c r="E2878" t="s">
        <v>162</v>
      </c>
      <c r="F2878" t="s">
        <v>5359</v>
      </c>
      <c r="G2878" t="str">
        <f>"00273968"</f>
        <v>00273968</v>
      </c>
      <c r="H2878">
        <v>726</v>
      </c>
      <c r="I2878">
        <v>0</v>
      </c>
      <c r="J2878">
        <v>0</v>
      </c>
      <c r="K2878">
        <v>0</v>
      </c>
      <c r="L2878">
        <v>0</v>
      </c>
      <c r="M2878">
        <v>0</v>
      </c>
      <c r="N2878">
        <v>0</v>
      </c>
      <c r="O2878">
        <v>0</v>
      </c>
      <c r="P2878">
        <v>0</v>
      </c>
      <c r="Q2878">
        <v>0</v>
      </c>
      <c r="R2878">
        <v>0</v>
      </c>
      <c r="S2878">
        <v>0</v>
      </c>
      <c r="T2878">
        <v>0</v>
      </c>
      <c r="U2878">
        <v>0</v>
      </c>
      <c r="V2878">
        <v>45</v>
      </c>
      <c r="W2878">
        <v>315</v>
      </c>
      <c r="X2878">
        <v>0</v>
      </c>
      <c r="Z2878">
        <v>0</v>
      </c>
      <c r="AA2878">
        <v>0</v>
      </c>
      <c r="AB2878">
        <v>0</v>
      </c>
      <c r="AC2878">
        <v>0</v>
      </c>
      <c r="AD2878">
        <v>1041</v>
      </c>
    </row>
    <row r="2879" spans="1:30" x14ac:dyDescent="0.25">
      <c r="H2879" t="s">
        <v>5360</v>
      </c>
    </row>
    <row r="2880" spans="1:30" x14ac:dyDescent="0.25">
      <c r="A2880">
        <v>1437</v>
      </c>
      <c r="B2880">
        <v>4155</v>
      </c>
      <c r="C2880" t="s">
        <v>4228</v>
      </c>
      <c r="D2880" t="s">
        <v>420</v>
      </c>
      <c r="E2880" t="s">
        <v>40</v>
      </c>
      <c r="F2880" t="s">
        <v>5361</v>
      </c>
      <c r="G2880" t="str">
        <f>"201409005869"</f>
        <v>201409005869</v>
      </c>
      <c r="H2880">
        <v>825</v>
      </c>
      <c r="I2880">
        <v>0</v>
      </c>
      <c r="J2880">
        <v>0</v>
      </c>
      <c r="K2880">
        <v>0</v>
      </c>
      <c r="L2880">
        <v>0</v>
      </c>
      <c r="M2880">
        <v>0</v>
      </c>
      <c r="N2880">
        <v>30</v>
      </c>
      <c r="O2880">
        <v>0</v>
      </c>
      <c r="P2880">
        <v>0</v>
      </c>
      <c r="Q2880">
        <v>0</v>
      </c>
      <c r="R2880">
        <v>0</v>
      </c>
      <c r="S2880">
        <v>0</v>
      </c>
      <c r="T2880">
        <v>0</v>
      </c>
      <c r="U2880">
        <v>0</v>
      </c>
      <c r="V2880">
        <v>7</v>
      </c>
      <c r="W2880">
        <v>49</v>
      </c>
      <c r="X2880">
        <v>0</v>
      </c>
      <c r="Z2880">
        <v>0</v>
      </c>
      <c r="AA2880">
        <v>0</v>
      </c>
      <c r="AB2880">
        <v>8</v>
      </c>
      <c r="AC2880">
        <v>136</v>
      </c>
      <c r="AD2880">
        <v>1040</v>
      </c>
    </row>
    <row r="2881" spans="1:30" x14ac:dyDescent="0.25">
      <c r="H2881" t="s">
        <v>2162</v>
      </c>
    </row>
    <row r="2882" spans="1:30" x14ac:dyDescent="0.25">
      <c r="A2882">
        <v>1438</v>
      </c>
      <c r="B2882">
        <v>3677</v>
      </c>
      <c r="C2882" t="s">
        <v>5362</v>
      </c>
      <c r="D2882" t="s">
        <v>47</v>
      </c>
      <c r="E2882" t="s">
        <v>162</v>
      </c>
      <c r="F2882" t="s">
        <v>5363</v>
      </c>
      <c r="G2882" t="str">
        <f>"201410001181"</f>
        <v>201410001181</v>
      </c>
      <c r="H2882" t="s">
        <v>198</v>
      </c>
      <c r="I2882">
        <v>0</v>
      </c>
      <c r="J2882">
        <v>0</v>
      </c>
      <c r="K2882">
        <v>0</v>
      </c>
      <c r="L2882">
        <v>0</v>
      </c>
      <c r="M2882">
        <v>0</v>
      </c>
      <c r="N2882">
        <v>70</v>
      </c>
      <c r="O2882">
        <v>0</v>
      </c>
      <c r="P2882">
        <v>0</v>
      </c>
      <c r="Q2882">
        <v>0</v>
      </c>
      <c r="R2882">
        <v>0</v>
      </c>
      <c r="S2882">
        <v>0</v>
      </c>
      <c r="T2882">
        <v>0</v>
      </c>
      <c r="U2882">
        <v>0</v>
      </c>
      <c r="V2882">
        <v>21</v>
      </c>
      <c r="W2882">
        <v>147</v>
      </c>
      <c r="X2882">
        <v>0</v>
      </c>
      <c r="Z2882">
        <v>0</v>
      </c>
      <c r="AA2882">
        <v>0</v>
      </c>
      <c r="AB2882">
        <v>0</v>
      </c>
      <c r="AC2882">
        <v>0</v>
      </c>
      <c r="AD2882" t="s">
        <v>5364</v>
      </c>
    </row>
    <row r="2883" spans="1:30" x14ac:dyDescent="0.25">
      <c r="H2883" t="s">
        <v>5365</v>
      </c>
    </row>
    <row r="2884" spans="1:30" x14ac:dyDescent="0.25">
      <c r="A2884">
        <v>1439</v>
      </c>
      <c r="B2884">
        <v>4034</v>
      </c>
      <c r="C2884" t="s">
        <v>5366</v>
      </c>
      <c r="D2884" t="s">
        <v>335</v>
      </c>
      <c r="E2884" t="s">
        <v>107</v>
      </c>
      <c r="F2884" t="s">
        <v>5367</v>
      </c>
      <c r="G2884" t="str">
        <f>"00316606"</f>
        <v>00316606</v>
      </c>
      <c r="H2884" t="s">
        <v>519</v>
      </c>
      <c r="I2884">
        <v>0</v>
      </c>
      <c r="J2884">
        <v>0</v>
      </c>
      <c r="K2884">
        <v>0</v>
      </c>
      <c r="L2884">
        <v>0</v>
      </c>
      <c r="M2884">
        <v>0</v>
      </c>
      <c r="N2884">
        <v>30</v>
      </c>
      <c r="O2884">
        <v>0</v>
      </c>
      <c r="P2884">
        <v>0</v>
      </c>
      <c r="Q2884">
        <v>0</v>
      </c>
      <c r="R2884">
        <v>0</v>
      </c>
      <c r="S2884">
        <v>0</v>
      </c>
      <c r="T2884">
        <v>0</v>
      </c>
      <c r="U2884">
        <v>0</v>
      </c>
      <c r="V2884">
        <v>12</v>
      </c>
      <c r="W2884">
        <v>84</v>
      </c>
      <c r="X2884">
        <v>0</v>
      </c>
      <c r="Z2884">
        <v>0</v>
      </c>
      <c r="AA2884">
        <v>0</v>
      </c>
      <c r="AB2884">
        <v>10</v>
      </c>
      <c r="AC2884">
        <v>170</v>
      </c>
      <c r="AD2884" t="s">
        <v>5368</v>
      </c>
    </row>
    <row r="2885" spans="1:30" x14ac:dyDescent="0.25">
      <c r="H2885" t="s">
        <v>5369</v>
      </c>
    </row>
    <row r="2886" spans="1:30" x14ac:dyDescent="0.25">
      <c r="A2886">
        <v>1440</v>
      </c>
      <c r="B2886">
        <v>4865</v>
      </c>
      <c r="C2886" t="s">
        <v>5370</v>
      </c>
      <c r="D2886" t="s">
        <v>330</v>
      </c>
      <c r="E2886" t="s">
        <v>47</v>
      </c>
      <c r="F2886" t="s">
        <v>5371</v>
      </c>
      <c r="G2886" t="str">
        <f>"00360417"</f>
        <v>00360417</v>
      </c>
      <c r="H2886" t="s">
        <v>933</v>
      </c>
      <c r="I2886">
        <v>0</v>
      </c>
      <c r="J2886">
        <v>0</v>
      </c>
      <c r="K2886">
        <v>0</v>
      </c>
      <c r="L2886">
        <v>0</v>
      </c>
      <c r="M2886">
        <v>0</v>
      </c>
      <c r="N2886">
        <v>70</v>
      </c>
      <c r="O2886">
        <v>0</v>
      </c>
      <c r="P2886">
        <v>0</v>
      </c>
      <c r="Q2886">
        <v>0</v>
      </c>
      <c r="R2886">
        <v>0</v>
      </c>
      <c r="S2886">
        <v>0</v>
      </c>
      <c r="T2886">
        <v>0</v>
      </c>
      <c r="U2886">
        <v>0</v>
      </c>
      <c r="V2886">
        <v>36</v>
      </c>
      <c r="W2886">
        <v>252</v>
      </c>
      <c r="X2886">
        <v>0</v>
      </c>
      <c r="Z2886">
        <v>0</v>
      </c>
      <c r="AA2886">
        <v>0</v>
      </c>
      <c r="AB2886">
        <v>0</v>
      </c>
      <c r="AC2886">
        <v>0</v>
      </c>
      <c r="AD2886" t="s">
        <v>5372</v>
      </c>
    </row>
    <row r="2887" spans="1:30" x14ac:dyDescent="0.25">
      <c r="H2887" t="s">
        <v>5373</v>
      </c>
    </row>
    <row r="2888" spans="1:30" x14ac:dyDescent="0.25">
      <c r="A2888">
        <v>1441</v>
      </c>
      <c r="B2888">
        <v>1564</v>
      </c>
      <c r="C2888" t="s">
        <v>5374</v>
      </c>
      <c r="D2888" t="s">
        <v>526</v>
      </c>
      <c r="E2888" t="s">
        <v>39</v>
      </c>
      <c r="F2888" t="s">
        <v>5375</v>
      </c>
      <c r="G2888" t="str">
        <f>"00209073"</f>
        <v>00209073</v>
      </c>
      <c r="H2888" t="s">
        <v>4801</v>
      </c>
      <c r="I2888">
        <v>0</v>
      </c>
      <c r="J2888">
        <v>0</v>
      </c>
      <c r="K2888">
        <v>0</v>
      </c>
      <c r="L2888">
        <v>0</v>
      </c>
      <c r="M2888">
        <v>0</v>
      </c>
      <c r="N2888">
        <v>30</v>
      </c>
      <c r="O2888">
        <v>0</v>
      </c>
      <c r="P2888">
        <v>0</v>
      </c>
      <c r="Q2888">
        <v>0</v>
      </c>
      <c r="R2888">
        <v>0</v>
      </c>
      <c r="S2888">
        <v>0</v>
      </c>
      <c r="T2888">
        <v>0</v>
      </c>
      <c r="U2888">
        <v>0</v>
      </c>
      <c r="V2888">
        <v>5</v>
      </c>
      <c r="W2888">
        <v>35</v>
      </c>
      <c r="X2888">
        <v>0</v>
      </c>
      <c r="Z2888">
        <v>0</v>
      </c>
      <c r="AA2888">
        <v>0</v>
      </c>
      <c r="AB2888">
        <v>13</v>
      </c>
      <c r="AC2888">
        <v>221</v>
      </c>
      <c r="AD2888" t="s">
        <v>5376</v>
      </c>
    </row>
    <row r="2889" spans="1:30" x14ac:dyDescent="0.25">
      <c r="H2889" t="s">
        <v>5377</v>
      </c>
    </row>
    <row r="2890" spans="1:30" x14ac:dyDescent="0.25">
      <c r="A2890">
        <v>1442</v>
      </c>
      <c r="B2890">
        <v>1497</v>
      </c>
      <c r="C2890" t="s">
        <v>5378</v>
      </c>
      <c r="D2890" t="s">
        <v>143</v>
      </c>
      <c r="E2890" t="s">
        <v>162</v>
      </c>
      <c r="F2890" t="s">
        <v>5379</v>
      </c>
      <c r="G2890" t="str">
        <f>"201511027393"</f>
        <v>201511027393</v>
      </c>
      <c r="H2890">
        <v>726</v>
      </c>
      <c r="I2890">
        <v>0</v>
      </c>
      <c r="J2890">
        <v>0</v>
      </c>
      <c r="K2890">
        <v>0</v>
      </c>
      <c r="L2890">
        <v>0</v>
      </c>
      <c r="M2890">
        <v>0</v>
      </c>
      <c r="N2890">
        <v>0</v>
      </c>
      <c r="O2890">
        <v>0</v>
      </c>
      <c r="P2890">
        <v>0</v>
      </c>
      <c r="Q2890">
        <v>0</v>
      </c>
      <c r="R2890">
        <v>0</v>
      </c>
      <c r="S2890">
        <v>0</v>
      </c>
      <c r="T2890">
        <v>0</v>
      </c>
      <c r="U2890">
        <v>0</v>
      </c>
      <c r="V2890">
        <v>25</v>
      </c>
      <c r="W2890">
        <v>175</v>
      </c>
      <c r="X2890">
        <v>0</v>
      </c>
      <c r="Z2890">
        <v>2</v>
      </c>
      <c r="AA2890">
        <v>0</v>
      </c>
      <c r="AB2890">
        <v>8</v>
      </c>
      <c r="AC2890">
        <v>136</v>
      </c>
      <c r="AD2890">
        <v>1037</v>
      </c>
    </row>
    <row r="2891" spans="1:30" x14ac:dyDescent="0.25">
      <c r="H2891" t="s">
        <v>5380</v>
      </c>
    </row>
    <row r="2892" spans="1:30" x14ac:dyDescent="0.25">
      <c r="A2892">
        <v>1443</v>
      </c>
      <c r="B2892">
        <v>5541</v>
      </c>
      <c r="C2892" t="s">
        <v>5381</v>
      </c>
      <c r="D2892" t="s">
        <v>103</v>
      </c>
      <c r="E2892" t="s">
        <v>183</v>
      </c>
      <c r="F2892" t="s">
        <v>5382</v>
      </c>
      <c r="G2892" t="str">
        <f>"00358098"</f>
        <v>00358098</v>
      </c>
      <c r="H2892">
        <v>715</v>
      </c>
      <c r="I2892">
        <v>0</v>
      </c>
      <c r="J2892">
        <v>0</v>
      </c>
      <c r="K2892">
        <v>0</v>
      </c>
      <c r="L2892">
        <v>0</v>
      </c>
      <c r="M2892">
        <v>0</v>
      </c>
      <c r="N2892">
        <v>0</v>
      </c>
      <c r="O2892">
        <v>0</v>
      </c>
      <c r="P2892">
        <v>0</v>
      </c>
      <c r="Q2892">
        <v>0</v>
      </c>
      <c r="R2892">
        <v>0</v>
      </c>
      <c r="S2892">
        <v>0</v>
      </c>
      <c r="T2892">
        <v>0</v>
      </c>
      <c r="U2892">
        <v>0</v>
      </c>
      <c r="V2892">
        <v>46</v>
      </c>
      <c r="W2892">
        <v>322</v>
      </c>
      <c r="X2892">
        <v>0</v>
      </c>
      <c r="Z2892">
        <v>0</v>
      </c>
      <c r="AA2892">
        <v>0</v>
      </c>
      <c r="AB2892">
        <v>0</v>
      </c>
      <c r="AC2892">
        <v>0</v>
      </c>
      <c r="AD2892">
        <v>1037</v>
      </c>
    </row>
    <row r="2893" spans="1:30" x14ac:dyDescent="0.25">
      <c r="H2893">
        <v>1250</v>
      </c>
    </row>
    <row r="2894" spans="1:30" x14ac:dyDescent="0.25">
      <c r="A2894">
        <v>1444</v>
      </c>
      <c r="B2894">
        <v>3162</v>
      </c>
      <c r="C2894" t="s">
        <v>5383</v>
      </c>
      <c r="D2894" t="s">
        <v>5083</v>
      </c>
      <c r="E2894" t="s">
        <v>33</v>
      </c>
      <c r="F2894" t="s">
        <v>5384</v>
      </c>
      <c r="G2894" t="str">
        <f>"201104000015"</f>
        <v>201104000015</v>
      </c>
      <c r="H2894" t="s">
        <v>1732</v>
      </c>
      <c r="I2894">
        <v>0</v>
      </c>
      <c r="J2894">
        <v>0</v>
      </c>
      <c r="K2894">
        <v>0</v>
      </c>
      <c r="L2894">
        <v>0</v>
      </c>
      <c r="M2894">
        <v>0</v>
      </c>
      <c r="N2894">
        <v>50</v>
      </c>
      <c r="O2894">
        <v>0</v>
      </c>
      <c r="P2894">
        <v>0</v>
      </c>
      <c r="Q2894">
        <v>0</v>
      </c>
      <c r="R2894">
        <v>0</v>
      </c>
      <c r="S2894">
        <v>0</v>
      </c>
      <c r="T2894">
        <v>0</v>
      </c>
      <c r="U2894">
        <v>0</v>
      </c>
      <c r="V2894">
        <v>50</v>
      </c>
      <c r="W2894">
        <v>350</v>
      </c>
      <c r="X2894">
        <v>0</v>
      </c>
      <c r="Z2894">
        <v>2</v>
      </c>
      <c r="AA2894">
        <v>0</v>
      </c>
      <c r="AB2894">
        <v>0</v>
      </c>
      <c r="AC2894">
        <v>0</v>
      </c>
      <c r="AD2894" t="s">
        <v>5385</v>
      </c>
    </row>
    <row r="2895" spans="1:30" x14ac:dyDescent="0.25">
      <c r="H2895" t="s">
        <v>5386</v>
      </c>
    </row>
    <row r="2896" spans="1:30" x14ac:dyDescent="0.25">
      <c r="A2896">
        <v>1445</v>
      </c>
      <c r="B2896">
        <v>3085</v>
      </c>
      <c r="C2896" t="s">
        <v>5387</v>
      </c>
      <c r="D2896" t="s">
        <v>1289</v>
      </c>
      <c r="E2896" t="s">
        <v>2426</v>
      </c>
      <c r="F2896" t="s">
        <v>5388</v>
      </c>
      <c r="G2896" t="str">
        <f>"201410012630"</f>
        <v>201410012630</v>
      </c>
      <c r="H2896" t="s">
        <v>1806</v>
      </c>
      <c r="I2896">
        <v>0</v>
      </c>
      <c r="J2896">
        <v>0</v>
      </c>
      <c r="K2896">
        <v>0</v>
      </c>
      <c r="L2896">
        <v>200</v>
      </c>
      <c r="M2896">
        <v>0</v>
      </c>
      <c r="N2896">
        <v>50</v>
      </c>
      <c r="O2896">
        <v>0</v>
      </c>
      <c r="P2896">
        <v>0</v>
      </c>
      <c r="Q2896">
        <v>0</v>
      </c>
      <c r="R2896">
        <v>0</v>
      </c>
      <c r="S2896">
        <v>0</v>
      </c>
      <c r="T2896">
        <v>0</v>
      </c>
      <c r="U2896">
        <v>0</v>
      </c>
      <c r="V2896">
        <v>6</v>
      </c>
      <c r="W2896">
        <v>42</v>
      </c>
      <c r="X2896">
        <v>0</v>
      </c>
      <c r="Z2896">
        <v>1</v>
      </c>
      <c r="AA2896">
        <v>0</v>
      </c>
      <c r="AB2896">
        <v>0</v>
      </c>
      <c r="AC2896">
        <v>0</v>
      </c>
      <c r="AD2896" t="s">
        <v>5389</v>
      </c>
    </row>
    <row r="2897" spans="1:30" x14ac:dyDescent="0.25">
      <c r="H2897" t="s">
        <v>3908</v>
      </c>
    </row>
    <row r="2898" spans="1:30" x14ac:dyDescent="0.25">
      <c r="A2898">
        <v>1446</v>
      </c>
      <c r="B2898">
        <v>3851</v>
      </c>
      <c r="C2898" t="s">
        <v>5390</v>
      </c>
      <c r="D2898" t="s">
        <v>75</v>
      </c>
      <c r="E2898" t="s">
        <v>115</v>
      </c>
      <c r="F2898" t="s">
        <v>5391</v>
      </c>
      <c r="G2898" t="str">
        <f>"201511012346"</f>
        <v>201511012346</v>
      </c>
      <c r="H2898">
        <v>748</v>
      </c>
      <c r="I2898">
        <v>0</v>
      </c>
      <c r="J2898">
        <v>0</v>
      </c>
      <c r="K2898">
        <v>0</v>
      </c>
      <c r="L2898">
        <v>0</v>
      </c>
      <c r="M2898">
        <v>0</v>
      </c>
      <c r="N2898">
        <v>0</v>
      </c>
      <c r="O2898">
        <v>0</v>
      </c>
      <c r="P2898">
        <v>0</v>
      </c>
      <c r="Q2898">
        <v>0</v>
      </c>
      <c r="R2898">
        <v>0</v>
      </c>
      <c r="S2898">
        <v>0</v>
      </c>
      <c r="T2898">
        <v>0</v>
      </c>
      <c r="U2898">
        <v>0</v>
      </c>
      <c r="V2898">
        <v>19</v>
      </c>
      <c r="W2898">
        <v>133</v>
      </c>
      <c r="X2898">
        <v>0</v>
      </c>
      <c r="Z2898">
        <v>0</v>
      </c>
      <c r="AA2898">
        <v>0</v>
      </c>
      <c r="AB2898">
        <v>9</v>
      </c>
      <c r="AC2898">
        <v>153</v>
      </c>
      <c r="AD2898">
        <v>1034</v>
      </c>
    </row>
    <row r="2899" spans="1:30" x14ac:dyDescent="0.25">
      <c r="H2899" t="s">
        <v>5392</v>
      </c>
    </row>
    <row r="2900" spans="1:30" x14ac:dyDescent="0.25">
      <c r="A2900">
        <v>1447</v>
      </c>
      <c r="B2900">
        <v>4321</v>
      </c>
      <c r="C2900" t="s">
        <v>5393</v>
      </c>
      <c r="D2900" t="s">
        <v>5394</v>
      </c>
      <c r="E2900" t="s">
        <v>1620</v>
      </c>
      <c r="F2900" t="s">
        <v>5395</v>
      </c>
      <c r="G2900" t="str">
        <f>"00334137"</f>
        <v>00334137</v>
      </c>
      <c r="H2900">
        <v>627</v>
      </c>
      <c r="I2900">
        <v>0</v>
      </c>
      <c r="J2900">
        <v>0</v>
      </c>
      <c r="K2900">
        <v>0</v>
      </c>
      <c r="L2900">
        <v>0</v>
      </c>
      <c r="M2900">
        <v>0</v>
      </c>
      <c r="N2900">
        <v>0</v>
      </c>
      <c r="O2900">
        <v>0</v>
      </c>
      <c r="P2900">
        <v>0</v>
      </c>
      <c r="Q2900">
        <v>0</v>
      </c>
      <c r="R2900">
        <v>0</v>
      </c>
      <c r="S2900">
        <v>0</v>
      </c>
      <c r="T2900">
        <v>0</v>
      </c>
      <c r="U2900">
        <v>0</v>
      </c>
      <c r="V2900">
        <v>58</v>
      </c>
      <c r="W2900">
        <v>406</v>
      </c>
      <c r="X2900">
        <v>0</v>
      </c>
      <c r="Z2900">
        <v>0</v>
      </c>
      <c r="AA2900">
        <v>0</v>
      </c>
      <c r="AB2900">
        <v>0</v>
      </c>
      <c r="AC2900">
        <v>0</v>
      </c>
      <c r="AD2900">
        <v>1033</v>
      </c>
    </row>
    <row r="2901" spans="1:30" x14ac:dyDescent="0.25">
      <c r="H2901" t="s">
        <v>5396</v>
      </c>
    </row>
    <row r="2902" spans="1:30" x14ac:dyDescent="0.25">
      <c r="A2902">
        <v>1448</v>
      </c>
      <c r="B2902">
        <v>32</v>
      </c>
      <c r="C2902" t="s">
        <v>5397</v>
      </c>
      <c r="D2902" t="s">
        <v>40</v>
      </c>
      <c r="E2902" t="s">
        <v>107</v>
      </c>
      <c r="F2902" t="s">
        <v>5398</v>
      </c>
      <c r="G2902" t="str">
        <f>"201604001684"</f>
        <v>201604001684</v>
      </c>
      <c r="H2902" t="s">
        <v>1949</v>
      </c>
      <c r="I2902">
        <v>0</v>
      </c>
      <c r="J2902">
        <v>0</v>
      </c>
      <c r="K2902">
        <v>0</v>
      </c>
      <c r="L2902">
        <v>0</v>
      </c>
      <c r="M2902">
        <v>0</v>
      </c>
      <c r="N2902">
        <v>0</v>
      </c>
      <c r="O2902">
        <v>0</v>
      </c>
      <c r="P2902">
        <v>0</v>
      </c>
      <c r="Q2902">
        <v>0</v>
      </c>
      <c r="R2902">
        <v>0</v>
      </c>
      <c r="S2902">
        <v>0</v>
      </c>
      <c r="T2902">
        <v>0</v>
      </c>
      <c r="U2902">
        <v>0</v>
      </c>
      <c r="V2902">
        <v>44</v>
      </c>
      <c r="W2902">
        <v>308</v>
      </c>
      <c r="X2902">
        <v>0</v>
      </c>
      <c r="Z2902">
        <v>0</v>
      </c>
      <c r="AA2902">
        <v>0</v>
      </c>
      <c r="AB2902">
        <v>0</v>
      </c>
      <c r="AC2902">
        <v>0</v>
      </c>
      <c r="AD2902" t="s">
        <v>5399</v>
      </c>
    </row>
    <row r="2903" spans="1:30" x14ac:dyDescent="0.25">
      <c r="H2903" t="s">
        <v>1229</v>
      </c>
    </row>
    <row r="2904" spans="1:30" x14ac:dyDescent="0.25">
      <c r="A2904">
        <v>1449</v>
      </c>
      <c r="B2904">
        <v>3816</v>
      </c>
      <c r="C2904" t="s">
        <v>5400</v>
      </c>
      <c r="D2904" t="s">
        <v>239</v>
      </c>
      <c r="E2904" t="s">
        <v>39</v>
      </c>
      <c r="F2904" t="s">
        <v>5401</v>
      </c>
      <c r="G2904" t="str">
        <f>"201502001694"</f>
        <v>201502001694</v>
      </c>
      <c r="H2904" t="s">
        <v>1227</v>
      </c>
      <c r="I2904">
        <v>0</v>
      </c>
      <c r="J2904">
        <v>0</v>
      </c>
      <c r="K2904">
        <v>0</v>
      </c>
      <c r="L2904">
        <v>0</v>
      </c>
      <c r="M2904">
        <v>0</v>
      </c>
      <c r="N2904">
        <v>70</v>
      </c>
      <c r="O2904">
        <v>0</v>
      </c>
      <c r="P2904">
        <v>0</v>
      </c>
      <c r="Q2904">
        <v>0</v>
      </c>
      <c r="R2904">
        <v>0</v>
      </c>
      <c r="S2904">
        <v>0</v>
      </c>
      <c r="T2904">
        <v>0</v>
      </c>
      <c r="U2904">
        <v>0</v>
      </c>
      <c r="V2904">
        <v>36</v>
      </c>
      <c r="W2904">
        <v>252</v>
      </c>
      <c r="X2904">
        <v>0</v>
      </c>
      <c r="Z2904">
        <v>0</v>
      </c>
      <c r="AA2904">
        <v>0</v>
      </c>
      <c r="AB2904">
        <v>0</v>
      </c>
      <c r="AC2904">
        <v>0</v>
      </c>
      <c r="AD2904" t="s">
        <v>5402</v>
      </c>
    </row>
    <row r="2905" spans="1:30" x14ac:dyDescent="0.25">
      <c r="H2905" t="s">
        <v>1601</v>
      </c>
    </row>
    <row r="2906" spans="1:30" x14ac:dyDescent="0.25">
      <c r="A2906">
        <v>1450</v>
      </c>
      <c r="B2906">
        <v>6043</v>
      </c>
      <c r="C2906" t="s">
        <v>5403</v>
      </c>
      <c r="D2906" t="s">
        <v>5404</v>
      </c>
      <c r="E2906" t="s">
        <v>108</v>
      </c>
      <c r="F2906" t="s">
        <v>5405</v>
      </c>
      <c r="G2906" t="str">
        <f>"00362396"</f>
        <v>00362396</v>
      </c>
      <c r="H2906" t="s">
        <v>1806</v>
      </c>
      <c r="I2906">
        <v>0</v>
      </c>
      <c r="J2906">
        <v>0</v>
      </c>
      <c r="K2906">
        <v>0</v>
      </c>
      <c r="L2906">
        <v>0</v>
      </c>
      <c r="M2906">
        <v>0</v>
      </c>
      <c r="N2906">
        <v>30</v>
      </c>
      <c r="O2906">
        <v>50</v>
      </c>
      <c r="P2906">
        <v>0</v>
      </c>
      <c r="Q2906">
        <v>0</v>
      </c>
      <c r="R2906">
        <v>0</v>
      </c>
      <c r="S2906">
        <v>0</v>
      </c>
      <c r="T2906">
        <v>0</v>
      </c>
      <c r="U2906">
        <v>0</v>
      </c>
      <c r="V2906">
        <v>30</v>
      </c>
      <c r="W2906">
        <v>210</v>
      </c>
      <c r="X2906">
        <v>0</v>
      </c>
      <c r="Z2906">
        <v>0</v>
      </c>
      <c r="AA2906">
        <v>0</v>
      </c>
      <c r="AB2906">
        <v>0</v>
      </c>
      <c r="AC2906">
        <v>0</v>
      </c>
      <c r="AD2906" t="s">
        <v>5406</v>
      </c>
    </row>
    <row r="2907" spans="1:30" x14ac:dyDescent="0.25">
      <c r="H2907" t="s">
        <v>3337</v>
      </c>
    </row>
    <row r="2908" spans="1:30" x14ac:dyDescent="0.25">
      <c r="A2908">
        <v>1451</v>
      </c>
      <c r="B2908">
        <v>3504</v>
      </c>
      <c r="C2908" t="s">
        <v>5407</v>
      </c>
      <c r="D2908" t="s">
        <v>262</v>
      </c>
      <c r="E2908" t="s">
        <v>509</v>
      </c>
      <c r="F2908" t="s">
        <v>5408</v>
      </c>
      <c r="G2908" t="str">
        <f>"200802007469"</f>
        <v>200802007469</v>
      </c>
      <c r="H2908" t="s">
        <v>1101</v>
      </c>
      <c r="I2908">
        <v>0</v>
      </c>
      <c r="J2908">
        <v>0</v>
      </c>
      <c r="K2908">
        <v>0</v>
      </c>
      <c r="L2908">
        <v>0</v>
      </c>
      <c r="M2908">
        <v>0</v>
      </c>
      <c r="N2908">
        <v>30</v>
      </c>
      <c r="O2908">
        <v>0</v>
      </c>
      <c r="P2908">
        <v>0</v>
      </c>
      <c r="Q2908">
        <v>0</v>
      </c>
      <c r="R2908">
        <v>0</v>
      </c>
      <c r="S2908">
        <v>0</v>
      </c>
      <c r="T2908">
        <v>0</v>
      </c>
      <c r="U2908">
        <v>0</v>
      </c>
      <c r="V2908">
        <v>45</v>
      </c>
      <c r="W2908">
        <v>315</v>
      </c>
      <c r="X2908">
        <v>0</v>
      </c>
      <c r="Z2908">
        <v>0</v>
      </c>
      <c r="AA2908">
        <v>0</v>
      </c>
      <c r="AB2908">
        <v>0</v>
      </c>
      <c r="AC2908">
        <v>0</v>
      </c>
      <c r="AD2908" t="s">
        <v>5406</v>
      </c>
    </row>
    <row r="2909" spans="1:30" x14ac:dyDescent="0.25">
      <c r="H2909" t="s">
        <v>5409</v>
      </c>
    </row>
    <row r="2910" spans="1:30" x14ac:dyDescent="0.25">
      <c r="A2910">
        <v>1452</v>
      </c>
      <c r="B2910">
        <v>6212</v>
      </c>
      <c r="C2910" t="s">
        <v>891</v>
      </c>
      <c r="D2910" t="s">
        <v>420</v>
      </c>
      <c r="E2910" t="s">
        <v>108</v>
      </c>
      <c r="F2910" t="s">
        <v>5410</v>
      </c>
      <c r="G2910" t="str">
        <f>"201402009933"</f>
        <v>201402009933</v>
      </c>
      <c r="H2910" t="s">
        <v>2126</v>
      </c>
      <c r="I2910">
        <v>0</v>
      </c>
      <c r="J2910">
        <v>0</v>
      </c>
      <c r="K2910">
        <v>0</v>
      </c>
      <c r="L2910">
        <v>0</v>
      </c>
      <c r="M2910">
        <v>0</v>
      </c>
      <c r="N2910">
        <v>50</v>
      </c>
      <c r="O2910">
        <v>0</v>
      </c>
      <c r="P2910">
        <v>0</v>
      </c>
      <c r="Q2910">
        <v>0</v>
      </c>
      <c r="R2910">
        <v>0</v>
      </c>
      <c r="S2910">
        <v>0</v>
      </c>
      <c r="T2910">
        <v>0</v>
      </c>
      <c r="U2910">
        <v>0</v>
      </c>
      <c r="V2910">
        <v>0</v>
      </c>
      <c r="W2910">
        <v>0</v>
      </c>
      <c r="X2910">
        <v>0</v>
      </c>
      <c r="Z2910">
        <v>0</v>
      </c>
      <c r="AA2910">
        <v>0</v>
      </c>
      <c r="AB2910">
        <v>18</v>
      </c>
      <c r="AC2910">
        <v>306</v>
      </c>
      <c r="AD2910" t="s">
        <v>5406</v>
      </c>
    </row>
    <row r="2911" spans="1:30" x14ac:dyDescent="0.25">
      <c r="H2911" t="s">
        <v>4575</v>
      </c>
    </row>
    <row r="2912" spans="1:30" x14ac:dyDescent="0.25">
      <c r="A2912">
        <v>1453</v>
      </c>
      <c r="B2912">
        <v>1267</v>
      </c>
      <c r="C2912" t="s">
        <v>5411</v>
      </c>
      <c r="D2912" t="s">
        <v>46</v>
      </c>
      <c r="E2912" t="s">
        <v>107</v>
      </c>
      <c r="F2912" t="s">
        <v>5412</v>
      </c>
      <c r="G2912" t="str">
        <f>"00147493"</f>
        <v>00147493</v>
      </c>
      <c r="H2912" t="s">
        <v>502</v>
      </c>
      <c r="I2912">
        <v>0</v>
      </c>
      <c r="J2912">
        <v>0</v>
      </c>
      <c r="K2912">
        <v>0</v>
      </c>
      <c r="L2912">
        <v>200</v>
      </c>
      <c r="M2912">
        <v>0</v>
      </c>
      <c r="N2912">
        <v>70</v>
      </c>
      <c r="O2912">
        <v>0</v>
      </c>
      <c r="P2912">
        <v>0</v>
      </c>
      <c r="Q2912">
        <v>0</v>
      </c>
      <c r="R2912">
        <v>0</v>
      </c>
      <c r="S2912">
        <v>0</v>
      </c>
      <c r="T2912">
        <v>0</v>
      </c>
      <c r="U2912">
        <v>0</v>
      </c>
      <c r="V2912">
        <v>1</v>
      </c>
      <c r="W2912">
        <v>7</v>
      </c>
      <c r="X2912">
        <v>0</v>
      </c>
      <c r="Z2912">
        <v>0</v>
      </c>
      <c r="AA2912">
        <v>0</v>
      </c>
      <c r="AB2912">
        <v>0</v>
      </c>
      <c r="AC2912">
        <v>0</v>
      </c>
      <c r="AD2912" t="s">
        <v>5413</v>
      </c>
    </row>
    <row r="2913" spans="1:30" x14ac:dyDescent="0.25">
      <c r="H2913" t="s">
        <v>5414</v>
      </c>
    </row>
    <row r="2914" spans="1:30" x14ac:dyDescent="0.25">
      <c r="A2914">
        <v>1454</v>
      </c>
      <c r="B2914">
        <v>5953</v>
      </c>
      <c r="C2914" t="s">
        <v>5415</v>
      </c>
      <c r="D2914" t="s">
        <v>40</v>
      </c>
      <c r="E2914" t="s">
        <v>47</v>
      </c>
      <c r="F2914" t="s">
        <v>5416</v>
      </c>
      <c r="G2914" t="str">
        <f>"201604001380"</f>
        <v>201604001380</v>
      </c>
      <c r="H2914" t="s">
        <v>168</v>
      </c>
      <c r="I2914">
        <v>0</v>
      </c>
      <c r="J2914">
        <v>0</v>
      </c>
      <c r="K2914">
        <v>0</v>
      </c>
      <c r="L2914">
        <v>0</v>
      </c>
      <c r="M2914">
        <v>0</v>
      </c>
      <c r="N2914">
        <v>0</v>
      </c>
      <c r="O2914">
        <v>0</v>
      </c>
      <c r="P2914">
        <v>0</v>
      </c>
      <c r="Q2914">
        <v>0</v>
      </c>
      <c r="R2914">
        <v>0</v>
      </c>
      <c r="S2914">
        <v>0</v>
      </c>
      <c r="T2914">
        <v>0</v>
      </c>
      <c r="U2914">
        <v>0</v>
      </c>
      <c r="V2914">
        <v>-24</v>
      </c>
      <c r="W2914">
        <v>-168</v>
      </c>
      <c r="X2914">
        <v>0</v>
      </c>
      <c r="Z2914">
        <v>2</v>
      </c>
      <c r="AA2914">
        <v>0</v>
      </c>
      <c r="AB2914">
        <v>24</v>
      </c>
      <c r="AC2914">
        <v>408</v>
      </c>
      <c r="AD2914" t="s">
        <v>5417</v>
      </c>
    </row>
    <row r="2915" spans="1:30" x14ac:dyDescent="0.25">
      <c r="H2915" t="s">
        <v>5418</v>
      </c>
    </row>
    <row r="2916" spans="1:30" x14ac:dyDescent="0.25">
      <c r="A2916">
        <v>1455</v>
      </c>
      <c r="B2916">
        <v>5379</v>
      </c>
      <c r="C2916" t="s">
        <v>5419</v>
      </c>
      <c r="D2916" t="s">
        <v>143</v>
      </c>
      <c r="E2916" t="s">
        <v>51</v>
      </c>
      <c r="F2916" t="s">
        <v>5420</v>
      </c>
      <c r="G2916" t="str">
        <f>"201511025650"</f>
        <v>201511025650</v>
      </c>
      <c r="H2916">
        <v>748</v>
      </c>
      <c r="I2916">
        <v>0</v>
      </c>
      <c r="J2916">
        <v>0</v>
      </c>
      <c r="K2916">
        <v>0</v>
      </c>
      <c r="L2916">
        <v>0</v>
      </c>
      <c r="M2916">
        <v>0</v>
      </c>
      <c r="N2916">
        <v>30</v>
      </c>
      <c r="O2916">
        <v>0</v>
      </c>
      <c r="P2916">
        <v>0</v>
      </c>
      <c r="Q2916">
        <v>0</v>
      </c>
      <c r="R2916">
        <v>0</v>
      </c>
      <c r="S2916">
        <v>0</v>
      </c>
      <c r="T2916">
        <v>0</v>
      </c>
      <c r="U2916">
        <v>0</v>
      </c>
      <c r="V2916">
        <v>36</v>
      </c>
      <c r="W2916">
        <v>252</v>
      </c>
      <c r="X2916">
        <v>0</v>
      </c>
      <c r="Z2916">
        <v>0</v>
      </c>
      <c r="AA2916">
        <v>0</v>
      </c>
      <c r="AB2916">
        <v>0</v>
      </c>
      <c r="AC2916">
        <v>0</v>
      </c>
      <c r="AD2916">
        <v>1030</v>
      </c>
    </row>
    <row r="2917" spans="1:30" x14ac:dyDescent="0.25">
      <c r="H2917" t="s">
        <v>5421</v>
      </c>
    </row>
    <row r="2918" spans="1:30" x14ac:dyDescent="0.25">
      <c r="A2918">
        <v>1456</v>
      </c>
      <c r="B2918">
        <v>5723</v>
      </c>
      <c r="C2918" t="s">
        <v>5422</v>
      </c>
      <c r="D2918" t="s">
        <v>103</v>
      </c>
      <c r="E2918" t="s">
        <v>40</v>
      </c>
      <c r="F2918" t="s">
        <v>5423</v>
      </c>
      <c r="G2918" t="str">
        <f>"00333531"</f>
        <v>00333531</v>
      </c>
      <c r="H2918" t="s">
        <v>375</v>
      </c>
      <c r="I2918">
        <v>0</v>
      </c>
      <c r="J2918">
        <v>0</v>
      </c>
      <c r="K2918">
        <v>0</v>
      </c>
      <c r="L2918">
        <v>0</v>
      </c>
      <c r="M2918">
        <v>0</v>
      </c>
      <c r="N2918">
        <v>30</v>
      </c>
      <c r="O2918">
        <v>0</v>
      </c>
      <c r="P2918">
        <v>0</v>
      </c>
      <c r="Q2918">
        <v>0</v>
      </c>
      <c r="R2918">
        <v>0</v>
      </c>
      <c r="S2918">
        <v>0</v>
      </c>
      <c r="T2918">
        <v>0</v>
      </c>
      <c r="U2918">
        <v>0</v>
      </c>
      <c r="V2918">
        <v>18</v>
      </c>
      <c r="W2918">
        <v>126</v>
      </c>
      <c r="X2918">
        <v>0</v>
      </c>
      <c r="Z2918">
        <v>0</v>
      </c>
      <c r="AA2918">
        <v>0</v>
      </c>
      <c r="AB2918">
        <v>0</v>
      </c>
      <c r="AC2918">
        <v>0</v>
      </c>
      <c r="AD2918" t="s">
        <v>5424</v>
      </c>
    </row>
    <row r="2919" spans="1:30" x14ac:dyDescent="0.25">
      <c r="H2919" t="s">
        <v>5425</v>
      </c>
    </row>
    <row r="2920" spans="1:30" x14ac:dyDescent="0.25">
      <c r="A2920">
        <v>1457</v>
      </c>
      <c r="B2920">
        <v>1955</v>
      </c>
      <c r="C2920" t="s">
        <v>3528</v>
      </c>
      <c r="D2920" t="s">
        <v>335</v>
      </c>
      <c r="E2920" t="s">
        <v>40</v>
      </c>
      <c r="F2920" t="s">
        <v>5426</v>
      </c>
      <c r="G2920" t="str">
        <f>"201304002924"</f>
        <v>201304002924</v>
      </c>
      <c r="H2920" t="s">
        <v>388</v>
      </c>
      <c r="I2920">
        <v>0</v>
      </c>
      <c r="J2920">
        <v>0</v>
      </c>
      <c r="K2920">
        <v>0</v>
      </c>
      <c r="L2920">
        <v>0</v>
      </c>
      <c r="M2920">
        <v>0</v>
      </c>
      <c r="N2920">
        <v>70</v>
      </c>
      <c r="O2920">
        <v>0</v>
      </c>
      <c r="P2920">
        <v>0</v>
      </c>
      <c r="Q2920">
        <v>0</v>
      </c>
      <c r="R2920">
        <v>0</v>
      </c>
      <c r="S2920">
        <v>0</v>
      </c>
      <c r="T2920">
        <v>0</v>
      </c>
      <c r="U2920">
        <v>0</v>
      </c>
      <c r="V2920">
        <v>37</v>
      </c>
      <c r="W2920">
        <v>259</v>
      </c>
      <c r="X2920">
        <v>0</v>
      </c>
      <c r="Z2920">
        <v>0</v>
      </c>
      <c r="AA2920">
        <v>0</v>
      </c>
      <c r="AB2920">
        <v>0</v>
      </c>
      <c r="AC2920">
        <v>0</v>
      </c>
      <c r="AD2920" t="s">
        <v>5427</v>
      </c>
    </row>
    <row r="2921" spans="1:30" x14ac:dyDescent="0.25">
      <c r="H2921" t="s">
        <v>5428</v>
      </c>
    </row>
    <row r="2922" spans="1:30" x14ac:dyDescent="0.25">
      <c r="A2922">
        <v>1458</v>
      </c>
      <c r="B2922">
        <v>5069</v>
      </c>
      <c r="C2922" t="s">
        <v>5429</v>
      </c>
      <c r="D2922" t="s">
        <v>1555</v>
      </c>
      <c r="E2922" t="s">
        <v>183</v>
      </c>
      <c r="F2922" t="s">
        <v>5430</v>
      </c>
      <c r="G2922" t="str">
        <f>"00358065"</f>
        <v>00358065</v>
      </c>
      <c r="H2922" t="s">
        <v>241</v>
      </c>
      <c r="I2922">
        <v>0</v>
      </c>
      <c r="J2922">
        <v>0</v>
      </c>
      <c r="K2922">
        <v>0</v>
      </c>
      <c r="L2922">
        <v>0</v>
      </c>
      <c r="M2922">
        <v>0</v>
      </c>
      <c r="N2922">
        <v>0</v>
      </c>
      <c r="O2922">
        <v>0</v>
      </c>
      <c r="P2922">
        <v>0</v>
      </c>
      <c r="Q2922">
        <v>0</v>
      </c>
      <c r="R2922">
        <v>0</v>
      </c>
      <c r="S2922">
        <v>0</v>
      </c>
      <c r="T2922">
        <v>0</v>
      </c>
      <c r="U2922">
        <v>0</v>
      </c>
      <c r="V2922">
        <v>44</v>
      </c>
      <c r="W2922">
        <v>308</v>
      </c>
      <c r="X2922">
        <v>0</v>
      </c>
      <c r="Z2922">
        <v>0</v>
      </c>
      <c r="AA2922">
        <v>0</v>
      </c>
      <c r="AB2922">
        <v>0</v>
      </c>
      <c r="AC2922">
        <v>0</v>
      </c>
      <c r="AD2922" t="s">
        <v>5431</v>
      </c>
    </row>
    <row r="2923" spans="1:30" x14ac:dyDescent="0.25">
      <c r="H2923" t="s">
        <v>5432</v>
      </c>
    </row>
    <row r="2924" spans="1:30" x14ac:dyDescent="0.25">
      <c r="A2924">
        <v>1459</v>
      </c>
      <c r="B2924">
        <v>2887</v>
      </c>
      <c r="C2924" t="s">
        <v>5433</v>
      </c>
      <c r="D2924" t="s">
        <v>107</v>
      </c>
      <c r="E2924" t="s">
        <v>2487</v>
      </c>
      <c r="F2924" t="s">
        <v>5434</v>
      </c>
      <c r="G2924" t="str">
        <f>"201606000143"</f>
        <v>201606000143</v>
      </c>
      <c r="H2924" t="s">
        <v>1251</v>
      </c>
      <c r="I2924">
        <v>0</v>
      </c>
      <c r="J2924">
        <v>0</v>
      </c>
      <c r="K2924">
        <v>0</v>
      </c>
      <c r="L2924">
        <v>200</v>
      </c>
      <c r="M2924">
        <v>0</v>
      </c>
      <c r="N2924">
        <v>70</v>
      </c>
      <c r="O2924">
        <v>0</v>
      </c>
      <c r="P2924">
        <v>0</v>
      </c>
      <c r="Q2924">
        <v>0</v>
      </c>
      <c r="R2924">
        <v>0</v>
      </c>
      <c r="S2924">
        <v>0</v>
      </c>
      <c r="T2924">
        <v>0</v>
      </c>
      <c r="U2924">
        <v>0</v>
      </c>
      <c r="V2924">
        <v>4</v>
      </c>
      <c r="W2924">
        <v>28</v>
      </c>
      <c r="X2924">
        <v>0</v>
      </c>
      <c r="Z2924">
        <v>0</v>
      </c>
      <c r="AA2924">
        <v>0</v>
      </c>
      <c r="AB2924">
        <v>2</v>
      </c>
      <c r="AC2924">
        <v>34</v>
      </c>
      <c r="AD2924" t="s">
        <v>5435</v>
      </c>
    </row>
    <row r="2925" spans="1:30" x14ac:dyDescent="0.25">
      <c r="H2925" t="s">
        <v>5436</v>
      </c>
    </row>
    <row r="2926" spans="1:30" x14ac:dyDescent="0.25">
      <c r="A2926">
        <v>1460</v>
      </c>
      <c r="B2926">
        <v>1583</v>
      </c>
      <c r="C2926" t="s">
        <v>5437</v>
      </c>
      <c r="D2926" t="s">
        <v>107</v>
      </c>
      <c r="E2926" t="s">
        <v>162</v>
      </c>
      <c r="F2926" t="s">
        <v>5438</v>
      </c>
      <c r="G2926" t="str">
        <f>"201309000138"</f>
        <v>201309000138</v>
      </c>
      <c r="H2926" t="s">
        <v>5439</v>
      </c>
      <c r="I2926">
        <v>0</v>
      </c>
      <c r="J2926">
        <v>0</v>
      </c>
      <c r="K2926">
        <v>0</v>
      </c>
      <c r="L2926">
        <v>0</v>
      </c>
      <c r="M2926">
        <v>0</v>
      </c>
      <c r="N2926">
        <v>70</v>
      </c>
      <c r="O2926">
        <v>0</v>
      </c>
      <c r="P2926">
        <v>0</v>
      </c>
      <c r="Q2926">
        <v>0</v>
      </c>
      <c r="R2926">
        <v>0</v>
      </c>
      <c r="S2926">
        <v>0</v>
      </c>
      <c r="T2926">
        <v>0</v>
      </c>
      <c r="U2926">
        <v>0</v>
      </c>
      <c r="V2926">
        <v>44</v>
      </c>
      <c r="W2926">
        <v>308</v>
      </c>
      <c r="X2926">
        <v>0</v>
      </c>
      <c r="Z2926">
        <v>0</v>
      </c>
      <c r="AA2926">
        <v>0</v>
      </c>
      <c r="AB2926">
        <v>0</v>
      </c>
      <c r="AC2926">
        <v>0</v>
      </c>
      <c r="AD2926" t="s">
        <v>5440</v>
      </c>
    </row>
    <row r="2927" spans="1:30" x14ac:dyDescent="0.25">
      <c r="H2927" t="s">
        <v>5441</v>
      </c>
    </row>
    <row r="2928" spans="1:30" x14ac:dyDescent="0.25">
      <c r="A2928">
        <v>1461</v>
      </c>
      <c r="B2928">
        <v>87</v>
      </c>
      <c r="C2928" t="s">
        <v>5442</v>
      </c>
      <c r="D2928" t="s">
        <v>271</v>
      </c>
      <c r="E2928" t="s">
        <v>40</v>
      </c>
      <c r="F2928" t="s">
        <v>5443</v>
      </c>
      <c r="G2928" t="str">
        <f>"00185146"</f>
        <v>00185146</v>
      </c>
      <c r="H2928" t="s">
        <v>2682</v>
      </c>
      <c r="I2928">
        <v>0</v>
      </c>
      <c r="J2928">
        <v>0</v>
      </c>
      <c r="K2928">
        <v>0</v>
      </c>
      <c r="L2928">
        <v>0</v>
      </c>
      <c r="M2928">
        <v>0</v>
      </c>
      <c r="N2928">
        <v>30</v>
      </c>
      <c r="O2928">
        <v>0</v>
      </c>
      <c r="P2928">
        <v>0</v>
      </c>
      <c r="Q2928">
        <v>0</v>
      </c>
      <c r="R2928">
        <v>0</v>
      </c>
      <c r="S2928">
        <v>0</v>
      </c>
      <c r="T2928">
        <v>0</v>
      </c>
      <c r="U2928">
        <v>0</v>
      </c>
      <c r="V2928">
        <v>36</v>
      </c>
      <c r="W2928">
        <v>252</v>
      </c>
      <c r="X2928">
        <v>0</v>
      </c>
      <c r="Z2928">
        <v>0</v>
      </c>
      <c r="AA2928">
        <v>0</v>
      </c>
      <c r="AB2928">
        <v>0</v>
      </c>
      <c r="AC2928">
        <v>0</v>
      </c>
      <c r="AD2928" t="s">
        <v>5444</v>
      </c>
    </row>
    <row r="2929" spans="1:30" x14ac:dyDescent="0.25">
      <c r="H2929">
        <v>1247</v>
      </c>
    </row>
    <row r="2930" spans="1:30" x14ac:dyDescent="0.25">
      <c r="A2930">
        <v>1462</v>
      </c>
      <c r="B2930">
        <v>4623</v>
      </c>
      <c r="C2930" t="s">
        <v>5445</v>
      </c>
      <c r="D2930" t="s">
        <v>869</v>
      </c>
      <c r="E2930" t="s">
        <v>40</v>
      </c>
      <c r="F2930" t="s">
        <v>5446</v>
      </c>
      <c r="G2930" t="str">
        <f>"00349994"</f>
        <v>00349994</v>
      </c>
      <c r="H2930" t="s">
        <v>3212</v>
      </c>
      <c r="I2930">
        <v>0</v>
      </c>
      <c r="J2930">
        <v>0</v>
      </c>
      <c r="K2930">
        <v>0</v>
      </c>
      <c r="L2930">
        <v>0</v>
      </c>
      <c r="M2930">
        <v>0</v>
      </c>
      <c r="N2930">
        <v>30</v>
      </c>
      <c r="O2930">
        <v>0</v>
      </c>
      <c r="P2930">
        <v>0</v>
      </c>
      <c r="Q2930">
        <v>0</v>
      </c>
      <c r="R2930">
        <v>0</v>
      </c>
      <c r="S2930">
        <v>0</v>
      </c>
      <c r="T2930">
        <v>0</v>
      </c>
      <c r="U2930">
        <v>0</v>
      </c>
      <c r="V2930">
        <v>47</v>
      </c>
      <c r="W2930">
        <v>329</v>
      </c>
      <c r="X2930">
        <v>0</v>
      </c>
      <c r="Z2930">
        <v>0</v>
      </c>
      <c r="AA2930">
        <v>0</v>
      </c>
      <c r="AB2930">
        <v>0</v>
      </c>
      <c r="AC2930">
        <v>0</v>
      </c>
      <c r="AD2930" t="s">
        <v>5444</v>
      </c>
    </row>
    <row r="2931" spans="1:30" x14ac:dyDescent="0.25">
      <c r="H2931" t="s">
        <v>5447</v>
      </c>
    </row>
    <row r="2932" spans="1:30" x14ac:dyDescent="0.25">
      <c r="A2932">
        <v>1463</v>
      </c>
      <c r="B2932">
        <v>1047</v>
      </c>
      <c r="C2932" t="s">
        <v>5448</v>
      </c>
      <c r="D2932" t="s">
        <v>5449</v>
      </c>
      <c r="E2932" t="s">
        <v>162</v>
      </c>
      <c r="F2932" t="s">
        <v>5450</v>
      </c>
      <c r="G2932" t="str">
        <f>"201402002752"</f>
        <v>201402002752</v>
      </c>
      <c r="H2932" t="s">
        <v>1101</v>
      </c>
      <c r="I2932">
        <v>0</v>
      </c>
      <c r="J2932">
        <v>0</v>
      </c>
      <c r="K2932">
        <v>0</v>
      </c>
      <c r="L2932">
        <v>0</v>
      </c>
      <c r="M2932">
        <v>0</v>
      </c>
      <c r="N2932">
        <v>30</v>
      </c>
      <c r="O2932">
        <v>0</v>
      </c>
      <c r="P2932">
        <v>0</v>
      </c>
      <c r="Q2932">
        <v>0</v>
      </c>
      <c r="R2932">
        <v>0</v>
      </c>
      <c r="S2932">
        <v>0</v>
      </c>
      <c r="T2932">
        <v>0</v>
      </c>
      <c r="U2932">
        <v>0</v>
      </c>
      <c r="V2932">
        <v>44</v>
      </c>
      <c r="W2932">
        <v>308</v>
      </c>
      <c r="X2932">
        <v>0</v>
      </c>
      <c r="Z2932">
        <v>0</v>
      </c>
      <c r="AA2932">
        <v>0</v>
      </c>
      <c r="AB2932">
        <v>0</v>
      </c>
      <c r="AC2932">
        <v>0</v>
      </c>
      <c r="AD2932" t="s">
        <v>5451</v>
      </c>
    </row>
    <row r="2933" spans="1:30" x14ac:dyDescent="0.25">
      <c r="H2933" t="s">
        <v>1822</v>
      </c>
    </row>
    <row r="2934" spans="1:30" x14ac:dyDescent="0.25">
      <c r="A2934">
        <v>1464</v>
      </c>
      <c r="B2934">
        <v>848</v>
      </c>
      <c r="C2934" t="s">
        <v>5452</v>
      </c>
      <c r="D2934" t="s">
        <v>1660</v>
      </c>
      <c r="E2934" t="s">
        <v>162</v>
      </c>
      <c r="F2934" t="s">
        <v>5453</v>
      </c>
      <c r="G2934" t="str">
        <f>"00015467"</f>
        <v>00015467</v>
      </c>
      <c r="H2934" t="s">
        <v>192</v>
      </c>
      <c r="I2934">
        <v>0</v>
      </c>
      <c r="J2934">
        <v>0</v>
      </c>
      <c r="K2934">
        <v>0</v>
      </c>
      <c r="L2934">
        <v>200</v>
      </c>
      <c r="M2934">
        <v>0</v>
      </c>
      <c r="N2934">
        <v>30</v>
      </c>
      <c r="O2934">
        <v>0</v>
      </c>
      <c r="P2934">
        <v>0</v>
      </c>
      <c r="Q2934">
        <v>0</v>
      </c>
      <c r="R2934">
        <v>0</v>
      </c>
      <c r="S2934">
        <v>0</v>
      </c>
      <c r="T2934">
        <v>0</v>
      </c>
      <c r="U2934">
        <v>0</v>
      </c>
      <c r="V2934">
        <v>0</v>
      </c>
      <c r="W2934">
        <v>0</v>
      </c>
      <c r="X2934">
        <v>0</v>
      </c>
      <c r="Z2934">
        <v>0</v>
      </c>
      <c r="AA2934">
        <v>0</v>
      </c>
      <c r="AB2934">
        <v>0</v>
      </c>
      <c r="AC2934">
        <v>0</v>
      </c>
      <c r="AD2934" t="s">
        <v>5454</v>
      </c>
    </row>
    <row r="2935" spans="1:30" x14ac:dyDescent="0.25">
      <c r="H2935" t="s">
        <v>5455</v>
      </c>
    </row>
    <row r="2936" spans="1:30" x14ac:dyDescent="0.25">
      <c r="A2936">
        <v>1465</v>
      </c>
      <c r="B2936">
        <v>3397</v>
      </c>
      <c r="C2936" t="s">
        <v>1586</v>
      </c>
      <c r="D2936" t="s">
        <v>629</v>
      </c>
      <c r="E2936" t="s">
        <v>33</v>
      </c>
      <c r="F2936" t="s">
        <v>5456</v>
      </c>
      <c r="G2936" t="str">
        <f>"00242302"</f>
        <v>00242302</v>
      </c>
      <c r="H2936">
        <v>770</v>
      </c>
      <c r="I2936">
        <v>0</v>
      </c>
      <c r="J2936">
        <v>0</v>
      </c>
      <c r="K2936">
        <v>0</v>
      </c>
      <c r="L2936">
        <v>0</v>
      </c>
      <c r="M2936">
        <v>0</v>
      </c>
      <c r="N2936">
        <v>50</v>
      </c>
      <c r="O2936">
        <v>0</v>
      </c>
      <c r="P2936">
        <v>0</v>
      </c>
      <c r="Q2936">
        <v>0</v>
      </c>
      <c r="R2936">
        <v>0</v>
      </c>
      <c r="S2936">
        <v>0</v>
      </c>
      <c r="T2936">
        <v>0</v>
      </c>
      <c r="U2936">
        <v>0</v>
      </c>
      <c r="V2936">
        <v>0</v>
      </c>
      <c r="W2936">
        <v>0</v>
      </c>
      <c r="X2936">
        <v>0</v>
      </c>
      <c r="Z2936">
        <v>0</v>
      </c>
      <c r="AA2936">
        <v>0</v>
      </c>
      <c r="AB2936">
        <v>12</v>
      </c>
      <c r="AC2936">
        <v>204</v>
      </c>
      <c r="AD2936">
        <v>1024</v>
      </c>
    </row>
    <row r="2937" spans="1:30" x14ac:dyDescent="0.25">
      <c r="H2937" t="s">
        <v>5457</v>
      </c>
    </row>
    <row r="2938" spans="1:30" x14ac:dyDescent="0.25">
      <c r="A2938">
        <v>1466</v>
      </c>
      <c r="B2938">
        <v>291</v>
      </c>
      <c r="C2938" t="s">
        <v>1153</v>
      </c>
      <c r="D2938" t="s">
        <v>107</v>
      </c>
      <c r="E2938" t="s">
        <v>1265</v>
      </c>
      <c r="F2938" t="s">
        <v>5458</v>
      </c>
      <c r="G2938" t="str">
        <f>"200802002080"</f>
        <v>200802002080</v>
      </c>
      <c r="H2938" t="s">
        <v>5459</v>
      </c>
      <c r="I2938">
        <v>0</v>
      </c>
      <c r="J2938">
        <v>0</v>
      </c>
      <c r="K2938">
        <v>0</v>
      </c>
      <c r="L2938">
        <v>0</v>
      </c>
      <c r="M2938">
        <v>0</v>
      </c>
      <c r="N2938">
        <v>50</v>
      </c>
      <c r="O2938">
        <v>0</v>
      </c>
      <c r="P2938">
        <v>0</v>
      </c>
      <c r="Q2938">
        <v>0</v>
      </c>
      <c r="R2938">
        <v>0</v>
      </c>
      <c r="S2938">
        <v>0</v>
      </c>
      <c r="T2938">
        <v>0</v>
      </c>
      <c r="U2938">
        <v>0</v>
      </c>
      <c r="V2938">
        <v>49</v>
      </c>
      <c r="W2938">
        <v>343</v>
      </c>
      <c r="X2938">
        <v>0</v>
      </c>
      <c r="Z2938">
        <v>0</v>
      </c>
      <c r="AA2938">
        <v>0</v>
      </c>
      <c r="AB2938">
        <v>0</v>
      </c>
      <c r="AC2938">
        <v>0</v>
      </c>
      <c r="AD2938" t="s">
        <v>5460</v>
      </c>
    </row>
    <row r="2939" spans="1:30" x14ac:dyDescent="0.25">
      <c r="H2939" t="s">
        <v>5461</v>
      </c>
    </row>
    <row r="2940" spans="1:30" x14ac:dyDescent="0.25">
      <c r="A2940">
        <v>1467</v>
      </c>
      <c r="B2940">
        <v>3971</v>
      </c>
      <c r="C2940" t="s">
        <v>5462</v>
      </c>
      <c r="D2940" t="s">
        <v>59</v>
      </c>
      <c r="E2940" t="s">
        <v>239</v>
      </c>
      <c r="F2940" t="s">
        <v>5463</v>
      </c>
      <c r="G2940" t="str">
        <f>"00088727"</f>
        <v>00088727</v>
      </c>
      <c r="H2940" t="s">
        <v>1540</v>
      </c>
      <c r="I2940">
        <v>0</v>
      </c>
      <c r="J2940">
        <v>0</v>
      </c>
      <c r="K2940">
        <v>0</v>
      </c>
      <c r="L2940">
        <v>0</v>
      </c>
      <c r="M2940">
        <v>0</v>
      </c>
      <c r="N2940">
        <v>30</v>
      </c>
      <c r="O2940">
        <v>0</v>
      </c>
      <c r="P2940">
        <v>0</v>
      </c>
      <c r="Q2940">
        <v>0</v>
      </c>
      <c r="R2940">
        <v>0</v>
      </c>
      <c r="S2940">
        <v>0</v>
      </c>
      <c r="T2940">
        <v>0</v>
      </c>
      <c r="U2940">
        <v>0</v>
      </c>
      <c r="V2940">
        <v>45</v>
      </c>
      <c r="W2940">
        <v>315</v>
      </c>
      <c r="X2940">
        <v>0</v>
      </c>
      <c r="Z2940">
        <v>0</v>
      </c>
      <c r="AA2940">
        <v>0</v>
      </c>
      <c r="AB2940">
        <v>0</v>
      </c>
      <c r="AC2940">
        <v>0</v>
      </c>
      <c r="AD2940" t="s">
        <v>5464</v>
      </c>
    </row>
    <row r="2941" spans="1:30" x14ac:dyDescent="0.25">
      <c r="H2941" t="s">
        <v>5465</v>
      </c>
    </row>
    <row r="2942" spans="1:30" x14ac:dyDescent="0.25">
      <c r="A2942">
        <v>1468</v>
      </c>
      <c r="B2942">
        <v>3835</v>
      </c>
      <c r="C2942" t="s">
        <v>5466</v>
      </c>
      <c r="D2942" t="s">
        <v>420</v>
      </c>
      <c r="E2942" t="s">
        <v>190</v>
      </c>
      <c r="F2942" t="s">
        <v>5467</v>
      </c>
      <c r="G2942" t="str">
        <f>"00206619"</f>
        <v>00206619</v>
      </c>
      <c r="H2942">
        <v>649</v>
      </c>
      <c r="I2942">
        <v>0</v>
      </c>
      <c r="J2942">
        <v>0</v>
      </c>
      <c r="K2942">
        <v>0</v>
      </c>
      <c r="L2942">
        <v>0</v>
      </c>
      <c r="M2942">
        <v>0</v>
      </c>
      <c r="N2942">
        <v>30</v>
      </c>
      <c r="O2942">
        <v>0</v>
      </c>
      <c r="P2942">
        <v>0</v>
      </c>
      <c r="Q2942">
        <v>0</v>
      </c>
      <c r="R2942">
        <v>0</v>
      </c>
      <c r="S2942">
        <v>0</v>
      </c>
      <c r="T2942">
        <v>0</v>
      </c>
      <c r="U2942">
        <v>0</v>
      </c>
      <c r="V2942">
        <v>49</v>
      </c>
      <c r="W2942">
        <v>343</v>
      </c>
      <c r="X2942">
        <v>0</v>
      </c>
      <c r="Z2942">
        <v>0</v>
      </c>
      <c r="AA2942">
        <v>0</v>
      </c>
      <c r="AB2942">
        <v>0</v>
      </c>
      <c r="AC2942">
        <v>0</v>
      </c>
      <c r="AD2942">
        <v>1022</v>
      </c>
    </row>
    <row r="2943" spans="1:30" x14ac:dyDescent="0.25">
      <c r="H2943" t="s">
        <v>5468</v>
      </c>
    </row>
    <row r="2944" spans="1:30" x14ac:dyDescent="0.25">
      <c r="A2944">
        <v>1469</v>
      </c>
      <c r="B2944">
        <v>3357</v>
      </c>
      <c r="C2944" t="s">
        <v>5469</v>
      </c>
      <c r="D2944" t="s">
        <v>5470</v>
      </c>
      <c r="E2944" t="s">
        <v>140</v>
      </c>
      <c r="F2944" t="s">
        <v>5471</v>
      </c>
      <c r="G2944" t="str">
        <f>"00360498"</f>
        <v>00360498</v>
      </c>
      <c r="H2944" t="s">
        <v>5472</v>
      </c>
      <c r="I2944">
        <v>0</v>
      </c>
      <c r="J2944">
        <v>0</v>
      </c>
      <c r="K2944">
        <v>0</v>
      </c>
      <c r="L2944">
        <v>0</v>
      </c>
      <c r="M2944">
        <v>0</v>
      </c>
      <c r="N2944">
        <v>30</v>
      </c>
      <c r="O2944">
        <v>30</v>
      </c>
      <c r="P2944">
        <v>0</v>
      </c>
      <c r="Q2944">
        <v>30</v>
      </c>
      <c r="R2944">
        <v>0</v>
      </c>
      <c r="S2944">
        <v>0</v>
      </c>
      <c r="T2944">
        <v>0</v>
      </c>
      <c r="U2944">
        <v>0</v>
      </c>
      <c r="V2944">
        <v>5</v>
      </c>
      <c r="W2944">
        <v>35</v>
      </c>
      <c r="X2944">
        <v>0</v>
      </c>
      <c r="Z2944">
        <v>0</v>
      </c>
      <c r="AA2944">
        <v>0</v>
      </c>
      <c r="AB2944">
        <v>0</v>
      </c>
      <c r="AC2944">
        <v>0</v>
      </c>
      <c r="AD2944" t="s">
        <v>5473</v>
      </c>
    </row>
    <row r="2945" spans="1:30" x14ac:dyDescent="0.25">
      <c r="H2945">
        <v>1250</v>
      </c>
    </row>
    <row r="2946" spans="1:30" x14ac:dyDescent="0.25">
      <c r="A2946">
        <v>1470</v>
      </c>
      <c r="B2946">
        <v>2669</v>
      </c>
      <c r="C2946" t="s">
        <v>5474</v>
      </c>
      <c r="D2946" t="s">
        <v>494</v>
      </c>
      <c r="E2946" t="s">
        <v>51</v>
      </c>
      <c r="F2946" t="s">
        <v>5475</v>
      </c>
      <c r="G2946" t="str">
        <f>"00235731"</f>
        <v>00235731</v>
      </c>
      <c r="H2946" t="s">
        <v>4801</v>
      </c>
      <c r="I2946">
        <v>0</v>
      </c>
      <c r="J2946">
        <v>0</v>
      </c>
      <c r="K2946">
        <v>0</v>
      </c>
      <c r="L2946">
        <v>200</v>
      </c>
      <c r="M2946">
        <v>0</v>
      </c>
      <c r="N2946">
        <v>70</v>
      </c>
      <c r="O2946">
        <v>0</v>
      </c>
      <c r="P2946">
        <v>0</v>
      </c>
      <c r="Q2946">
        <v>0</v>
      </c>
      <c r="R2946">
        <v>0</v>
      </c>
      <c r="S2946">
        <v>0</v>
      </c>
      <c r="T2946">
        <v>0</v>
      </c>
      <c r="U2946">
        <v>0</v>
      </c>
      <c r="V2946">
        <v>0</v>
      </c>
      <c r="W2946">
        <v>0</v>
      </c>
      <c r="X2946">
        <v>0</v>
      </c>
      <c r="Z2946">
        <v>0</v>
      </c>
      <c r="AA2946">
        <v>0</v>
      </c>
      <c r="AB2946">
        <v>0</v>
      </c>
      <c r="AC2946">
        <v>0</v>
      </c>
      <c r="AD2946" t="s">
        <v>5476</v>
      </c>
    </row>
    <row r="2947" spans="1:30" x14ac:dyDescent="0.25">
      <c r="H2947" t="s">
        <v>5477</v>
      </c>
    </row>
    <row r="2948" spans="1:30" x14ac:dyDescent="0.25">
      <c r="A2948">
        <v>1471</v>
      </c>
      <c r="B2948">
        <v>83</v>
      </c>
      <c r="C2948" t="s">
        <v>5478</v>
      </c>
      <c r="D2948" t="s">
        <v>47</v>
      </c>
      <c r="E2948" t="s">
        <v>87</v>
      </c>
      <c r="F2948" t="s">
        <v>5479</v>
      </c>
      <c r="G2948" t="str">
        <f>"00255278"</f>
        <v>00255278</v>
      </c>
      <c r="H2948" t="s">
        <v>5480</v>
      </c>
      <c r="I2948">
        <v>150</v>
      </c>
      <c r="J2948">
        <v>0</v>
      </c>
      <c r="K2948">
        <v>0</v>
      </c>
      <c r="L2948">
        <v>0</v>
      </c>
      <c r="M2948">
        <v>0</v>
      </c>
      <c r="N2948">
        <v>0</v>
      </c>
      <c r="O2948">
        <v>0</v>
      </c>
      <c r="P2948">
        <v>0</v>
      </c>
      <c r="Q2948">
        <v>0</v>
      </c>
      <c r="R2948">
        <v>0</v>
      </c>
      <c r="S2948">
        <v>0</v>
      </c>
      <c r="T2948">
        <v>0</v>
      </c>
      <c r="U2948">
        <v>0</v>
      </c>
      <c r="V2948">
        <v>0</v>
      </c>
      <c r="W2948">
        <v>0</v>
      </c>
      <c r="X2948">
        <v>0</v>
      </c>
      <c r="Z2948">
        <v>0</v>
      </c>
      <c r="AA2948">
        <v>0</v>
      </c>
      <c r="AB2948">
        <v>0</v>
      </c>
      <c r="AC2948">
        <v>0</v>
      </c>
      <c r="AD2948" t="s">
        <v>5481</v>
      </c>
    </row>
    <row r="2949" spans="1:30" x14ac:dyDescent="0.25">
      <c r="H2949" t="s">
        <v>5482</v>
      </c>
    </row>
    <row r="2950" spans="1:30" x14ac:dyDescent="0.25">
      <c r="A2950">
        <v>1472</v>
      </c>
      <c r="B2950">
        <v>2891</v>
      </c>
      <c r="C2950" t="s">
        <v>5483</v>
      </c>
      <c r="D2950" t="s">
        <v>1555</v>
      </c>
      <c r="E2950" t="s">
        <v>1972</v>
      </c>
      <c r="F2950" t="s">
        <v>5484</v>
      </c>
      <c r="G2950" t="str">
        <f>"00174970"</f>
        <v>00174970</v>
      </c>
      <c r="H2950">
        <v>671</v>
      </c>
      <c r="I2950">
        <v>150</v>
      </c>
      <c r="J2950">
        <v>0</v>
      </c>
      <c r="K2950">
        <v>0</v>
      </c>
      <c r="L2950">
        <v>200</v>
      </c>
      <c r="M2950">
        <v>0</v>
      </c>
      <c r="N2950">
        <v>0</v>
      </c>
      <c r="O2950">
        <v>0</v>
      </c>
      <c r="P2950">
        <v>0</v>
      </c>
      <c r="Q2950">
        <v>0</v>
      </c>
      <c r="R2950">
        <v>0</v>
      </c>
      <c r="S2950">
        <v>0</v>
      </c>
      <c r="T2950">
        <v>0</v>
      </c>
      <c r="U2950">
        <v>0</v>
      </c>
      <c r="V2950">
        <v>0</v>
      </c>
      <c r="W2950">
        <v>0</v>
      </c>
      <c r="X2950">
        <v>0</v>
      </c>
      <c r="Z2950">
        <v>0</v>
      </c>
      <c r="AA2950">
        <v>0</v>
      </c>
      <c r="AB2950">
        <v>0</v>
      </c>
      <c r="AC2950">
        <v>0</v>
      </c>
      <c r="AD2950">
        <v>1021</v>
      </c>
    </row>
    <row r="2951" spans="1:30" x14ac:dyDescent="0.25">
      <c r="H2951" t="s">
        <v>5485</v>
      </c>
    </row>
    <row r="2952" spans="1:30" x14ac:dyDescent="0.25">
      <c r="A2952">
        <v>1473</v>
      </c>
      <c r="B2952">
        <v>3625</v>
      </c>
      <c r="C2952" t="s">
        <v>4668</v>
      </c>
      <c r="D2952" t="s">
        <v>33</v>
      </c>
      <c r="E2952" t="s">
        <v>47</v>
      </c>
      <c r="F2952" t="s">
        <v>5486</v>
      </c>
      <c r="G2952" t="str">
        <f>"00348943"</f>
        <v>00348943</v>
      </c>
      <c r="H2952" t="s">
        <v>117</v>
      </c>
      <c r="I2952">
        <v>0</v>
      </c>
      <c r="J2952">
        <v>0</v>
      </c>
      <c r="K2952">
        <v>0</v>
      </c>
      <c r="L2952">
        <v>0</v>
      </c>
      <c r="M2952">
        <v>0</v>
      </c>
      <c r="N2952">
        <v>30</v>
      </c>
      <c r="O2952">
        <v>0</v>
      </c>
      <c r="P2952">
        <v>0</v>
      </c>
      <c r="Q2952">
        <v>0</v>
      </c>
      <c r="R2952">
        <v>0</v>
      </c>
      <c r="S2952">
        <v>0</v>
      </c>
      <c r="T2952">
        <v>0</v>
      </c>
      <c r="U2952">
        <v>0</v>
      </c>
      <c r="V2952">
        <v>37</v>
      </c>
      <c r="W2952">
        <v>259</v>
      </c>
      <c r="X2952">
        <v>0</v>
      </c>
      <c r="Z2952">
        <v>2</v>
      </c>
      <c r="AA2952">
        <v>0</v>
      </c>
      <c r="AB2952">
        <v>0</v>
      </c>
      <c r="AC2952">
        <v>0</v>
      </c>
      <c r="AD2952" t="s">
        <v>5487</v>
      </c>
    </row>
    <row r="2953" spans="1:30" x14ac:dyDescent="0.25">
      <c r="H2953" t="s">
        <v>5488</v>
      </c>
    </row>
    <row r="2954" spans="1:30" x14ac:dyDescent="0.25">
      <c r="A2954">
        <v>1474</v>
      </c>
      <c r="B2954">
        <v>708</v>
      </c>
      <c r="C2954" t="s">
        <v>5489</v>
      </c>
      <c r="D2954" t="s">
        <v>526</v>
      </c>
      <c r="E2954" t="s">
        <v>39</v>
      </c>
      <c r="F2954" t="s">
        <v>5490</v>
      </c>
      <c r="G2954" t="str">
        <f>"00220011"</f>
        <v>00220011</v>
      </c>
      <c r="H2954" t="s">
        <v>117</v>
      </c>
      <c r="I2954">
        <v>0</v>
      </c>
      <c r="J2954">
        <v>0</v>
      </c>
      <c r="K2954">
        <v>0</v>
      </c>
      <c r="L2954">
        <v>0</v>
      </c>
      <c r="M2954">
        <v>0</v>
      </c>
      <c r="N2954">
        <v>50</v>
      </c>
      <c r="O2954">
        <v>0</v>
      </c>
      <c r="P2954">
        <v>0</v>
      </c>
      <c r="Q2954">
        <v>0</v>
      </c>
      <c r="R2954">
        <v>0</v>
      </c>
      <c r="S2954">
        <v>0</v>
      </c>
      <c r="T2954">
        <v>0</v>
      </c>
      <c r="U2954">
        <v>0</v>
      </c>
      <c r="V2954">
        <v>34</v>
      </c>
      <c r="W2954">
        <v>238</v>
      </c>
      <c r="X2954">
        <v>0</v>
      </c>
      <c r="Z2954">
        <v>0</v>
      </c>
      <c r="AA2954">
        <v>0</v>
      </c>
      <c r="AB2954">
        <v>0</v>
      </c>
      <c r="AC2954">
        <v>0</v>
      </c>
      <c r="AD2954" t="s">
        <v>5491</v>
      </c>
    </row>
    <row r="2955" spans="1:30" x14ac:dyDescent="0.25">
      <c r="H2955" t="s">
        <v>532</v>
      </c>
    </row>
    <row r="2956" spans="1:30" x14ac:dyDescent="0.25">
      <c r="A2956">
        <v>1475</v>
      </c>
      <c r="B2956">
        <v>2604</v>
      </c>
      <c r="C2956" t="s">
        <v>5492</v>
      </c>
      <c r="D2956" t="s">
        <v>494</v>
      </c>
      <c r="E2956" t="s">
        <v>151</v>
      </c>
      <c r="F2956" t="s">
        <v>5493</v>
      </c>
      <c r="G2956" t="str">
        <f>"00252235"</f>
        <v>00252235</v>
      </c>
      <c r="H2956" t="s">
        <v>110</v>
      </c>
      <c r="I2956">
        <v>0</v>
      </c>
      <c r="J2956">
        <v>0</v>
      </c>
      <c r="K2956">
        <v>0</v>
      </c>
      <c r="L2956">
        <v>0</v>
      </c>
      <c r="M2956">
        <v>0</v>
      </c>
      <c r="N2956">
        <v>30</v>
      </c>
      <c r="O2956">
        <v>0</v>
      </c>
      <c r="P2956">
        <v>0</v>
      </c>
      <c r="Q2956">
        <v>0</v>
      </c>
      <c r="R2956">
        <v>0</v>
      </c>
      <c r="S2956">
        <v>0</v>
      </c>
      <c r="T2956">
        <v>0</v>
      </c>
      <c r="U2956">
        <v>0</v>
      </c>
      <c r="V2956">
        <v>29</v>
      </c>
      <c r="W2956">
        <v>203</v>
      </c>
      <c r="X2956">
        <v>0</v>
      </c>
      <c r="Z2956">
        <v>0</v>
      </c>
      <c r="AA2956">
        <v>0</v>
      </c>
      <c r="AB2956">
        <v>0</v>
      </c>
      <c r="AC2956">
        <v>0</v>
      </c>
      <c r="AD2956" t="s">
        <v>5494</v>
      </c>
    </row>
    <row r="2957" spans="1:30" x14ac:dyDescent="0.25">
      <c r="H2957" t="s">
        <v>5495</v>
      </c>
    </row>
    <row r="2958" spans="1:30" x14ac:dyDescent="0.25">
      <c r="A2958">
        <v>1476</v>
      </c>
      <c r="B2958">
        <v>2313</v>
      </c>
      <c r="C2958" t="s">
        <v>102</v>
      </c>
      <c r="D2958" t="s">
        <v>5496</v>
      </c>
      <c r="E2958" t="s">
        <v>162</v>
      </c>
      <c r="F2958" t="s">
        <v>5497</v>
      </c>
      <c r="G2958" t="str">
        <f>"201511017615"</f>
        <v>201511017615</v>
      </c>
      <c r="H2958" t="s">
        <v>3232</v>
      </c>
      <c r="I2958">
        <v>0</v>
      </c>
      <c r="J2958">
        <v>0</v>
      </c>
      <c r="K2958">
        <v>0</v>
      </c>
      <c r="L2958">
        <v>0</v>
      </c>
      <c r="M2958">
        <v>0</v>
      </c>
      <c r="N2958">
        <v>0</v>
      </c>
      <c r="O2958">
        <v>0</v>
      </c>
      <c r="P2958">
        <v>0</v>
      </c>
      <c r="Q2958">
        <v>0</v>
      </c>
      <c r="R2958">
        <v>0</v>
      </c>
      <c r="S2958">
        <v>0</v>
      </c>
      <c r="T2958">
        <v>0</v>
      </c>
      <c r="U2958">
        <v>0</v>
      </c>
      <c r="V2958">
        <v>49</v>
      </c>
      <c r="W2958">
        <v>343</v>
      </c>
      <c r="X2958">
        <v>0</v>
      </c>
      <c r="Z2958">
        <v>0</v>
      </c>
      <c r="AA2958">
        <v>0</v>
      </c>
      <c r="AB2958">
        <v>0</v>
      </c>
      <c r="AC2958">
        <v>0</v>
      </c>
      <c r="AD2958" t="s">
        <v>5494</v>
      </c>
    </row>
    <row r="2959" spans="1:30" x14ac:dyDescent="0.25">
      <c r="H2959" t="s">
        <v>5498</v>
      </c>
    </row>
    <row r="2960" spans="1:30" x14ac:dyDescent="0.25">
      <c r="A2960">
        <v>1477</v>
      </c>
      <c r="B2960">
        <v>4001</v>
      </c>
      <c r="C2960" t="s">
        <v>5499</v>
      </c>
      <c r="D2960" t="s">
        <v>143</v>
      </c>
      <c r="E2960" t="s">
        <v>162</v>
      </c>
      <c r="F2960" t="s">
        <v>5500</v>
      </c>
      <c r="G2960" t="str">
        <f>"00225582"</f>
        <v>00225582</v>
      </c>
      <c r="H2960" t="s">
        <v>56</v>
      </c>
      <c r="I2960">
        <v>0</v>
      </c>
      <c r="J2960">
        <v>0</v>
      </c>
      <c r="K2960">
        <v>0</v>
      </c>
      <c r="L2960">
        <v>0</v>
      </c>
      <c r="M2960">
        <v>0</v>
      </c>
      <c r="N2960">
        <v>0</v>
      </c>
      <c r="O2960">
        <v>0</v>
      </c>
      <c r="P2960">
        <v>0</v>
      </c>
      <c r="Q2960">
        <v>0</v>
      </c>
      <c r="R2960">
        <v>0</v>
      </c>
      <c r="S2960">
        <v>0</v>
      </c>
      <c r="T2960">
        <v>0</v>
      </c>
      <c r="U2960">
        <v>0</v>
      </c>
      <c r="V2960">
        <v>0</v>
      </c>
      <c r="W2960">
        <v>0</v>
      </c>
      <c r="X2960">
        <v>0</v>
      </c>
      <c r="Z2960">
        <v>0</v>
      </c>
      <c r="AA2960">
        <v>0</v>
      </c>
      <c r="AB2960">
        <v>6</v>
      </c>
      <c r="AC2960">
        <v>102</v>
      </c>
      <c r="AD2960" t="s">
        <v>5501</v>
      </c>
    </row>
    <row r="2961" spans="1:30" x14ac:dyDescent="0.25">
      <c r="H2961" t="s">
        <v>5502</v>
      </c>
    </row>
    <row r="2962" spans="1:30" x14ac:dyDescent="0.25">
      <c r="A2962">
        <v>1478</v>
      </c>
      <c r="B2962">
        <v>164</v>
      </c>
      <c r="C2962" t="s">
        <v>5503</v>
      </c>
      <c r="D2962" t="s">
        <v>373</v>
      </c>
      <c r="E2962" t="s">
        <v>509</v>
      </c>
      <c r="F2962" t="s">
        <v>5504</v>
      </c>
      <c r="G2962" t="str">
        <f>"00106960"</f>
        <v>00106960</v>
      </c>
      <c r="H2962" t="s">
        <v>3999</v>
      </c>
      <c r="I2962">
        <v>0</v>
      </c>
      <c r="J2962">
        <v>0</v>
      </c>
      <c r="K2962">
        <v>0</v>
      </c>
      <c r="L2962">
        <v>0</v>
      </c>
      <c r="M2962">
        <v>0</v>
      </c>
      <c r="N2962">
        <v>30</v>
      </c>
      <c r="O2962">
        <v>0</v>
      </c>
      <c r="P2962">
        <v>0</v>
      </c>
      <c r="Q2962">
        <v>0</v>
      </c>
      <c r="R2962">
        <v>0</v>
      </c>
      <c r="S2962">
        <v>0</v>
      </c>
      <c r="T2962">
        <v>0</v>
      </c>
      <c r="U2962">
        <v>0</v>
      </c>
      <c r="V2962">
        <v>45</v>
      </c>
      <c r="W2962">
        <v>315</v>
      </c>
      <c r="X2962">
        <v>0</v>
      </c>
      <c r="Z2962">
        <v>0</v>
      </c>
      <c r="AA2962">
        <v>0</v>
      </c>
      <c r="AB2962">
        <v>0</v>
      </c>
      <c r="AC2962">
        <v>0</v>
      </c>
      <c r="AD2962" t="s">
        <v>5505</v>
      </c>
    </row>
    <row r="2963" spans="1:30" x14ac:dyDescent="0.25">
      <c r="H2963" t="s">
        <v>5506</v>
      </c>
    </row>
    <row r="2964" spans="1:30" x14ac:dyDescent="0.25">
      <c r="A2964">
        <v>1479</v>
      </c>
      <c r="B2964">
        <v>4590</v>
      </c>
      <c r="C2964" t="s">
        <v>5503</v>
      </c>
      <c r="D2964" t="s">
        <v>14</v>
      </c>
      <c r="E2964" t="s">
        <v>91</v>
      </c>
      <c r="F2964" t="s">
        <v>5507</v>
      </c>
      <c r="G2964" t="str">
        <f>"00343210"</f>
        <v>00343210</v>
      </c>
      <c r="H2964" t="s">
        <v>1641</v>
      </c>
      <c r="I2964">
        <v>0</v>
      </c>
      <c r="J2964">
        <v>0</v>
      </c>
      <c r="K2964">
        <v>0</v>
      </c>
      <c r="L2964">
        <v>0</v>
      </c>
      <c r="M2964">
        <v>0</v>
      </c>
      <c r="N2964">
        <v>0</v>
      </c>
      <c r="O2964">
        <v>0</v>
      </c>
      <c r="P2964">
        <v>0</v>
      </c>
      <c r="Q2964">
        <v>0</v>
      </c>
      <c r="R2964">
        <v>0</v>
      </c>
      <c r="S2964">
        <v>0</v>
      </c>
      <c r="T2964">
        <v>0</v>
      </c>
      <c r="U2964">
        <v>0</v>
      </c>
      <c r="V2964">
        <v>19</v>
      </c>
      <c r="W2964">
        <v>133</v>
      </c>
      <c r="X2964">
        <v>0</v>
      </c>
      <c r="Z2964">
        <v>0</v>
      </c>
      <c r="AA2964">
        <v>0</v>
      </c>
      <c r="AB2964">
        <v>0</v>
      </c>
      <c r="AC2964">
        <v>0</v>
      </c>
      <c r="AD2964" t="s">
        <v>5508</v>
      </c>
    </row>
    <row r="2965" spans="1:30" x14ac:dyDescent="0.25">
      <c r="H2965">
        <v>1248</v>
      </c>
    </row>
    <row r="2966" spans="1:30" x14ac:dyDescent="0.25">
      <c r="A2966">
        <v>1480</v>
      </c>
      <c r="B2966">
        <v>6114</v>
      </c>
      <c r="C2966" t="s">
        <v>5509</v>
      </c>
      <c r="D2966" t="s">
        <v>5510</v>
      </c>
      <c r="E2966" t="s">
        <v>40</v>
      </c>
      <c r="F2966" t="s">
        <v>5511</v>
      </c>
      <c r="G2966" t="str">
        <f>"00299524"</f>
        <v>00299524</v>
      </c>
      <c r="H2966">
        <v>638</v>
      </c>
      <c r="I2966">
        <v>0</v>
      </c>
      <c r="J2966">
        <v>0</v>
      </c>
      <c r="K2966">
        <v>0</v>
      </c>
      <c r="L2966">
        <v>0</v>
      </c>
      <c r="M2966">
        <v>0</v>
      </c>
      <c r="N2966">
        <v>0</v>
      </c>
      <c r="O2966">
        <v>0</v>
      </c>
      <c r="P2966">
        <v>0</v>
      </c>
      <c r="Q2966">
        <v>0</v>
      </c>
      <c r="R2966">
        <v>0</v>
      </c>
      <c r="S2966">
        <v>0</v>
      </c>
      <c r="T2966">
        <v>0</v>
      </c>
      <c r="U2966">
        <v>0</v>
      </c>
      <c r="V2966">
        <v>54</v>
      </c>
      <c r="W2966">
        <v>378</v>
      </c>
      <c r="X2966">
        <v>0</v>
      </c>
      <c r="Z2966">
        <v>0</v>
      </c>
      <c r="AA2966">
        <v>0</v>
      </c>
      <c r="AB2966">
        <v>0</v>
      </c>
      <c r="AC2966">
        <v>0</v>
      </c>
      <c r="AD2966">
        <v>1016</v>
      </c>
    </row>
    <row r="2967" spans="1:30" x14ac:dyDescent="0.25">
      <c r="H2967" t="s">
        <v>5512</v>
      </c>
    </row>
    <row r="2968" spans="1:30" x14ac:dyDescent="0.25">
      <c r="A2968">
        <v>1481</v>
      </c>
      <c r="B2968">
        <v>5907</v>
      </c>
      <c r="C2968" t="s">
        <v>5513</v>
      </c>
      <c r="D2968" t="s">
        <v>75</v>
      </c>
      <c r="E2968" t="s">
        <v>40</v>
      </c>
      <c r="F2968" t="s">
        <v>5514</v>
      </c>
      <c r="G2968" t="str">
        <f>"00107743"</f>
        <v>00107743</v>
      </c>
      <c r="H2968" t="s">
        <v>2197</v>
      </c>
      <c r="I2968">
        <v>0</v>
      </c>
      <c r="J2968">
        <v>0</v>
      </c>
      <c r="K2968">
        <v>0</v>
      </c>
      <c r="L2968">
        <v>0</v>
      </c>
      <c r="M2968">
        <v>0</v>
      </c>
      <c r="N2968">
        <v>70</v>
      </c>
      <c r="O2968">
        <v>0</v>
      </c>
      <c r="P2968">
        <v>0</v>
      </c>
      <c r="Q2968">
        <v>0</v>
      </c>
      <c r="R2968">
        <v>0</v>
      </c>
      <c r="S2968">
        <v>0</v>
      </c>
      <c r="T2968">
        <v>0</v>
      </c>
      <c r="U2968">
        <v>0</v>
      </c>
      <c r="V2968">
        <v>16</v>
      </c>
      <c r="W2968">
        <v>112</v>
      </c>
      <c r="X2968">
        <v>0</v>
      </c>
      <c r="Z2968">
        <v>0</v>
      </c>
      <c r="AA2968">
        <v>0</v>
      </c>
      <c r="AB2968">
        <v>8</v>
      </c>
      <c r="AC2968">
        <v>136</v>
      </c>
      <c r="AD2968" t="s">
        <v>5515</v>
      </c>
    </row>
    <row r="2969" spans="1:30" x14ac:dyDescent="0.25">
      <c r="H2969" t="s">
        <v>5516</v>
      </c>
    </row>
    <row r="2970" spans="1:30" x14ac:dyDescent="0.25">
      <c r="A2970">
        <v>1482</v>
      </c>
      <c r="B2970">
        <v>2755</v>
      </c>
      <c r="C2970" t="s">
        <v>5517</v>
      </c>
      <c r="D2970" t="s">
        <v>694</v>
      </c>
      <c r="E2970" t="s">
        <v>108</v>
      </c>
      <c r="F2970" t="s">
        <v>5518</v>
      </c>
      <c r="G2970" t="str">
        <f>"00327673"</f>
        <v>00327673</v>
      </c>
      <c r="H2970" t="s">
        <v>574</v>
      </c>
      <c r="I2970">
        <v>0</v>
      </c>
      <c r="J2970">
        <v>0</v>
      </c>
      <c r="K2970">
        <v>0</v>
      </c>
      <c r="L2970">
        <v>0</v>
      </c>
      <c r="M2970">
        <v>0</v>
      </c>
      <c r="N2970">
        <v>0</v>
      </c>
      <c r="O2970">
        <v>0</v>
      </c>
      <c r="P2970">
        <v>0</v>
      </c>
      <c r="Q2970">
        <v>0</v>
      </c>
      <c r="R2970">
        <v>0</v>
      </c>
      <c r="S2970">
        <v>0</v>
      </c>
      <c r="T2970">
        <v>0</v>
      </c>
      <c r="U2970">
        <v>0</v>
      </c>
      <c r="V2970">
        <v>41</v>
      </c>
      <c r="W2970">
        <v>287</v>
      </c>
      <c r="X2970">
        <v>0</v>
      </c>
      <c r="Z2970">
        <v>0</v>
      </c>
      <c r="AA2970">
        <v>0</v>
      </c>
      <c r="AB2970">
        <v>0</v>
      </c>
      <c r="AC2970">
        <v>0</v>
      </c>
      <c r="AD2970" t="s">
        <v>5519</v>
      </c>
    </row>
    <row r="2971" spans="1:30" x14ac:dyDescent="0.25">
      <c r="H2971" t="s">
        <v>5520</v>
      </c>
    </row>
    <row r="2972" spans="1:30" x14ac:dyDescent="0.25">
      <c r="A2972">
        <v>1483</v>
      </c>
      <c r="B2972">
        <v>1161</v>
      </c>
      <c r="C2972" t="s">
        <v>5521</v>
      </c>
      <c r="D2972" t="s">
        <v>75</v>
      </c>
      <c r="E2972" t="s">
        <v>449</v>
      </c>
      <c r="F2972" t="s">
        <v>5522</v>
      </c>
      <c r="G2972" t="str">
        <f>"00307835"</f>
        <v>00307835</v>
      </c>
      <c r="H2972" t="s">
        <v>854</v>
      </c>
      <c r="I2972">
        <v>0</v>
      </c>
      <c r="J2972">
        <v>0</v>
      </c>
      <c r="K2972">
        <v>0</v>
      </c>
      <c r="L2972">
        <v>0</v>
      </c>
      <c r="M2972">
        <v>0</v>
      </c>
      <c r="N2972">
        <v>30</v>
      </c>
      <c r="O2972">
        <v>0</v>
      </c>
      <c r="P2972">
        <v>0</v>
      </c>
      <c r="Q2972">
        <v>0</v>
      </c>
      <c r="R2972">
        <v>0</v>
      </c>
      <c r="S2972">
        <v>0</v>
      </c>
      <c r="T2972">
        <v>0</v>
      </c>
      <c r="U2972">
        <v>0</v>
      </c>
      <c r="V2972">
        <v>39</v>
      </c>
      <c r="W2972">
        <v>273</v>
      </c>
      <c r="X2972">
        <v>0</v>
      </c>
      <c r="Z2972">
        <v>0</v>
      </c>
      <c r="AA2972">
        <v>0</v>
      </c>
      <c r="AB2972">
        <v>0</v>
      </c>
      <c r="AC2972">
        <v>0</v>
      </c>
      <c r="AD2972" t="s">
        <v>5523</v>
      </c>
    </row>
    <row r="2973" spans="1:30" x14ac:dyDescent="0.25">
      <c r="H2973" t="s">
        <v>5524</v>
      </c>
    </row>
    <row r="2974" spans="1:30" x14ac:dyDescent="0.25">
      <c r="A2974">
        <v>1484</v>
      </c>
      <c r="B2974">
        <v>1248</v>
      </c>
      <c r="C2974" t="s">
        <v>5525</v>
      </c>
      <c r="D2974" t="s">
        <v>166</v>
      </c>
      <c r="E2974" t="s">
        <v>151</v>
      </c>
      <c r="F2974" t="s">
        <v>5526</v>
      </c>
      <c r="G2974" t="str">
        <f>"00172702"</f>
        <v>00172702</v>
      </c>
      <c r="H2974" t="s">
        <v>2618</v>
      </c>
      <c r="I2974">
        <v>0</v>
      </c>
      <c r="J2974">
        <v>0</v>
      </c>
      <c r="K2974">
        <v>0</v>
      </c>
      <c r="L2974">
        <v>200</v>
      </c>
      <c r="M2974">
        <v>0</v>
      </c>
      <c r="N2974">
        <v>0</v>
      </c>
      <c r="O2974">
        <v>0</v>
      </c>
      <c r="P2974">
        <v>0</v>
      </c>
      <c r="Q2974">
        <v>0</v>
      </c>
      <c r="R2974">
        <v>0</v>
      </c>
      <c r="S2974">
        <v>0</v>
      </c>
      <c r="T2974">
        <v>0</v>
      </c>
      <c r="U2974">
        <v>0</v>
      </c>
      <c r="V2974">
        <v>15</v>
      </c>
      <c r="W2974">
        <v>105</v>
      </c>
      <c r="X2974">
        <v>0</v>
      </c>
      <c r="Z2974">
        <v>0</v>
      </c>
      <c r="AA2974">
        <v>0</v>
      </c>
      <c r="AB2974">
        <v>0</v>
      </c>
      <c r="AC2974">
        <v>0</v>
      </c>
      <c r="AD2974" t="s">
        <v>5527</v>
      </c>
    </row>
    <row r="2975" spans="1:30" x14ac:dyDescent="0.25">
      <c r="H2975" t="s">
        <v>5528</v>
      </c>
    </row>
    <row r="2976" spans="1:30" x14ac:dyDescent="0.25">
      <c r="A2976">
        <v>1485</v>
      </c>
      <c r="B2976">
        <v>5549</v>
      </c>
      <c r="C2976" t="s">
        <v>5529</v>
      </c>
      <c r="D2976" t="s">
        <v>98</v>
      </c>
      <c r="E2976" t="s">
        <v>115</v>
      </c>
      <c r="F2976" t="s">
        <v>5530</v>
      </c>
      <c r="G2976" t="str">
        <f>"201511042104"</f>
        <v>201511042104</v>
      </c>
      <c r="H2976">
        <v>616</v>
      </c>
      <c r="I2976">
        <v>0</v>
      </c>
      <c r="J2976">
        <v>0</v>
      </c>
      <c r="K2976">
        <v>0</v>
      </c>
      <c r="L2976">
        <v>200</v>
      </c>
      <c r="M2976">
        <v>0</v>
      </c>
      <c r="N2976">
        <v>30</v>
      </c>
      <c r="O2976">
        <v>0</v>
      </c>
      <c r="P2976">
        <v>0</v>
      </c>
      <c r="Q2976">
        <v>0</v>
      </c>
      <c r="R2976">
        <v>0</v>
      </c>
      <c r="S2976">
        <v>0</v>
      </c>
      <c r="T2976">
        <v>0</v>
      </c>
      <c r="U2976">
        <v>0</v>
      </c>
      <c r="V2976">
        <v>24</v>
      </c>
      <c r="W2976">
        <v>168</v>
      </c>
      <c r="X2976">
        <v>0</v>
      </c>
      <c r="Z2976">
        <v>0</v>
      </c>
      <c r="AA2976">
        <v>0</v>
      </c>
      <c r="AB2976">
        <v>0</v>
      </c>
      <c r="AC2976">
        <v>0</v>
      </c>
      <c r="AD2976">
        <v>1014</v>
      </c>
    </row>
    <row r="2977" spans="1:30" x14ac:dyDescent="0.25">
      <c r="H2977" t="s">
        <v>5531</v>
      </c>
    </row>
    <row r="2978" spans="1:30" x14ac:dyDescent="0.25">
      <c r="A2978">
        <v>1486</v>
      </c>
      <c r="B2978">
        <v>3111</v>
      </c>
      <c r="C2978" t="s">
        <v>5532</v>
      </c>
      <c r="D2978" t="s">
        <v>40</v>
      </c>
      <c r="E2978" t="s">
        <v>47</v>
      </c>
      <c r="F2978" t="s">
        <v>5533</v>
      </c>
      <c r="G2978" t="str">
        <f>"201502004159"</f>
        <v>201502004159</v>
      </c>
      <c r="H2978" t="s">
        <v>293</v>
      </c>
      <c r="I2978">
        <v>0</v>
      </c>
      <c r="J2978">
        <v>0</v>
      </c>
      <c r="K2978">
        <v>0</v>
      </c>
      <c r="L2978">
        <v>0</v>
      </c>
      <c r="M2978">
        <v>0</v>
      </c>
      <c r="N2978">
        <v>0</v>
      </c>
      <c r="O2978">
        <v>0</v>
      </c>
      <c r="P2978">
        <v>0</v>
      </c>
      <c r="Q2978">
        <v>0</v>
      </c>
      <c r="R2978">
        <v>0</v>
      </c>
      <c r="S2978">
        <v>0</v>
      </c>
      <c r="T2978">
        <v>0</v>
      </c>
      <c r="U2978">
        <v>0</v>
      </c>
      <c r="V2978">
        <v>40</v>
      </c>
      <c r="W2978">
        <v>280</v>
      </c>
      <c r="X2978">
        <v>0</v>
      </c>
      <c r="Z2978">
        <v>0</v>
      </c>
      <c r="AA2978">
        <v>0</v>
      </c>
      <c r="AB2978">
        <v>0</v>
      </c>
      <c r="AC2978">
        <v>0</v>
      </c>
      <c r="AD2978" t="s">
        <v>5534</v>
      </c>
    </row>
    <row r="2979" spans="1:30" x14ac:dyDescent="0.25">
      <c r="H2979" t="s">
        <v>5535</v>
      </c>
    </row>
    <row r="2980" spans="1:30" x14ac:dyDescent="0.25">
      <c r="A2980">
        <v>1487</v>
      </c>
      <c r="B2980">
        <v>2713</v>
      </c>
      <c r="C2980" t="s">
        <v>5536</v>
      </c>
      <c r="D2980" t="s">
        <v>14</v>
      </c>
      <c r="E2980" t="s">
        <v>151</v>
      </c>
      <c r="F2980" t="s">
        <v>5537</v>
      </c>
      <c r="G2980" t="str">
        <f>"00262832"</f>
        <v>00262832</v>
      </c>
      <c r="H2980" t="s">
        <v>2682</v>
      </c>
      <c r="I2980">
        <v>0</v>
      </c>
      <c r="J2980">
        <v>0</v>
      </c>
      <c r="K2980">
        <v>0</v>
      </c>
      <c r="L2980">
        <v>200</v>
      </c>
      <c r="M2980">
        <v>0</v>
      </c>
      <c r="N2980">
        <v>70</v>
      </c>
      <c r="O2980">
        <v>0</v>
      </c>
      <c r="P2980">
        <v>0</v>
      </c>
      <c r="Q2980">
        <v>0</v>
      </c>
      <c r="R2980">
        <v>0</v>
      </c>
      <c r="S2980">
        <v>0</v>
      </c>
      <c r="T2980">
        <v>0</v>
      </c>
      <c r="U2980">
        <v>0</v>
      </c>
      <c r="V2980">
        <v>0</v>
      </c>
      <c r="W2980">
        <v>0</v>
      </c>
      <c r="X2980">
        <v>0</v>
      </c>
      <c r="Z2980">
        <v>1</v>
      </c>
      <c r="AA2980">
        <v>0</v>
      </c>
      <c r="AB2980">
        <v>0</v>
      </c>
      <c r="AC2980">
        <v>0</v>
      </c>
      <c r="AD2980" t="s">
        <v>5538</v>
      </c>
    </row>
    <row r="2981" spans="1:30" x14ac:dyDescent="0.25">
      <c r="H2981" t="s">
        <v>521</v>
      </c>
    </row>
    <row r="2982" spans="1:30" x14ac:dyDescent="0.25">
      <c r="A2982">
        <v>1488</v>
      </c>
      <c r="B2982">
        <v>3593</v>
      </c>
      <c r="C2982" t="s">
        <v>5539</v>
      </c>
      <c r="D2982" t="s">
        <v>183</v>
      </c>
      <c r="E2982" t="s">
        <v>39</v>
      </c>
      <c r="F2982" t="s">
        <v>5540</v>
      </c>
      <c r="G2982" t="str">
        <f>"00150008"</f>
        <v>00150008</v>
      </c>
      <c r="H2982" t="s">
        <v>638</v>
      </c>
      <c r="I2982">
        <v>0</v>
      </c>
      <c r="J2982">
        <v>0</v>
      </c>
      <c r="K2982">
        <v>0</v>
      </c>
      <c r="L2982">
        <v>0</v>
      </c>
      <c r="M2982">
        <v>0</v>
      </c>
      <c r="N2982">
        <v>50</v>
      </c>
      <c r="O2982">
        <v>0</v>
      </c>
      <c r="P2982">
        <v>0</v>
      </c>
      <c r="Q2982">
        <v>0</v>
      </c>
      <c r="R2982">
        <v>0</v>
      </c>
      <c r="S2982">
        <v>0</v>
      </c>
      <c r="T2982">
        <v>0</v>
      </c>
      <c r="U2982">
        <v>0</v>
      </c>
      <c r="V2982">
        <v>5</v>
      </c>
      <c r="W2982">
        <v>35</v>
      </c>
      <c r="X2982">
        <v>0</v>
      </c>
      <c r="Z2982">
        <v>0</v>
      </c>
      <c r="AA2982">
        <v>0</v>
      </c>
      <c r="AB2982">
        <v>13</v>
      </c>
      <c r="AC2982">
        <v>221</v>
      </c>
      <c r="AD2982" t="s">
        <v>5541</v>
      </c>
    </row>
    <row r="2983" spans="1:30" x14ac:dyDescent="0.25">
      <c r="H2983" t="s">
        <v>5542</v>
      </c>
    </row>
    <row r="2984" spans="1:30" x14ac:dyDescent="0.25">
      <c r="A2984">
        <v>1489</v>
      </c>
      <c r="B2984">
        <v>3710</v>
      </c>
      <c r="C2984" t="s">
        <v>5543</v>
      </c>
      <c r="D2984" t="s">
        <v>166</v>
      </c>
      <c r="E2984" t="s">
        <v>162</v>
      </c>
      <c r="F2984" t="s">
        <v>5544</v>
      </c>
      <c r="G2984" t="str">
        <f>"201406013282"</f>
        <v>201406013282</v>
      </c>
      <c r="H2984">
        <v>759</v>
      </c>
      <c r="I2984">
        <v>150</v>
      </c>
      <c r="J2984">
        <v>0</v>
      </c>
      <c r="K2984">
        <v>0</v>
      </c>
      <c r="L2984">
        <v>0</v>
      </c>
      <c r="M2984">
        <v>0</v>
      </c>
      <c r="N2984">
        <v>70</v>
      </c>
      <c r="O2984">
        <v>0</v>
      </c>
      <c r="P2984">
        <v>0</v>
      </c>
      <c r="Q2984">
        <v>0</v>
      </c>
      <c r="R2984">
        <v>0</v>
      </c>
      <c r="S2984">
        <v>0</v>
      </c>
      <c r="T2984">
        <v>0</v>
      </c>
      <c r="U2984">
        <v>0</v>
      </c>
      <c r="V2984">
        <v>0</v>
      </c>
      <c r="W2984">
        <v>0</v>
      </c>
      <c r="X2984">
        <v>0</v>
      </c>
      <c r="Z2984">
        <v>0</v>
      </c>
      <c r="AA2984">
        <v>0</v>
      </c>
      <c r="AB2984">
        <v>2</v>
      </c>
      <c r="AC2984">
        <v>34</v>
      </c>
      <c r="AD2984">
        <v>1013</v>
      </c>
    </row>
    <row r="2985" spans="1:30" x14ac:dyDescent="0.25">
      <c r="H2985" t="s">
        <v>5545</v>
      </c>
    </row>
    <row r="2986" spans="1:30" x14ac:dyDescent="0.25">
      <c r="A2986">
        <v>1490</v>
      </c>
      <c r="B2986">
        <v>2814</v>
      </c>
      <c r="C2986" t="s">
        <v>5546</v>
      </c>
      <c r="D2986" t="s">
        <v>166</v>
      </c>
      <c r="E2986" t="s">
        <v>162</v>
      </c>
      <c r="F2986" t="s">
        <v>5547</v>
      </c>
      <c r="G2986" t="str">
        <f>"00251776"</f>
        <v>00251776</v>
      </c>
      <c r="H2986" t="s">
        <v>332</v>
      </c>
      <c r="I2986">
        <v>0</v>
      </c>
      <c r="J2986">
        <v>0</v>
      </c>
      <c r="K2986">
        <v>0</v>
      </c>
      <c r="L2986">
        <v>0</v>
      </c>
      <c r="M2986">
        <v>0</v>
      </c>
      <c r="N2986">
        <v>0</v>
      </c>
      <c r="O2986">
        <v>0</v>
      </c>
      <c r="P2986">
        <v>0</v>
      </c>
      <c r="Q2986">
        <v>0</v>
      </c>
      <c r="R2986">
        <v>0</v>
      </c>
      <c r="S2986">
        <v>0</v>
      </c>
      <c r="T2986">
        <v>0</v>
      </c>
      <c r="U2986">
        <v>0</v>
      </c>
      <c r="V2986">
        <v>40</v>
      </c>
      <c r="W2986">
        <v>280</v>
      </c>
      <c r="X2986">
        <v>0</v>
      </c>
      <c r="Z2986">
        <v>0</v>
      </c>
      <c r="AA2986">
        <v>0</v>
      </c>
      <c r="AB2986">
        <v>0</v>
      </c>
      <c r="AC2986">
        <v>0</v>
      </c>
      <c r="AD2986" t="s">
        <v>5548</v>
      </c>
    </row>
    <row r="2987" spans="1:30" x14ac:dyDescent="0.25">
      <c r="H2987" t="s">
        <v>5549</v>
      </c>
    </row>
    <row r="2988" spans="1:30" x14ac:dyDescent="0.25">
      <c r="A2988">
        <v>1491</v>
      </c>
      <c r="B2988">
        <v>5285</v>
      </c>
      <c r="C2988" t="s">
        <v>5550</v>
      </c>
      <c r="D2988" t="s">
        <v>335</v>
      </c>
      <c r="E2988" t="s">
        <v>40</v>
      </c>
      <c r="F2988" t="s">
        <v>5551</v>
      </c>
      <c r="G2988" t="str">
        <f>"00045972"</f>
        <v>00045972</v>
      </c>
      <c r="H2988">
        <v>737</v>
      </c>
      <c r="I2988">
        <v>0</v>
      </c>
      <c r="J2988">
        <v>0</v>
      </c>
      <c r="K2988">
        <v>0</v>
      </c>
      <c r="L2988">
        <v>0</v>
      </c>
      <c r="M2988">
        <v>0</v>
      </c>
      <c r="N2988">
        <v>30</v>
      </c>
      <c r="O2988">
        <v>0</v>
      </c>
      <c r="P2988">
        <v>0</v>
      </c>
      <c r="Q2988">
        <v>0</v>
      </c>
      <c r="R2988">
        <v>0</v>
      </c>
      <c r="S2988">
        <v>0</v>
      </c>
      <c r="T2988">
        <v>0</v>
      </c>
      <c r="U2988">
        <v>0</v>
      </c>
      <c r="V2988">
        <v>35</v>
      </c>
      <c r="W2988">
        <v>245</v>
      </c>
      <c r="X2988">
        <v>0</v>
      </c>
      <c r="Z2988">
        <v>2</v>
      </c>
      <c r="AA2988">
        <v>0</v>
      </c>
      <c r="AB2988">
        <v>0</v>
      </c>
      <c r="AC2988">
        <v>0</v>
      </c>
      <c r="AD2988">
        <v>1012</v>
      </c>
    </row>
    <row r="2989" spans="1:30" x14ac:dyDescent="0.25">
      <c r="H2989" t="s">
        <v>1697</v>
      </c>
    </row>
    <row r="2990" spans="1:30" x14ac:dyDescent="0.25">
      <c r="A2990">
        <v>1492</v>
      </c>
      <c r="B2990">
        <v>2889</v>
      </c>
      <c r="C2990" t="s">
        <v>5552</v>
      </c>
      <c r="D2990" t="s">
        <v>107</v>
      </c>
      <c r="E2990" t="s">
        <v>176</v>
      </c>
      <c r="F2990" t="s">
        <v>5553</v>
      </c>
      <c r="G2990" t="str">
        <f>"201405001947"</f>
        <v>201405001947</v>
      </c>
      <c r="H2990" t="s">
        <v>1546</v>
      </c>
      <c r="I2990">
        <v>0</v>
      </c>
      <c r="J2990">
        <v>0</v>
      </c>
      <c r="K2990">
        <v>0</v>
      </c>
      <c r="L2990">
        <v>200</v>
      </c>
      <c r="M2990">
        <v>0</v>
      </c>
      <c r="N2990">
        <v>70</v>
      </c>
      <c r="O2990">
        <v>0</v>
      </c>
      <c r="P2990">
        <v>0</v>
      </c>
      <c r="Q2990">
        <v>0</v>
      </c>
      <c r="R2990">
        <v>0</v>
      </c>
      <c r="S2990">
        <v>0</v>
      </c>
      <c r="T2990">
        <v>0</v>
      </c>
      <c r="U2990">
        <v>0</v>
      </c>
      <c r="V2990">
        <v>0</v>
      </c>
      <c r="W2990">
        <v>0</v>
      </c>
      <c r="X2990">
        <v>0</v>
      </c>
      <c r="Z2990">
        <v>0</v>
      </c>
      <c r="AA2990">
        <v>0</v>
      </c>
      <c r="AB2990">
        <v>0</v>
      </c>
      <c r="AC2990">
        <v>0</v>
      </c>
      <c r="AD2990" t="s">
        <v>5554</v>
      </c>
    </row>
    <row r="2991" spans="1:30" x14ac:dyDescent="0.25">
      <c r="H2991" t="s">
        <v>5555</v>
      </c>
    </row>
    <row r="2992" spans="1:30" x14ac:dyDescent="0.25">
      <c r="A2992">
        <v>1493</v>
      </c>
      <c r="B2992">
        <v>2675</v>
      </c>
      <c r="C2992" t="s">
        <v>5556</v>
      </c>
      <c r="D2992" t="s">
        <v>75</v>
      </c>
      <c r="E2992" t="s">
        <v>47</v>
      </c>
      <c r="F2992" t="s">
        <v>5557</v>
      </c>
      <c r="G2992" t="str">
        <f>"00186429"</f>
        <v>00186429</v>
      </c>
      <c r="H2992" t="s">
        <v>789</v>
      </c>
      <c r="I2992">
        <v>0</v>
      </c>
      <c r="J2992">
        <v>0</v>
      </c>
      <c r="K2992">
        <v>0</v>
      </c>
      <c r="L2992">
        <v>0</v>
      </c>
      <c r="M2992">
        <v>0</v>
      </c>
      <c r="N2992">
        <v>30</v>
      </c>
      <c r="O2992">
        <v>0</v>
      </c>
      <c r="P2992">
        <v>0</v>
      </c>
      <c r="Q2992">
        <v>0</v>
      </c>
      <c r="R2992">
        <v>0</v>
      </c>
      <c r="S2992">
        <v>0</v>
      </c>
      <c r="T2992">
        <v>0</v>
      </c>
      <c r="U2992">
        <v>0</v>
      </c>
      <c r="V2992">
        <v>1</v>
      </c>
      <c r="W2992">
        <v>7</v>
      </c>
      <c r="X2992">
        <v>0</v>
      </c>
      <c r="Z2992">
        <v>0</v>
      </c>
      <c r="AA2992">
        <v>0</v>
      </c>
      <c r="AB2992">
        <v>10</v>
      </c>
      <c r="AC2992">
        <v>170</v>
      </c>
      <c r="AD2992" t="s">
        <v>5558</v>
      </c>
    </row>
    <row r="2993" spans="1:30" x14ac:dyDescent="0.25">
      <c r="H2993" t="s">
        <v>5559</v>
      </c>
    </row>
    <row r="2994" spans="1:30" x14ac:dyDescent="0.25">
      <c r="A2994">
        <v>1494</v>
      </c>
      <c r="B2994">
        <v>5803</v>
      </c>
      <c r="C2994" t="s">
        <v>5560</v>
      </c>
      <c r="D2994" t="s">
        <v>229</v>
      </c>
      <c r="E2994" t="s">
        <v>107</v>
      </c>
      <c r="F2994" t="s">
        <v>5561</v>
      </c>
      <c r="G2994" t="str">
        <f>"00340444"</f>
        <v>00340444</v>
      </c>
      <c r="H2994" t="s">
        <v>117</v>
      </c>
      <c r="I2994">
        <v>0</v>
      </c>
      <c r="J2994">
        <v>0</v>
      </c>
      <c r="K2994">
        <v>0</v>
      </c>
      <c r="L2994">
        <v>0</v>
      </c>
      <c r="M2994">
        <v>0</v>
      </c>
      <c r="N2994">
        <v>30</v>
      </c>
      <c r="O2994">
        <v>0</v>
      </c>
      <c r="P2994">
        <v>0</v>
      </c>
      <c r="Q2994">
        <v>0</v>
      </c>
      <c r="R2994">
        <v>0</v>
      </c>
      <c r="S2994">
        <v>0</v>
      </c>
      <c r="T2994">
        <v>0</v>
      </c>
      <c r="U2994">
        <v>0</v>
      </c>
      <c r="V2994">
        <v>21</v>
      </c>
      <c r="W2994">
        <v>147</v>
      </c>
      <c r="X2994">
        <v>0</v>
      </c>
      <c r="Z2994">
        <v>0</v>
      </c>
      <c r="AA2994">
        <v>0</v>
      </c>
      <c r="AB2994">
        <v>6</v>
      </c>
      <c r="AC2994">
        <v>102</v>
      </c>
      <c r="AD2994" t="s">
        <v>5562</v>
      </c>
    </row>
    <row r="2995" spans="1:30" x14ac:dyDescent="0.25">
      <c r="H2995">
        <v>1247</v>
      </c>
    </row>
    <row r="2996" spans="1:30" x14ac:dyDescent="0.25">
      <c r="A2996">
        <v>1495</v>
      </c>
      <c r="B2996">
        <v>2912</v>
      </c>
      <c r="C2996" t="s">
        <v>5563</v>
      </c>
      <c r="D2996" t="s">
        <v>5564</v>
      </c>
      <c r="E2996" t="s">
        <v>1937</v>
      </c>
      <c r="F2996" t="s">
        <v>5565</v>
      </c>
      <c r="G2996" t="str">
        <f>"00115695"</f>
        <v>00115695</v>
      </c>
      <c r="H2996" t="s">
        <v>3999</v>
      </c>
      <c r="I2996">
        <v>0</v>
      </c>
      <c r="J2996">
        <v>0</v>
      </c>
      <c r="K2996">
        <v>0</v>
      </c>
      <c r="L2996">
        <v>0</v>
      </c>
      <c r="M2996">
        <v>0</v>
      </c>
      <c r="N2996">
        <v>70</v>
      </c>
      <c r="O2996">
        <v>0</v>
      </c>
      <c r="P2996">
        <v>0</v>
      </c>
      <c r="Q2996">
        <v>0</v>
      </c>
      <c r="R2996">
        <v>0</v>
      </c>
      <c r="S2996">
        <v>30</v>
      </c>
      <c r="T2996">
        <v>0</v>
      </c>
      <c r="U2996">
        <v>0</v>
      </c>
      <c r="V2996">
        <v>0</v>
      </c>
      <c r="W2996">
        <v>0</v>
      </c>
      <c r="X2996">
        <v>0</v>
      </c>
      <c r="Z2996">
        <v>0</v>
      </c>
      <c r="AA2996">
        <v>0</v>
      </c>
      <c r="AB2996">
        <v>14</v>
      </c>
      <c r="AC2996">
        <v>238</v>
      </c>
      <c r="AD2996" t="s">
        <v>5566</v>
      </c>
    </row>
    <row r="2997" spans="1:30" x14ac:dyDescent="0.25">
      <c r="H2997" t="s">
        <v>5567</v>
      </c>
    </row>
    <row r="2998" spans="1:30" x14ac:dyDescent="0.25">
      <c r="A2998">
        <v>1496</v>
      </c>
      <c r="B2998">
        <v>5167</v>
      </c>
      <c r="C2998" t="s">
        <v>238</v>
      </c>
      <c r="D2998" t="s">
        <v>5568</v>
      </c>
      <c r="E2998" t="s">
        <v>202</v>
      </c>
      <c r="F2998" t="s">
        <v>5569</v>
      </c>
      <c r="G2998" t="str">
        <f>"00152490"</f>
        <v>00152490</v>
      </c>
      <c r="H2998" t="s">
        <v>2618</v>
      </c>
      <c r="I2998">
        <v>0</v>
      </c>
      <c r="J2998">
        <v>0</v>
      </c>
      <c r="K2998">
        <v>0</v>
      </c>
      <c r="L2998">
        <v>200</v>
      </c>
      <c r="M2998">
        <v>0</v>
      </c>
      <c r="N2998">
        <v>70</v>
      </c>
      <c r="O2998">
        <v>30</v>
      </c>
      <c r="P2998">
        <v>0</v>
      </c>
      <c r="Q2998">
        <v>0</v>
      </c>
      <c r="R2998">
        <v>0</v>
      </c>
      <c r="S2998">
        <v>0</v>
      </c>
      <c r="T2998">
        <v>0</v>
      </c>
      <c r="U2998">
        <v>0</v>
      </c>
      <c r="V2998">
        <v>0</v>
      </c>
      <c r="W2998">
        <v>0</v>
      </c>
      <c r="X2998">
        <v>0</v>
      </c>
      <c r="Z2998">
        <v>0</v>
      </c>
      <c r="AA2998">
        <v>0</v>
      </c>
      <c r="AB2998">
        <v>0</v>
      </c>
      <c r="AC2998">
        <v>0</v>
      </c>
      <c r="AD2998" t="s">
        <v>5570</v>
      </c>
    </row>
    <row r="2999" spans="1:30" x14ac:dyDescent="0.25">
      <c r="H2999" t="s">
        <v>5571</v>
      </c>
    </row>
    <row r="3000" spans="1:30" x14ac:dyDescent="0.25">
      <c r="A3000">
        <v>1497</v>
      </c>
      <c r="B3000">
        <v>5772</v>
      </c>
      <c r="C3000" t="s">
        <v>5572</v>
      </c>
      <c r="D3000" t="s">
        <v>830</v>
      </c>
      <c r="E3000" t="s">
        <v>140</v>
      </c>
      <c r="F3000" t="s">
        <v>5573</v>
      </c>
      <c r="G3000" t="str">
        <f>"201511034632"</f>
        <v>201511034632</v>
      </c>
      <c r="H3000" t="s">
        <v>71</v>
      </c>
      <c r="I3000">
        <v>150</v>
      </c>
      <c r="J3000">
        <v>0</v>
      </c>
      <c r="K3000">
        <v>0</v>
      </c>
      <c r="L3000">
        <v>0</v>
      </c>
      <c r="M3000">
        <v>0</v>
      </c>
      <c r="N3000">
        <v>30</v>
      </c>
      <c r="O3000">
        <v>0</v>
      </c>
      <c r="P3000">
        <v>0</v>
      </c>
      <c r="Q3000">
        <v>0</v>
      </c>
      <c r="R3000">
        <v>0</v>
      </c>
      <c r="S3000">
        <v>0</v>
      </c>
      <c r="T3000">
        <v>0</v>
      </c>
      <c r="U3000">
        <v>0</v>
      </c>
      <c r="V3000">
        <v>0</v>
      </c>
      <c r="W3000">
        <v>0</v>
      </c>
      <c r="X3000">
        <v>0</v>
      </c>
      <c r="Z3000">
        <v>0</v>
      </c>
      <c r="AA3000">
        <v>0</v>
      </c>
      <c r="AB3000">
        <v>0</v>
      </c>
      <c r="AC3000">
        <v>0</v>
      </c>
      <c r="AD3000" t="s">
        <v>5574</v>
      </c>
    </row>
    <row r="3001" spans="1:30" x14ac:dyDescent="0.25">
      <c r="H3001" t="s">
        <v>5575</v>
      </c>
    </row>
    <row r="3002" spans="1:30" x14ac:dyDescent="0.25">
      <c r="A3002">
        <v>1498</v>
      </c>
      <c r="B3002">
        <v>3826</v>
      </c>
      <c r="C3002" t="s">
        <v>5576</v>
      </c>
      <c r="D3002" t="s">
        <v>40</v>
      </c>
      <c r="E3002" t="s">
        <v>5577</v>
      </c>
      <c r="F3002" t="s">
        <v>5578</v>
      </c>
      <c r="G3002" t="str">
        <f>"00174139"</f>
        <v>00174139</v>
      </c>
      <c r="H3002" t="s">
        <v>1546</v>
      </c>
      <c r="I3002">
        <v>0</v>
      </c>
      <c r="J3002">
        <v>0</v>
      </c>
      <c r="K3002">
        <v>0</v>
      </c>
      <c r="L3002">
        <v>0</v>
      </c>
      <c r="M3002">
        <v>0</v>
      </c>
      <c r="N3002">
        <v>30</v>
      </c>
      <c r="O3002">
        <v>0</v>
      </c>
      <c r="P3002">
        <v>0</v>
      </c>
      <c r="Q3002">
        <v>0</v>
      </c>
      <c r="R3002">
        <v>0</v>
      </c>
      <c r="S3002">
        <v>0</v>
      </c>
      <c r="T3002">
        <v>0</v>
      </c>
      <c r="U3002">
        <v>0</v>
      </c>
      <c r="V3002">
        <v>0</v>
      </c>
      <c r="W3002">
        <v>0</v>
      </c>
      <c r="X3002">
        <v>0</v>
      </c>
      <c r="Z3002">
        <v>2</v>
      </c>
      <c r="AA3002">
        <v>0</v>
      </c>
      <c r="AB3002">
        <v>14</v>
      </c>
      <c r="AC3002">
        <v>238</v>
      </c>
      <c r="AD3002" t="s">
        <v>5574</v>
      </c>
    </row>
    <row r="3003" spans="1:30" x14ac:dyDescent="0.25">
      <c r="H3003" t="s">
        <v>5579</v>
      </c>
    </row>
    <row r="3004" spans="1:30" x14ac:dyDescent="0.25">
      <c r="A3004">
        <v>1499</v>
      </c>
      <c r="B3004">
        <v>1506</v>
      </c>
      <c r="C3004" t="s">
        <v>5580</v>
      </c>
      <c r="D3004" t="s">
        <v>373</v>
      </c>
      <c r="E3004" t="s">
        <v>275</v>
      </c>
      <c r="F3004" t="s">
        <v>5581</v>
      </c>
      <c r="G3004" t="str">
        <f>"00311113"</f>
        <v>00311113</v>
      </c>
      <c r="H3004" t="s">
        <v>1774</v>
      </c>
      <c r="I3004">
        <v>0</v>
      </c>
      <c r="J3004">
        <v>0</v>
      </c>
      <c r="K3004">
        <v>0</v>
      </c>
      <c r="L3004">
        <v>0</v>
      </c>
      <c r="M3004">
        <v>0</v>
      </c>
      <c r="N3004">
        <v>0</v>
      </c>
      <c r="O3004">
        <v>0</v>
      </c>
      <c r="P3004">
        <v>0</v>
      </c>
      <c r="Q3004">
        <v>0</v>
      </c>
      <c r="R3004">
        <v>0</v>
      </c>
      <c r="S3004">
        <v>0</v>
      </c>
      <c r="T3004">
        <v>0</v>
      </c>
      <c r="U3004">
        <v>0</v>
      </c>
      <c r="V3004">
        <v>5</v>
      </c>
      <c r="W3004">
        <v>35</v>
      </c>
      <c r="X3004">
        <v>0</v>
      </c>
      <c r="Z3004">
        <v>0</v>
      </c>
      <c r="AA3004">
        <v>0</v>
      </c>
      <c r="AB3004">
        <v>8</v>
      </c>
      <c r="AC3004">
        <v>136</v>
      </c>
      <c r="AD3004" t="s">
        <v>5582</v>
      </c>
    </row>
    <row r="3005" spans="1:30" x14ac:dyDescent="0.25">
      <c r="H3005" t="s">
        <v>5583</v>
      </c>
    </row>
    <row r="3006" spans="1:30" x14ac:dyDescent="0.25">
      <c r="A3006">
        <v>1500</v>
      </c>
      <c r="B3006">
        <v>6268</v>
      </c>
      <c r="C3006" t="s">
        <v>5584</v>
      </c>
      <c r="D3006" t="s">
        <v>239</v>
      </c>
      <c r="E3006" t="s">
        <v>51</v>
      </c>
      <c r="F3006" t="s">
        <v>5585</v>
      </c>
      <c r="G3006" t="str">
        <f>"00146581"</f>
        <v>00146581</v>
      </c>
      <c r="H3006" t="s">
        <v>204</v>
      </c>
      <c r="I3006">
        <v>0</v>
      </c>
      <c r="J3006">
        <v>0</v>
      </c>
      <c r="K3006">
        <v>0</v>
      </c>
      <c r="L3006">
        <v>200</v>
      </c>
      <c r="M3006">
        <v>0</v>
      </c>
      <c r="N3006">
        <v>50</v>
      </c>
      <c r="O3006">
        <v>0</v>
      </c>
      <c r="P3006">
        <v>0</v>
      </c>
      <c r="Q3006">
        <v>0</v>
      </c>
      <c r="R3006">
        <v>0</v>
      </c>
      <c r="S3006">
        <v>0</v>
      </c>
      <c r="T3006">
        <v>0</v>
      </c>
      <c r="U3006">
        <v>0</v>
      </c>
      <c r="V3006">
        <v>4</v>
      </c>
      <c r="W3006">
        <v>28</v>
      </c>
      <c r="X3006">
        <v>0</v>
      </c>
      <c r="Z3006">
        <v>0</v>
      </c>
      <c r="AA3006">
        <v>0</v>
      </c>
      <c r="AB3006">
        <v>0</v>
      </c>
      <c r="AC3006">
        <v>0</v>
      </c>
      <c r="AD3006" t="s">
        <v>5586</v>
      </c>
    </row>
    <row r="3007" spans="1:30" x14ac:dyDescent="0.25">
      <c r="H3007" t="s">
        <v>5587</v>
      </c>
    </row>
    <row r="3008" spans="1:30" x14ac:dyDescent="0.25">
      <c r="A3008">
        <v>1501</v>
      </c>
      <c r="B3008">
        <v>1427</v>
      </c>
      <c r="C3008" t="s">
        <v>5588</v>
      </c>
      <c r="D3008" t="s">
        <v>420</v>
      </c>
      <c r="E3008" t="s">
        <v>39</v>
      </c>
      <c r="F3008" t="s">
        <v>5589</v>
      </c>
      <c r="G3008" t="str">
        <f>"00312863"</f>
        <v>00312863</v>
      </c>
      <c r="H3008" t="s">
        <v>574</v>
      </c>
      <c r="I3008">
        <v>0</v>
      </c>
      <c r="J3008">
        <v>0</v>
      </c>
      <c r="K3008">
        <v>0</v>
      </c>
      <c r="L3008">
        <v>0</v>
      </c>
      <c r="M3008">
        <v>0</v>
      </c>
      <c r="N3008">
        <v>0</v>
      </c>
      <c r="O3008">
        <v>0</v>
      </c>
      <c r="P3008">
        <v>0</v>
      </c>
      <c r="Q3008">
        <v>0</v>
      </c>
      <c r="R3008">
        <v>0</v>
      </c>
      <c r="S3008">
        <v>0</v>
      </c>
      <c r="T3008">
        <v>0</v>
      </c>
      <c r="U3008">
        <v>0</v>
      </c>
      <c r="V3008">
        <v>40</v>
      </c>
      <c r="W3008">
        <v>280</v>
      </c>
      <c r="X3008">
        <v>0</v>
      </c>
      <c r="Z3008">
        <v>0</v>
      </c>
      <c r="AA3008">
        <v>0</v>
      </c>
      <c r="AB3008">
        <v>0</v>
      </c>
      <c r="AC3008">
        <v>0</v>
      </c>
      <c r="AD3008" t="s">
        <v>5590</v>
      </c>
    </row>
    <row r="3009" spans="1:30" x14ac:dyDescent="0.25">
      <c r="H3009" t="s">
        <v>5591</v>
      </c>
    </row>
    <row r="3010" spans="1:30" x14ac:dyDescent="0.25">
      <c r="A3010">
        <v>1502</v>
      </c>
      <c r="B3010">
        <v>998</v>
      </c>
      <c r="C3010" t="s">
        <v>5592</v>
      </c>
      <c r="D3010" t="s">
        <v>47</v>
      </c>
      <c r="E3010" t="s">
        <v>40</v>
      </c>
      <c r="F3010" t="s">
        <v>5593</v>
      </c>
      <c r="G3010" t="str">
        <f>"201406011957"</f>
        <v>201406011957</v>
      </c>
      <c r="H3010" t="s">
        <v>696</v>
      </c>
      <c r="I3010">
        <v>0</v>
      </c>
      <c r="J3010">
        <v>0</v>
      </c>
      <c r="K3010">
        <v>0</v>
      </c>
      <c r="L3010">
        <v>0</v>
      </c>
      <c r="M3010">
        <v>0</v>
      </c>
      <c r="N3010">
        <v>70</v>
      </c>
      <c r="O3010">
        <v>0</v>
      </c>
      <c r="P3010">
        <v>0</v>
      </c>
      <c r="Q3010">
        <v>0</v>
      </c>
      <c r="R3010">
        <v>0</v>
      </c>
      <c r="S3010">
        <v>0</v>
      </c>
      <c r="T3010">
        <v>0</v>
      </c>
      <c r="U3010">
        <v>0</v>
      </c>
      <c r="V3010">
        <v>23</v>
      </c>
      <c r="W3010">
        <v>161</v>
      </c>
      <c r="X3010">
        <v>0</v>
      </c>
      <c r="Z3010">
        <v>0</v>
      </c>
      <c r="AA3010">
        <v>0</v>
      </c>
      <c r="AB3010">
        <v>0</v>
      </c>
      <c r="AC3010">
        <v>0</v>
      </c>
      <c r="AD3010" t="s">
        <v>396</v>
      </c>
    </row>
    <row r="3011" spans="1:30" x14ac:dyDescent="0.25">
      <c r="H3011" t="s">
        <v>5594</v>
      </c>
    </row>
    <row r="3012" spans="1:30" x14ac:dyDescent="0.25">
      <c r="A3012">
        <v>1503</v>
      </c>
      <c r="B3012">
        <v>2423</v>
      </c>
      <c r="C3012" t="s">
        <v>5595</v>
      </c>
      <c r="D3012" t="s">
        <v>335</v>
      </c>
      <c r="E3012" t="s">
        <v>5596</v>
      </c>
      <c r="F3012" t="s">
        <v>5597</v>
      </c>
      <c r="G3012" t="str">
        <f>"201405000681"</f>
        <v>201405000681</v>
      </c>
      <c r="H3012" t="s">
        <v>3212</v>
      </c>
      <c r="I3012">
        <v>0</v>
      </c>
      <c r="J3012">
        <v>0</v>
      </c>
      <c r="K3012">
        <v>0</v>
      </c>
      <c r="L3012">
        <v>260</v>
      </c>
      <c r="M3012">
        <v>0</v>
      </c>
      <c r="N3012">
        <v>30</v>
      </c>
      <c r="O3012">
        <v>0</v>
      </c>
      <c r="P3012">
        <v>0</v>
      </c>
      <c r="Q3012">
        <v>0</v>
      </c>
      <c r="R3012">
        <v>0</v>
      </c>
      <c r="S3012">
        <v>0</v>
      </c>
      <c r="T3012">
        <v>0</v>
      </c>
      <c r="U3012">
        <v>0</v>
      </c>
      <c r="V3012">
        <v>7</v>
      </c>
      <c r="W3012">
        <v>49</v>
      </c>
      <c r="X3012">
        <v>0</v>
      </c>
      <c r="Z3012">
        <v>0</v>
      </c>
      <c r="AA3012">
        <v>0</v>
      </c>
      <c r="AB3012">
        <v>0</v>
      </c>
      <c r="AC3012">
        <v>0</v>
      </c>
      <c r="AD3012" t="s">
        <v>5598</v>
      </c>
    </row>
    <row r="3013" spans="1:30" x14ac:dyDescent="0.25">
      <c r="H3013" t="s">
        <v>5599</v>
      </c>
    </row>
    <row r="3014" spans="1:30" x14ac:dyDescent="0.25">
      <c r="A3014">
        <v>1504</v>
      </c>
      <c r="B3014">
        <v>1974</v>
      </c>
      <c r="C3014" t="s">
        <v>467</v>
      </c>
      <c r="D3014" t="s">
        <v>2537</v>
      </c>
      <c r="E3014" t="s">
        <v>51</v>
      </c>
      <c r="F3014" t="s">
        <v>5600</v>
      </c>
      <c r="G3014" t="str">
        <f>"201405001936"</f>
        <v>201405001936</v>
      </c>
      <c r="H3014" t="s">
        <v>638</v>
      </c>
      <c r="I3014">
        <v>0</v>
      </c>
      <c r="J3014">
        <v>0</v>
      </c>
      <c r="K3014">
        <v>0</v>
      </c>
      <c r="L3014">
        <v>200</v>
      </c>
      <c r="M3014">
        <v>0</v>
      </c>
      <c r="N3014">
        <v>70</v>
      </c>
      <c r="O3014">
        <v>0</v>
      </c>
      <c r="P3014">
        <v>0</v>
      </c>
      <c r="Q3014">
        <v>0</v>
      </c>
      <c r="R3014">
        <v>0</v>
      </c>
      <c r="S3014">
        <v>0</v>
      </c>
      <c r="T3014">
        <v>0</v>
      </c>
      <c r="U3014">
        <v>0</v>
      </c>
      <c r="V3014">
        <v>4</v>
      </c>
      <c r="W3014">
        <v>28</v>
      </c>
      <c r="X3014">
        <v>0</v>
      </c>
      <c r="Z3014">
        <v>0</v>
      </c>
      <c r="AA3014">
        <v>0</v>
      </c>
      <c r="AB3014">
        <v>0</v>
      </c>
      <c r="AC3014">
        <v>0</v>
      </c>
      <c r="AD3014" t="s">
        <v>5601</v>
      </c>
    </row>
    <row r="3015" spans="1:30" x14ac:dyDescent="0.25">
      <c r="H3015" t="s">
        <v>5602</v>
      </c>
    </row>
    <row r="3016" spans="1:30" x14ac:dyDescent="0.25">
      <c r="A3016">
        <v>1505</v>
      </c>
      <c r="B3016">
        <v>2499</v>
      </c>
      <c r="C3016" t="s">
        <v>5603</v>
      </c>
      <c r="D3016" t="s">
        <v>75</v>
      </c>
      <c r="E3016" t="s">
        <v>47</v>
      </c>
      <c r="F3016" t="s">
        <v>5604</v>
      </c>
      <c r="G3016" t="str">
        <f>"00329343"</f>
        <v>00329343</v>
      </c>
      <c r="H3016" t="s">
        <v>2682</v>
      </c>
      <c r="I3016">
        <v>0</v>
      </c>
      <c r="J3016">
        <v>0</v>
      </c>
      <c r="K3016">
        <v>0</v>
      </c>
      <c r="L3016">
        <v>0</v>
      </c>
      <c r="M3016">
        <v>0</v>
      </c>
      <c r="N3016">
        <v>30</v>
      </c>
      <c r="O3016">
        <v>0</v>
      </c>
      <c r="P3016">
        <v>0</v>
      </c>
      <c r="Q3016">
        <v>0</v>
      </c>
      <c r="R3016">
        <v>0</v>
      </c>
      <c r="S3016">
        <v>0</v>
      </c>
      <c r="T3016">
        <v>0</v>
      </c>
      <c r="U3016">
        <v>0</v>
      </c>
      <c r="V3016">
        <v>33</v>
      </c>
      <c r="W3016">
        <v>231</v>
      </c>
      <c r="X3016">
        <v>0</v>
      </c>
      <c r="Z3016">
        <v>2</v>
      </c>
      <c r="AA3016">
        <v>0</v>
      </c>
      <c r="AB3016">
        <v>0</v>
      </c>
      <c r="AC3016">
        <v>0</v>
      </c>
      <c r="AD3016" t="s">
        <v>5605</v>
      </c>
    </row>
    <row r="3017" spans="1:30" x14ac:dyDescent="0.25">
      <c r="H3017" t="s">
        <v>5606</v>
      </c>
    </row>
    <row r="3018" spans="1:30" x14ac:dyDescent="0.25">
      <c r="A3018">
        <v>1506</v>
      </c>
      <c r="B3018">
        <v>2916</v>
      </c>
      <c r="C3018" t="s">
        <v>5607</v>
      </c>
      <c r="D3018" t="s">
        <v>5608</v>
      </c>
      <c r="E3018" t="s">
        <v>202</v>
      </c>
      <c r="F3018" t="s">
        <v>5609</v>
      </c>
      <c r="G3018" t="str">
        <f>"00332849"</f>
        <v>00332849</v>
      </c>
      <c r="H3018" t="s">
        <v>1641</v>
      </c>
      <c r="I3018">
        <v>0</v>
      </c>
      <c r="J3018">
        <v>0</v>
      </c>
      <c r="K3018">
        <v>0</v>
      </c>
      <c r="L3018">
        <v>0</v>
      </c>
      <c r="M3018">
        <v>0</v>
      </c>
      <c r="N3018">
        <v>30</v>
      </c>
      <c r="O3018">
        <v>0</v>
      </c>
      <c r="P3018">
        <v>0</v>
      </c>
      <c r="Q3018">
        <v>0</v>
      </c>
      <c r="R3018">
        <v>0</v>
      </c>
      <c r="S3018">
        <v>0</v>
      </c>
      <c r="T3018">
        <v>0</v>
      </c>
      <c r="U3018">
        <v>0</v>
      </c>
      <c r="V3018">
        <v>13</v>
      </c>
      <c r="W3018">
        <v>91</v>
      </c>
      <c r="X3018">
        <v>0</v>
      </c>
      <c r="Z3018">
        <v>2</v>
      </c>
      <c r="AA3018">
        <v>0</v>
      </c>
      <c r="AB3018">
        <v>0</v>
      </c>
      <c r="AC3018">
        <v>0</v>
      </c>
      <c r="AD3018" t="s">
        <v>5610</v>
      </c>
    </row>
    <row r="3019" spans="1:30" x14ac:dyDescent="0.25">
      <c r="H3019" t="s">
        <v>5611</v>
      </c>
    </row>
    <row r="3020" spans="1:30" x14ac:dyDescent="0.25">
      <c r="A3020">
        <v>1507</v>
      </c>
      <c r="B3020">
        <v>1886</v>
      </c>
      <c r="C3020" t="s">
        <v>5612</v>
      </c>
      <c r="D3020" t="s">
        <v>1810</v>
      </c>
      <c r="E3020" t="s">
        <v>40</v>
      </c>
      <c r="F3020" t="s">
        <v>5613</v>
      </c>
      <c r="G3020" t="str">
        <f>"201511018081"</f>
        <v>201511018081</v>
      </c>
      <c r="H3020" t="s">
        <v>4801</v>
      </c>
      <c r="I3020">
        <v>0</v>
      </c>
      <c r="J3020">
        <v>0</v>
      </c>
      <c r="K3020">
        <v>0</v>
      </c>
      <c r="L3020">
        <v>0</v>
      </c>
      <c r="M3020">
        <v>0</v>
      </c>
      <c r="N3020">
        <v>70</v>
      </c>
      <c r="O3020">
        <v>0</v>
      </c>
      <c r="P3020">
        <v>0</v>
      </c>
      <c r="Q3020">
        <v>0</v>
      </c>
      <c r="R3020">
        <v>0</v>
      </c>
      <c r="S3020">
        <v>0</v>
      </c>
      <c r="T3020">
        <v>30</v>
      </c>
      <c r="U3020">
        <v>0</v>
      </c>
      <c r="V3020">
        <v>0</v>
      </c>
      <c r="W3020">
        <v>0</v>
      </c>
      <c r="X3020">
        <v>0</v>
      </c>
      <c r="Z3020">
        <v>0</v>
      </c>
      <c r="AA3020">
        <v>0</v>
      </c>
      <c r="AB3020">
        <v>9</v>
      </c>
      <c r="AC3020">
        <v>153</v>
      </c>
      <c r="AD3020" t="s">
        <v>5610</v>
      </c>
    </row>
    <row r="3021" spans="1:30" x14ac:dyDescent="0.25">
      <c r="H3021" t="s">
        <v>5614</v>
      </c>
    </row>
    <row r="3022" spans="1:30" x14ac:dyDescent="0.25">
      <c r="A3022">
        <v>1508</v>
      </c>
      <c r="B3022">
        <v>2833</v>
      </c>
      <c r="C3022" t="s">
        <v>5615</v>
      </c>
      <c r="D3022" t="s">
        <v>290</v>
      </c>
      <c r="E3022" t="s">
        <v>5616</v>
      </c>
      <c r="F3022" t="s">
        <v>5617</v>
      </c>
      <c r="G3022" t="str">
        <f>"00221957"</f>
        <v>00221957</v>
      </c>
      <c r="H3022">
        <v>671</v>
      </c>
      <c r="I3022">
        <v>0</v>
      </c>
      <c r="J3022">
        <v>0</v>
      </c>
      <c r="K3022">
        <v>0</v>
      </c>
      <c r="L3022">
        <v>0</v>
      </c>
      <c r="M3022">
        <v>0</v>
      </c>
      <c r="N3022">
        <v>30</v>
      </c>
      <c r="O3022">
        <v>0</v>
      </c>
      <c r="P3022">
        <v>0</v>
      </c>
      <c r="Q3022">
        <v>30</v>
      </c>
      <c r="R3022">
        <v>0</v>
      </c>
      <c r="S3022">
        <v>0</v>
      </c>
      <c r="T3022">
        <v>0</v>
      </c>
      <c r="U3022">
        <v>0</v>
      </c>
      <c r="V3022">
        <v>39</v>
      </c>
      <c r="W3022">
        <v>273</v>
      </c>
      <c r="X3022">
        <v>0</v>
      </c>
      <c r="Z3022">
        <v>0</v>
      </c>
      <c r="AA3022">
        <v>0</v>
      </c>
      <c r="AB3022">
        <v>0</v>
      </c>
      <c r="AC3022">
        <v>0</v>
      </c>
      <c r="AD3022">
        <v>1004</v>
      </c>
    </row>
    <row r="3023" spans="1:30" x14ac:dyDescent="0.25">
      <c r="H3023" t="s">
        <v>5618</v>
      </c>
    </row>
    <row r="3024" spans="1:30" x14ac:dyDescent="0.25">
      <c r="A3024">
        <v>1509</v>
      </c>
      <c r="B3024">
        <v>2577</v>
      </c>
      <c r="C3024" t="s">
        <v>5619</v>
      </c>
      <c r="D3024" t="s">
        <v>420</v>
      </c>
      <c r="E3024" t="s">
        <v>183</v>
      </c>
      <c r="F3024" t="s">
        <v>5620</v>
      </c>
      <c r="G3024" t="str">
        <f>"00150763"</f>
        <v>00150763</v>
      </c>
      <c r="H3024">
        <v>682</v>
      </c>
      <c r="I3024">
        <v>0</v>
      </c>
      <c r="J3024">
        <v>0</v>
      </c>
      <c r="K3024">
        <v>0</v>
      </c>
      <c r="L3024">
        <v>0</v>
      </c>
      <c r="M3024">
        <v>0</v>
      </c>
      <c r="N3024">
        <v>70</v>
      </c>
      <c r="O3024">
        <v>30</v>
      </c>
      <c r="P3024">
        <v>0</v>
      </c>
      <c r="Q3024">
        <v>0</v>
      </c>
      <c r="R3024">
        <v>0</v>
      </c>
      <c r="S3024">
        <v>0</v>
      </c>
      <c r="T3024">
        <v>0</v>
      </c>
      <c r="U3024">
        <v>0</v>
      </c>
      <c r="V3024">
        <v>17</v>
      </c>
      <c r="W3024">
        <v>119</v>
      </c>
      <c r="X3024">
        <v>0</v>
      </c>
      <c r="Z3024">
        <v>0</v>
      </c>
      <c r="AA3024">
        <v>0</v>
      </c>
      <c r="AB3024">
        <v>6</v>
      </c>
      <c r="AC3024">
        <v>102</v>
      </c>
      <c r="AD3024">
        <v>1003</v>
      </c>
    </row>
    <row r="3025" spans="1:30" x14ac:dyDescent="0.25">
      <c r="H3025" t="s">
        <v>5621</v>
      </c>
    </row>
    <row r="3026" spans="1:30" x14ac:dyDescent="0.25">
      <c r="A3026">
        <v>1510</v>
      </c>
      <c r="B3026">
        <v>2399</v>
      </c>
      <c r="C3026" t="s">
        <v>5622</v>
      </c>
      <c r="D3026" t="s">
        <v>526</v>
      </c>
      <c r="E3026" t="s">
        <v>107</v>
      </c>
      <c r="F3026" t="s">
        <v>5623</v>
      </c>
      <c r="G3026" t="str">
        <f>"00254446"</f>
        <v>00254446</v>
      </c>
      <c r="H3026">
        <v>792</v>
      </c>
      <c r="I3026">
        <v>150</v>
      </c>
      <c r="J3026">
        <v>0</v>
      </c>
      <c r="K3026">
        <v>0</v>
      </c>
      <c r="L3026">
        <v>0</v>
      </c>
      <c r="M3026">
        <v>0</v>
      </c>
      <c r="N3026">
        <v>30</v>
      </c>
      <c r="O3026">
        <v>0</v>
      </c>
      <c r="P3026">
        <v>30</v>
      </c>
      <c r="Q3026">
        <v>0</v>
      </c>
      <c r="R3026">
        <v>0</v>
      </c>
      <c r="S3026">
        <v>0</v>
      </c>
      <c r="T3026">
        <v>0</v>
      </c>
      <c r="U3026">
        <v>0</v>
      </c>
      <c r="V3026">
        <v>0</v>
      </c>
      <c r="W3026">
        <v>0</v>
      </c>
      <c r="X3026">
        <v>0</v>
      </c>
      <c r="Z3026">
        <v>0</v>
      </c>
      <c r="AA3026">
        <v>0</v>
      </c>
      <c r="AB3026">
        <v>0</v>
      </c>
      <c r="AC3026">
        <v>0</v>
      </c>
      <c r="AD3026">
        <v>1002</v>
      </c>
    </row>
    <row r="3027" spans="1:30" x14ac:dyDescent="0.25">
      <c r="H3027">
        <v>1249</v>
      </c>
    </row>
    <row r="3028" spans="1:30" x14ac:dyDescent="0.25">
      <c r="A3028">
        <v>1511</v>
      </c>
      <c r="B3028">
        <v>4084</v>
      </c>
      <c r="C3028" t="s">
        <v>5624</v>
      </c>
      <c r="D3028" t="s">
        <v>40</v>
      </c>
      <c r="E3028" t="s">
        <v>162</v>
      </c>
      <c r="F3028" t="s">
        <v>5625</v>
      </c>
      <c r="G3028" t="str">
        <f>"201402008325"</f>
        <v>201402008325</v>
      </c>
      <c r="H3028" t="s">
        <v>4808</v>
      </c>
      <c r="I3028">
        <v>0</v>
      </c>
      <c r="J3028">
        <v>0</v>
      </c>
      <c r="K3028">
        <v>0</v>
      </c>
      <c r="L3028">
        <v>0</v>
      </c>
      <c r="M3028">
        <v>0</v>
      </c>
      <c r="N3028">
        <v>30</v>
      </c>
      <c r="O3028">
        <v>0</v>
      </c>
      <c r="P3028">
        <v>0</v>
      </c>
      <c r="Q3028">
        <v>0</v>
      </c>
      <c r="R3028">
        <v>0</v>
      </c>
      <c r="S3028">
        <v>0</v>
      </c>
      <c r="T3028">
        <v>0</v>
      </c>
      <c r="U3028">
        <v>0</v>
      </c>
      <c r="V3028">
        <v>20</v>
      </c>
      <c r="W3028">
        <v>140</v>
      </c>
      <c r="X3028">
        <v>0</v>
      </c>
      <c r="Z3028">
        <v>0</v>
      </c>
      <c r="AA3028">
        <v>0</v>
      </c>
      <c r="AB3028">
        <v>0</v>
      </c>
      <c r="AC3028">
        <v>0</v>
      </c>
      <c r="AD3028" t="s">
        <v>5626</v>
      </c>
    </row>
    <row r="3029" spans="1:30" x14ac:dyDescent="0.25">
      <c r="H3029" t="s">
        <v>451</v>
      </c>
    </row>
    <row r="3030" spans="1:30" x14ac:dyDescent="0.25">
      <c r="A3030">
        <v>1512</v>
      </c>
      <c r="B3030">
        <v>6209</v>
      </c>
      <c r="C3030" t="s">
        <v>5627</v>
      </c>
      <c r="D3030" t="s">
        <v>33</v>
      </c>
      <c r="E3030" t="s">
        <v>482</v>
      </c>
      <c r="F3030" t="s">
        <v>5628</v>
      </c>
      <c r="G3030" t="str">
        <f>"00369034"</f>
        <v>00369034</v>
      </c>
      <c r="H3030">
        <v>748</v>
      </c>
      <c r="I3030">
        <v>0</v>
      </c>
      <c r="J3030">
        <v>0</v>
      </c>
      <c r="K3030">
        <v>0</v>
      </c>
      <c r="L3030">
        <v>0</v>
      </c>
      <c r="M3030">
        <v>0</v>
      </c>
      <c r="N3030">
        <v>0</v>
      </c>
      <c r="O3030">
        <v>0</v>
      </c>
      <c r="P3030">
        <v>0</v>
      </c>
      <c r="Q3030">
        <v>0</v>
      </c>
      <c r="R3030">
        <v>0</v>
      </c>
      <c r="S3030">
        <v>0</v>
      </c>
      <c r="T3030">
        <v>0</v>
      </c>
      <c r="U3030">
        <v>0</v>
      </c>
      <c r="V3030">
        <v>36</v>
      </c>
      <c r="W3030">
        <v>252</v>
      </c>
      <c r="X3030">
        <v>0</v>
      </c>
      <c r="Z3030">
        <v>0</v>
      </c>
      <c r="AA3030">
        <v>0</v>
      </c>
      <c r="AB3030">
        <v>0</v>
      </c>
      <c r="AC3030">
        <v>0</v>
      </c>
      <c r="AD3030">
        <v>1000</v>
      </c>
    </row>
    <row r="3031" spans="1:30" x14ac:dyDescent="0.25">
      <c r="H3031">
        <v>1247</v>
      </c>
    </row>
    <row r="3032" spans="1:30" x14ac:dyDescent="0.25">
      <c r="A3032">
        <v>1513</v>
      </c>
      <c r="B3032">
        <v>1639</v>
      </c>
      <c r="C3032" t="s">
        <v>5629</v>
      </c>
      <c r="D3032" t="s">
        <v>590</v>
      </c>
      <c r="E3032" t="s">
        <v>40</v>
      </c>
      <c r="F3032" t="s">
        <v>5630</v>
      </c>
      <c r="G3032" t="str">
        <f>"00297109"</f>
        <v>00297109</v>
      </c>
      <c r="H3032" t="s">
        <v>1949</v>
      </c>
      <c r="I3032">
        <v>0</v>
      </c>
      <c r="J3032">
        <v>0</v>
      </c>
      <c r="K3032">
        <v>0</v>
      </c>
      <c r="L3032">
        <v>0</v>
      </c>
      <c r="M3032">
        <v>0</v>
      </c>
      <c r="N3032">
        <v>30</v>
      </c>
      <c r="O3032">
        <v>0</v>
      </c>
      <c r="P3032">
        <v>0</v>
      </c>
      <c r="Q3032">
        <v>0</v>
      </c>
      <c r="R3032">
        <v>0</v>
      </c>
      <c r="S3032">
        <v>0</v>
      </c>
      <c r="T3032">
        <v>0</v>
      </c>
      <c r="U3032">
        <v>0</v>
      </c>
      <c r="V3032">
        <v>35</v>
      </c>
      <c r="W3032">
        <v>245</v>
      </c>
      <c r="X3032">
        <v>0</v>
      </c>
      <c r="Z3032">
        <v>0</v>
      </c>
      <c r="AA3032">
        <v>0</v>
      </c>
      <c r="AB3032">
        <v>0</v>
      </c>
      <c r="AC3032">
        <v>0</v>
      </c>
      <c r="AD3032" t="s">
        <v>5631</v>
      </c>
    </row>
    <row r="3033" spans="1:30" x14ac:dyDescent="0.25">
      <c r="H3033" t="s">
        <v>521</v>
      </c>
    </row>
    <row r="3034" spans="1:30" x14ac:dyDescent="0.25">
      <c r="A3034">
        <v>1514</v>
      </c>
      <c r="B3034">
        <v>2306</v>
      </c>
      <c r="C3034" t="s">
        <v>5632</v>
      </c>
      <c r="D3034" t="s">
        <v>5633</v>
      </c>
      <c r="E3034" t="s">
        <v>51</v>
      </c>
      <c r="F3034" t="s">
        <v>5634</v>
      </c>
      <c r="G3034" t="str">
        <f>"201402002461"</f>
        <v>201402002461</v>
      </c>
      <c r="H3034" t="s">
        <v>4808</v>
      </c>
      <c r="I3034">
        <v>0</v>
      </c>
      <c r="J3034">
        <v>0</v>
      </c>
      <c r="K3034">
        <v>0</v>
      </c>
      <c r="L3034">
        <v>0</v>
      </c>
      <c r="M3034">
        <v>0</v>
      </c>
      <c r="N3034">
        <v>70</v>
      </c>
      <c r="O3034">
        <v>0</v>
      </c>
      <c r="P3034">
        <v>0</v>
      </c>
      <c r="Q3034">
        <v>0</v>
      </c>
      <c r="R3034">
        <v>0</v>
      </c>
      <c r="S3034">
        <v>0</v>
      </c>
      <c r="T3034">
        <v>0</v>
      </c>
      <c r="U3034">
        <v>0</v>
      </c>
      <c r="V3034">
        <v>14</v>
      </c>
      <c r="W3034">
        <v>98</v>
      </c>
      <c r="X3034">
        <v>0</v>
      </c>
      <c r="Z3034">
        <v>0</v>
      </c>
      <c r="AA3034">
        <v>0</v>
      </c>
      <c r="AB3034">
        <v>0</v>
      </c>
      <c r="AC3034">
        <v>0</v>
      </c>
      <c r="AD3034" t="s">
        <v>5635</v>
      </c>
    </row>
    <row r="3035" spans="1:30" x14ac:dyDescent="0.25">
      <c r="H3035" t="s">
        <v>5636</v>
      </c>
    </row>
    <row r="3036" spans="1:30" x14ac:dyDescent="0.25">
      <c r="A3036">
        <v>1515</v>
      </c>
      <c r="B3036">
        <v>1934</v>
      </c>
      <c r="C3036" t="s">
        <v>5637</v>
      </c>
      <c r="D3036" t="s">
        <v>3136</v>
      </c>
      <c r="E3036" t="s">
        <v>51</v>
      </c>
      <c r="F3036" t="s">
        <v>5638</v>
      </c>
      <c r="G3036" t="str">
        <f>"00145133"</f>
        <v>00145133</v>
      </c>
      <c r="H3036" t="s">
        <v>2742</v>
      </c>
      <c r="I3036">
        <v>0</v>
      </c>
      <c r="J3036">
        <v>0</v>
      </c>
      <c r="K3036">
        <v>0</v>
      </c>
      <c r="L3036">
        <v>0</v>
      </c>
      <c r="M3036">
        <v>0</v>
      </c>
      <c r="N3036">
        <v>50</v>
      </c>
      <c r="O3036">
        <v>0</v>
      </c>
      <c r="P3036">
        <v>0</v>
      </c>
      <c r="Q3036">
        <v>30</v>
      </c>
      <c r="R3036">
        <v>0</v>
      </c>
      <c r="S3036">
        <v>0</v>
      </c>
      <c r="T3036">
        <v>0</v>
      </c>
      <c r="U3036">
        <v>0</v>
      </c>
      <c r="V3036">
        <v>6</v>
      </c>
      <c r="W3036">
        <v>42</v>
      </c>
      <c r="X3036">
        <v>0</v>
      </c>
      <c r="Z3036">
        <v>0</v>
      </c>
      <c r="AA3036">
        <v>0</v>
      </c>
      <c r="AB3036">
        <v>8</v>
      </c>
      <c r="AC3036">
        <v>136</v>
      </c>
      <c r="AD3036" t="s">
        <v>5639</v>
      </c>
    </row>
    <row r="3037" spans="1:30" x14ac:dyDescent="0.25">
      <c r="H3037" t="s">
        <v>5640</v>
      </c>
    </row>
    <row r="3038" spans="1:30" x14ac:dyDescent="0.25">
      <c r="A3038">
        <v>1516</v>
      </c>
      <c r="B3038">
        <v>3808</v>
      </c>
      <c r="C3038" t="s">
        <v>5641</v>
      </c>
      <c r="D3038" t="s">
        <v>14</v>
      </c>
      <c r="E3038" t="s">
        <v>1070</v>
      </c>
      <c r="F3038" t="s">
        <v>5642</v>
      </c>
      <c r="G3038" t="str">
        <f>"00049555"</f>
        <v>00049555</v>
      </c>
      <c r="H3038">
        <v>770</v>
      </c>
      <c r="I3038">
        <v>0</v>
      </c>
      <c r="J3038">
        <v>0</v>
      </c>
      <c r="K3038">
        <v>0</v>
      </c>
      <c r="L3038">
        <v>0</v>
      </c>
      <c r="M3038">
        <v>0</v>
      </c>
      <c r="N3038">
        <v>30</v>
      </c>
      <c r="O3038">
        <v>0</v>
      </c>
      <c r="P3038">
        <v>0</v>
      </c>
      <c r="Q3038">
        <v>0</v>
      </c>
      <c r="R3038">
        <v>0</v>
      </c>
      <c r="S3038">
        <v>0</v>
      </c>
      <c r="T3038">
        <v>0</v>
      </c>
      <c r="U3038">
        <v>0</v>
      </c>
      <c r="V3038">
        <v>28</v>
      </c>
      <c r="W3038">
        <v>196</v>
      </c>
      <c r="X3038">
        <v>0</v>
      </c>
      <c r="Z3038">
        <v>0</v>
      </c>
      <c r="AA3038">
        <v>0</v>
      </c>
      <c r="AB3038">
        <v>0</v>
      </c>
      <c r="AC3038">
        <v>0</v>
      </c>
      <c r="AD3038">
        <v>996</v>
      </c>
    </row>
    <row r="3039" spans="1:30" x14ac:dyDescent="0.25">
      <c r="H3039" t="s">
        <v>5643</v>
      </c>
    </row>
    <row r="3040" spans="1:30" x14ac:dyDescent="0.25">
      <c r="A3040">
        <v>1517</v>
      </c>
      <c r="B3040">
        <v>4628</v>
      </c>
      <c r="C3040" t="s">
        <v>5644</v>
      </c>
      <c r="D3040" t="s">
        <v>2814</v>
      </c>
      <c r="E3040" t="s">
        <v>40</v>
      </c>
      <c r="F3040" t="s">
        <v>5645</v>
      </c>
      <c r="G3040" t="str">
        <f>"00264107"</f>
        <v>00264107</v>
      </c>
      <c r="H3040">
        <v>660</v>
      </c>
      <c r="I3040">
        <v>0</v>
      </c>
      <c r="J3040">
        <v>0</v>
      </c>
      <c r="K3040">
        <v>0</v>
      </c>
      <c r="L3040">
        <v>0</v>
      </c>
      <c r="M3040">
        <v>0</v>
      </c>
      <c r="N3040">
        <v>30</v>
      </c>
      <c r="O3040">
        <v>0</v>
      </c>
      <c r="P3040">
        <v>0</v>
      </c>
      <c r="Q3040">
        <v>0</v>
      </c>
      <c r="R3040">
        <v>0</v>
      </c>
      <c r="S3040">
        <v>0</v>
      </c>
      <c r="T3040">
        <v>0</v>
      </c>
      <c r="U3040">
        <v>0</v>
      </c>
      <c r="V3040">
        <v>0</v>
      </c>
      <c r="W3040">
        <v>0</v>
      </c>
      <c r="X3040">
        <v>0</v>
      </c>
      <c r="Z3040">
        <v>0</v>
      </c>
      <c r="AA3040">
        <v>0</v>
      </c>
      <c r="AB3040">
        <v>18</v>
      </c>
      <c r="AC3040">
        <v>306</v>
      </c>
      <c r="AD3040">
        <v>996</v>
      </c>
    </row>
    <row r="3041" spans="1:30" x14ac:dyDescent="0.25">
      <c r="H3041" t="s">
        <v>5646</v>
      </c>
    </row>
    <row r="3042" spans="1:30" x14ac:dyDescent="0.25">
      <c r="A3042">
        <v>1518</v>
      </c>
      <c r="B3042">
        <v>4490</v>
      </c>
      <c r="C3042" t="s">
        <v>5647</v>
      </c>
      <c r="D3042" t="s">
        <v>3691</v>
      </c>
      <c r="E3042" t="s">
        <v>39</v>
      </c>
      <c r="F3042" t="s">
        <v>5648</v>
      </c>
      <c r="G3042" t="str">
        <f>"00362409"</f>
        <v>00362409</v>
      </c>
      <c r="H3042" t="s">
        <v>1315</v>
      </c>
      <c r="I3042">
        <v>0</v>
      </c>
      <c r="J3042">
        <v>0</v>
      </c>
      <c r="K3042">
        <v>0</v>
      </c>
      <c r="L3042">
        <v>0</v>
      </c>
      <c r="M3042">
        <v>0</v>
      </c>
      <c r="N3042">
        <v>30</v>
      </c>
      <c r="O3042">
        <v>0</v>
      </c>
      <c r="P3042">
        <v>0</v>
      </c>
      <c r="Q3042">
        <v>0</v>
      </c>
      <c r="R3042">
        <v>0</v>
      </c>
      <c r="S3042">
        <v>0</v>
      </c>
      <c r="T3042">
        <v>0</v>
      </c>
      <c r="U3042">
        <v>0</v>
      </c>
      <c r="V3042">
        <v>38</v>
      </c>
      <c r="W3042">
        <v>266</v>
      </c>
      <c r="X3042">
        <v>0</v>
      </c>
      <c r="Z3042">
        <v>0</v>
      </c>
      <c r="AA3042">
        <v>0</v>
      </c>
      <c r="AB3042">
        <v>0</v>
      </c>
      <c r="AC3042">
        <v>0</v>
      </c>
      <c r="AD3042" t="s">
        <v>5649</v>
      </c>
    </row>
    <row r="3043" spans="1:30" x14ac:dyDescent="0.25">
      <c r="H3043" t="s">
        <v>5650</v>
      </c>
    </row>
    <row r="3044" spans="1:30" x14ac:dyDescent="0.25">
      <c r="A3044">
        <v>1519</v>
      </c>
      <c r="B3044">
        <v>2035</v>
      </c>
      <c r="C3044" t="s">
        <v>5651</v>
      </c>
      <c r="D3044" t="s">
        <v>40</v>
      </c>
      <c r="E3044" t="s">
        <v>51</v>
      </c>
      <c r="F3044" t="s">
        <v>5652</v>
      </c>
      <c r="G3044" t="str">
        <f>"201402007898"</f>
        <v>201402007898</v>
      </c>
      <c r="H3044" t="s">
        <v>574</v>
      </c>
      <c r="I3044">
        <v>0</v>
      </c>
      <c r="J3044">
        <v>0</v>
      </c>
      <c r="K3044">
        <v>0</v>
      </c>
      <c r="L3044">
        <v>0</v>
      </c>
      <c r="M3044">
        <v>0</v>
      </c>
      <c r="N3044">
        <v>0</v>
      </c>
      <c r="O3044">
        <v>0</v>
      </c>
      <c r="P3044">
        <v>0</v>
      </c>
      <c r="Q3044">
        <v>0</v>
      </c>
      <c r="R3044">
        <v>0</v>
      </c>
      <c r="S3044">
        <v>0</v>
      </c>
      <c r="T3044">
        <v>0</v>
      </c>
      <c r="U3044">
        <v>0</v>
      </c>
      <c r="V3044">
        <v>38</v>
      </c>
      <c r="W3044">
        <v>266</v>
      </c>
      <c r="X3044">
        <v>0</v>
      </c>
      <c r="Z3044">
        <v>0</v>
      </c>
      <c r="AA3044">
        <v>0</v>
      </c>
      <c r="AB3044">
        <v>0</v>
      </c>
      <c r="AC3044">
        <v>0</v>
      </c>
      <c r="AD3044" t="s">
        <v>5653</v>
      </c>
    </row>
    <row r="3045" spans="1:30" x14ac:dyDescent="0.25">
      <c r="H3045" t="s">
        <v>2957</v>
      </c>
    </row>
    <row r="3046" spans="1:30" x14ac:dyDescent="0.25">
      <c r="A3046">
        <v>1520</v>
      </c>
      <c r="B3046">
        <v>4165</v>
      </c>
      <c r="C3046" t="s">
        <v>5654</v>
      </c>
      <c r="D3046" t="s">
        <v>2487</v>
      </c>
      <c r="E3046" t="s">
        <v>5655</v>
      </c>
      <c r="F3046" t="s">
        <v>5656</v>
      </c>
      <c r="G3046" t="str">
        <f>"00005448"</f>
        <v>00005448</v>
      </c>
      <c r="H3046">
        <v>704</v>
      </c>
      <c r="I3046">
        <v>0</v>
      </c>
      <c r="J3046">
        <v>0</v>
      </c>
      <c r="K3046">
        <v>0</v>
      </c>
      <c r="L3046">
        <v>0</v>
      </c>
      <c r="M3046">
        <v>0</v>
      </c>
      <c r="N3046">
        <v>50</v>
      </c>
      <c r="O3046">
        <v>0</v>
      </c>
      <c r="P3046">
        <v>0</v>
      </c>
      <c r="Q3046">
        <v>0</v>
      </c>
      <c r="R3046">
        <v>0</v>
      </c>
      <c r="S3046">
        <v>0</v>
      </c>
      <c r="T3046">
        <v>0</v>
      </c>
      <c r="U3046">
        <v>0</v>
      </c>
      <c r="V3046">
        <v>-24</v>
      </c>
      <c r="W3046">
        <v>-168</v>
      </c>
      <c r="X3046">
        <v>0</v>
      </c>
      <c r="Z3046">
        <v>0</v>
      </c>
      <c r="AA3046">
        <v>0</v>
      </c>
      <c r="AB3046">
        <v>24</v>
      </c>
      <c r="AC3046">
        <v>408</v>
      </c>
      <c r="AD3046">
        <v>994</v>
      </c>
    </row>
    <row r="3047" spans="1:30" x14ac:dyDescent="0.25">
      <c r="H3047" t="s">
        <v>5657</v>
      </c>
    </row>
    <row r="3048" spans="1:30" x14ac:dyDescent="0.25">
      <c r="A3048">
        <v>1521</v>
      </c>
      <c r="B3048">
        <v>5985</v>
      </c>
      <c r="C3048" t="s">
        <v>5658</v>
      </c>
      <c r="D3048" t="s">
        <v>566</v>
      </c>
      <c r="E3048" t="s">
        <v>40</v>
      </c>
      <c r="F3048" t="s">
        <v>5659</v>
      </c>
      <c r="G3048" t="str">
        <f>"00369201"</f>
        <v>00369201</v>
      </c>
      <c r="H3048" t="s">
        <v>5660</v>
      </c>
      <c r="I3048">
        <v>0</v>
      </c>
      <c r="J3048">
        <v>0</v>
      </c>
      <c r="K3048">
        <v>0</v>
      </c>
      <c r="L3048">
        <v>0</v>
      </c>
      <c r="M3048">
        <v>0</v>
      </c>
      <c r="N3048">
        <v>0</v>
      </c>
      <c r="O3048">
        <v>0</v>
      </c>
      <c r="P3048">
        <v>0</v>
      </c>
      <c r="Q3048">
        <v>0</v>
      </c>
      <c r="R3048">
        <v>0</v>
      </c>
      <c r="S3048">
        <v>0</v>
      </c>
      <c r="T3048">
        <v>0</v>
      </c>
      <c r="U3048">
        <v>0</v>
      </c>
      <c r="V3048">
        <v>8</v>
      </c>
      <c r="W3048">
        <v>56</v>
      </c>
      <c r="X3048">
        <v>0</v>
      </c>
      <c r="Z3048">
        <v>0</v>
      </c>
      <c r="AA3048">
        <v>0</v>
      </c>
      <c r="AB3048">
        <v>0</v>
      </c>
      <c r="AC3048">
        <v>0</v>
      </c>
      <c r="AD3048" t="s">
        <v>5661</v>
      </c>
    </row>
    <row r="3049" spans="1:30" x14ac:dyDescent="0.25">
      <c r="H3049" t="s">
        <v>5662</v>
      </c>
    </row>
    <row r="3050" spans="1:30" x14ac:dyDescent="0.25">
      <c r="A3050">
        <v>1522</v>
      </c>
      <c r="B3050">
        <v>5281</v>
      </c>
      <c r="C3050" t="s">
        <v>62</v>
      </c>
      <c r="D3050" t="s">
        <v>1555</v>
      </c>
      <c r="E3050" t="s">
        <v>47</v>
      </c>
      <c r="F3050" t="s">
        <v>5663</v>
      </c>
      <c r="G3050" t="str">
        <f>"200810000132"</f>
        <v>200810000132</v>
      </c>
      <c r="H3050">
        <v>627</v>
      </c>
      <c r="I3050">
        <v>0</v>
      </c>
      <c r="J3050">
        <v>0</v>
      </c>
      <c r="K3050">
        <v>0</v>
      </c>
      <c r="L3050">
        <v>0</v>
      </c>
      <c r="M3050">
        <v>0</v>
      </c>
      <c r="N3050">
        <v>30</v>
      </c>
      <c r="O3050">
        <v>0</v>
      </c>
      <c r="P3050">
        <v>0</v>
      </c>
      <c r="Q3050">
        <v>0</v>
      </c>
      <c r="R3050">
        <v>0</v>
      </c>
      <c r="S3050">
        <v>0</v>
      </c>
      <c r="T3050">
        <v>0</v>
      </c>
      <c r="U3050">
        <v>0</v>
      </c>
      <c r="V3050">
        <v>48</v>
      </c>
      <c r="W3050">
        <v>336</v>
      </c>
      <c r="X3050">
        <v>0</v>
      </c>
      <c r="Z3050">
        <v>0</v>
      </c>
      <c r="AA3050">
        <v>0</v>
      </c>
      <c r="AB3050">
        <v>0</v>
      </c>
      <c r="AC3050">
        <v>0</v>
      </c>
      <c r="AD3050">
        <v>993</v>
      </c>
    </row>
    <row r="3051" spans="1:30" x14ac:dyDescent="0.25">
      <c r="H3051" t="s">
        <v>5664</v>
      </c>
    </row>
    <row r="3052" spans="1:30" x14ac:dyDescent="0.25">
      <c r="A3052">
        <v>1523</v>
      </c>
      <c r="B3052">
        <v>4383</v>
      </c>
      <c r="C3052" t="s">
        <v>5665</v>
      </c>
      <c r="D3052" t="s">
        <v>694</v>
      </c>
      <c r="E3052" t="s">
        <v>5666</v>
      </c>
      <c r="F3052" t="s">
        <v>5667</v>
      </c>
      <c r="G3052" t="str">
        <f>"00227948"</f>
        <v>00227948</v>
      </c>
      <c r="H3052">
        <v>836</v>
      </c>
      <c r="I3052">
        <v>0</v>
      </c>
      <c r="J3052">
        <v>0</v>
      </c>
      <c r="K3052">
        <v>0</v>
      </c>
      <c r="L3052">
        <v>0</v>
      </c>
      <c r="M3052">
        <v>0</v>
      </c>
      <c r="N3052">
        <v>30</v>
      </c>
      <c r="O3052">
        <v>0</v>
      </c>
      <c r="P3052">
        <v>0</v>
      </c>
      <c r="Q3052">
        <v>0</v>
      </c>
      <c r="R3052">
        <v>0</v>
      </c>
      <c r="S3052">
        <v>0</v>
      </c>
      <c r="T3052">
        <v>0</v>
      </c>
      <c r="U3052">
        <v>0</v>
      </c>
      <c r="V3052">
        <v>18</v>
      </c>
      <c r="W3052">
        <v>126</v>
      </c>
      <c r="X3052">
        <v>0</v>
      </c>
      <c r="Z3052">
        <v>2</v>
      </c>
      <c r="AA3052">
        <v>0</v>
      </c>
      <c r="AB3052">
        <v>0</v>
      </c>
      <c r="AC3052">
        <v>0</v>
      </c>
      <c r="AD3052">
        <v>992</v>
      </c>
    </row>
    <row r="3053" spans="1:30" x14ac:dyDescent="0.25">
      <c r="H3053" t="s">
        <v>5668</v>
      </c>
    </row>
    <row r="3054" spans="1:30" x14ac:dyDescent="0.25">
      <c r="A3054">
        <v>1524</v>
      </c>
      <c r="B3054">
        <v>5762</v>
      </c>
      <c r="C3054" t="s">
        <v>5669</v>
      </c>
      <c r="D3054" t="s">
        <v>33</v>
      </c>
      <c r="E3054" t="s">
        <v>40</v>
      </c>
      <c r="F3054" t="s">
        <v>5670</v>
      </c>
      <c r="G3054" t="str">
        <f>"201212000054"</f>
        <v>201212000054</v>
      </c>
      <c r="H3054" t="s">
        <v>332</v>
      </c>
      <c r="I3054">
        <v>0</v>
      </c>
      <c r="J3054">
        <v>0</v>
      </c>
      <c r="K3054">
        <v>0</v>
      </c>
      <c r="L3054">
        <v>0</v>
      </c>
      <c r="M3054">
        <v>0</v>
      </c>
      <c r="N3054">
        <v>70</v>
      </c>
      <c r="O3054">
        <v>0</v>
      </c>
      <c r="P3054">
        <v>0</v>
      </c>
      <c r="Q3054">
        <v>0</v>
      </c>
      <c r="R3054">
        <v>0</v>
      </c>
      <c r="S3054">
        <v>0</v>
      </c>
      <c r="T3054">
        <v>0</v>
      </c>
      <c r="U3054">
        <v>0</v>
      </c>
      <c r="V3054">
        <v>27</v>
      </c>
      <c r="W3054">
        <v>189</v>
      </c>
      <c r="X3054">
        <v>0</v>
      </c>
      <c r="Z3054">
        <v>0</v>
      </c>
      <c r="AA3054">
        <v>0</v>
      </c>
      <c r="AB3054">
        <v>0</v>
      </c>
      <c r="AC3054">
        <v>0</v>
      </c>
      <c r="AD3054" t="s">
        <v>5671</v>
      </c>
    </row>
    <row r="3055" spans="1:30" x14ac:dyDescent="0.25">
      <c r="H3055" t="s">
        <v>5672</v>
      </c>
    </row>
    <row r="3056" spans="1:30" x14ac:dyDescent="0.25">
      <c r="A3056">
        <v>1525</v>
      </c>
      <c r="B3056">
        <v>3718</v>
      </c>
      <c r="C3056" t="s">
        <v>5673</v>
      </c>
      <c r="D3056" t="s">
        <v>162</v>
      </c>
      <c r="E3056" t="s">
        <v>1039</v>
      </c>
      <c r="F3056" t="s">
        <v>5674</v>
      </c>
      <c r="G3056" t="str">
        <f>"201406012589"</f>
        <v>201406012589</v>
      </c>
      <c r="H3056" t="s">
        <v>1572</v>
      </c>
      <c r="I3056">
        <v>0</v>
      </c>
      <c r="J3056">
        <v>0</v>
      </c>
      <c r="K3056">
        <v>0</v>
      </c>
      <c r="L3056">
        <v>0</v>
      </c>
      <c r="M3056">
        <v>0</v>
      </c>
      <c r="N3056">
        <v>70</v>
      </c>
      <c r="O3056">
        <v>0</v>
      </c>
      <c r="P3056">
        <v>0</v>
      </c>
      <c r="Q3056">
        <v>0</v>
      </c>
      <c r="R3056">
        <v>0</v>
      </c>
      <c r="S3056">
        <v>0</v>
      </c>
      <c r="T3056">
        <v>0</v>
      </c>
      <c r="U3056">
        <v>0</v>
      </c>
      <c r="V3056">
        <v>29</v>
      </c>
      <c r="W3056">
        <v>203</v>
      </c>
      <c r="X3056">
        <v>0</v>
      </c>
      <c r="Z3056">
        <v>0</v>
      </c>
      <c r="AA3056">
        <v>0</v>
      </c>
      <c r="AB3056">
        <v>0</v>
      </c>
      <c r="AC3056">
        <v>0</v>
      </c>
      <c r="AD3056" t="s">
        <v>5675</v>
      </c>
    </row>
    <row r="3057" spans="1:30" x14ac:dyDescent="0.25">
      <c r="H3057" t="s">
        <v>5676</v>
      </c>
    </row>
    <row r="3058" spans="1:30" x14ac:dyDescent="0.25">
      <c r="A3058">
        <v>1526</v>
      </c>
      <c r="B3058">
        <v>1768</v>
      </c>
      <c r="C3058" t="s">
        <v>5677</v>
      </c>
      <c r="D3058" t="s">
        <v>468</v>
      </c>
      <c r="E3058" t="s">
        <v>162</v>
      </c>
      <c r="F3058" t="s">
        <v>5678</v>
      </c>
      <c r="G3058" t="str">
        <f>"201511027356"</f>
        <v>201511027356</v>
      </c>
      <c r="H3058" t="s">
        <v>933</v>
      </c>
      <c r="I3058">
        <v>0</v>
      </c>
      <c r="J3058">
        <v>0</v>
      </c>
      <c r="K3058">
        <v>0</v>
      </c>
      <c r="L3058">
        <v>0</v>
      </c>
      <c r="M3058">
        <v>0</v>
      </c>
      <c r="N3058">
        <v>30</v>
      </c>
      <c r="O3058">
        <v>0</v>
      </c>
      <c r="P3058">
        <v>0</v>
      </c>
      <c r="Q3058">
        <v>0</v>
      </c>
      <c r="R3058">
        <v>0</v>
      </c>
      <c r="S3058">
        <v>0</v>
      </c>
      <c r="T3058">
        <v>0</v>
      </c>
      <c r="U3058">
        <v>0</v>
      </c>
      <c r="V3058">
        <v>35</v>
      </c>
      <c r="W3058">
        <v>245</v>
      </c>
      <c r="X3058">
        <v>0</v>
      </c>
      <c r="Z3058">
        <v>2</v>
      </c>
      <c r="AA3058">
        <v>0</v>
      </c>
      <c r="AB3058">
        <v>0</v>
      </c>
      <c r="AC3058">
        <v>0</v>
      </c>
      <c r="AD3058" t="s">
        <v>5679</v>
      </c>
    </row>
    <row r="3059" spans="1:30" x14ac:dyDescent="0.25">
      <c r="H3059" t="s">
        <v>5680</v>
      </c>
    </row>
    <row r="3060" spans="1:30" x14ac:dyDescent="0.25">
      <c r="A3060">
        <v>1527</v>
      </c>
      <c r="B3060">
        <v>994</v>
      </c>
      <c r="C3060" t="s">
        <v>120</v>
      </c>
      <c r="D3060" t="s">
        <v>296</v>
      </c>
      <c r="E3060" t="s">
        <v>47</v>
      </c>
      <c r="F3060" t="s">
        <v>5681</v>
      </c>
      <c r="G3060" t="str">
        <f>"00189714"</f>
        <v>00189714</v>
      </c>
      <c r="H3060" t="s">
        <v>933</v>
      </c>
      <c r="I3060">
        <v>0</v>
      </c>
      <c r="J3060">
        <v>0</v>
      </c>
      <c r="K3060">
        <v>0</v>
      </c>
      <c r="L3060">
        <v>0</v>
      </c>
      <c r="M3060">
        <v>0</v>
      </c>
      <c r="N3060">
        <v>30</v>
      </c>
      <c r="O3060">
        <v>0</v>
      </c>
      <c r="P3060">
        <v>0</v>
      </c>
      <c r="Q3060">
        <v>0</v>
      </c>
      <c r="R3060">
        <v>0</v>
      </c>
      <c r="S3060">
        <v>0</v>
      </c>
      <c r="T3060">
        <v>0</v>
      </c>
      <c r="U3060">
        <v>0</v>
      </c>
      <c r="V3060">
        <v>35</v>
      </c>
      <c r="W3060">
        <v>245</v>
      </c>
      <c r="X3060">
        <v>0</v>
      </c>
      <c r="Z3060">
        <v>0</v>
      </c>
      <c r="AA3060">
        <v>0</v>
      </c>
      <c r="AB3060">
        <v>0</v>
      </c>
      <c r="AC3060">
        <v>0</v>
      </c>
      <c r="AD3060" t="s">
        <v>5679</v>
      </c>
    </row>
    <row r="3061" spans="1:30" x14ac:dyDescent="0.25">
      <c r="H3061" t="s">
        <v>5682</v>
      </c>
    </row>
    <row r="3062" spans="1:30" x14ac:dyDescent="0.25">
      <c r="A3062">
        <v>1528</v>
      </c>
      <c r="B3062">
        <v>5517</v>
      </c>
      <c r="C3062" t="s">
        <v>1960</v>
      </c>
      <c r="D3062" t="s">
        <v>1576</v>
      </c>
      <c r="E3062" t="s">
        <v>3620</v>
      </c>
      <c r="F3062" t="s">
        <v>5683</v>
      </c>
      <c r="G3062" t="str">
        <f>"201511030362"</f>
        <v>201511030362</v>
      </c>
      <c r="H3062" t="s">
        <v>1371</v>
      </c>
      <c r="I3062">
        <v>0</v>
      </c>
      <c r="J3062">
        <v>0</v>
      </c>
      <c r="K3062">
        <v>0</v>
      </c>
      <c r="L3062">
        <v>0</v>
      </c>
      <c r="M3062">
        <v>0</v>
      </c>
      <c r="N3062">
        <v>30</v>
      </c>
      <c r="O3062">
        <v>0</v>
      </c>
      <c r="P3062">
        <v>30</v>
      </c>
      <c r="Q3062">
        <v>0</v>
      </c>
      <c r="R3062">
        <v>0</v>
      </c>
      <c r="S3062">
        <v>0</v>
      </c>
      <c r="T3062">
        <v>0</v>
      </c>
      <c r="U3062">
        <v>0</v>
      </c>
      <c r="V3062">
        <v>24</v>
      </c>
      <c r="W3062">
        <v>168</v>
      </c>
      <c r="X3062">
        <v>0</v>
      </c>
      <c r="Z3062">
        <v>0</v>
      </c>
      <c r="AA3062">
        <v>0</v>
      </c>
      <c r="AB3062">
        <v>0</v>
      </c>
      <c r="AC3062">
        <v>0</v>
      </c>
      <c r="AD3062" t="s">
        <v>5684</v>
      </c>
    </row>
    <row r="3063" spans="1:30" x14ac:dyDescent="0.25">
      <c r="H3063" t="s">
        <v>451</v>
      </c>
    </row>
    <row r="3064" spans="1:30" x14ac:dyDescent="0.25">
      <c r="A3064">
        <v>1529</v>
      </c>
      <c r="B3064">
        <v>2143</v>
      </c>
      <c r="C3064" t="s">
        <v>5685</v>
      </c>
      <c r="D3064" t="s">
        <v>176</v>
      </c>
      <c r="E3064" t="s">
        <v>40</v>
      </c>
      <c r="F3064" t="s">
        <v>5686</v>
      </c>
      <c r="G3064" t="str">
        <f>"00320568"</f>
        <v>00320568</v>
      </c>
      <c r="H3064" t="s">
        <v>5687</v>
      </c>
      <c r="I3064">
        <v>0</v>
      </c>
      <c r="J3064">
        <v>0</v>
      </c>
      <c r="K3064">
        <v>0</v>
      </c>
      <c r="L3064">
        <v>0</v>
      </c>
      <c r="M3064">
        <v>0</v>
      </c>
      <c r="N3064">
        <v>0</v>
      </c>
      <c r="O3064">
        <v>0</v>
      </c>
      <c r="P3064">
        <v>0</v>
      </c>
      <c r="Q3064">
        <v>0</v>
      </c>
      <c r="R3064">
        <v>0</v>
      </c>
      <c r="S3064">
        <v>0</v>
      </c>
      <c r="T3064">
        <v>0</v>
      </c>
      <c r="U3064">
        <v>0</v>
      </c>
      <c r="V3064">
        <v>41</v>
      </c>
      <c r="W3064">
        <v>287</v>
      </c>
      <c r="X3064">
        <v>0</v>
      </c>
      <c r="Z3064">
        <v>0</v>
      </c>
      <c r="AA3064">
        <v>0</v>
      </c>
      <c r="AB3064">
        <v>5</v>
      </c>
      <c r="AC3064">
        <v>85</v>
      </c>
      <c r="AD3064" t="s">
        <v>5688</v>
      </c>
    </row>
    <row r="3065" spans="1:30" x14ac:dyDescent="0.25">
      <c r="H3065" t="s">
        <v>5689</v>
      </c>
    </row>
    <row r="3066" spans="1:30" x14ac:dyDescent="0.25">
      <c r="A3066">
        <v>1530</v>
      </c>
      <c r="B3066">
        <v>3257</v>
      </c>
      <c r="C3066" t="s">
        <v>5690</v>
      </c>
      <c r="D3066" t="s">
        <v>599</v>
      </c>
      <c r="E3066" t="s">
        <v>39</v>
      </c>
      <c r="F3066" t="s">
        <v>5691</v>
      </c>
      <c r="G3066" t="str">
        <f>"00357863"</f>
        <v>00357863</v>
      </c>
      <c r="H3066" t="s">
        <v>2010</v>
      </c>
      <c r="I3066">
        <v>0</v>
      </c>
      <c r="J3066">
        <v>0</v>
      </c>
      <c r="K3066">
        <v>0</v>
      </c>
      <c r="L3066">
        <v>0</v>
      </c>
      <c r="M3066">
        <v>0</v>
      </c>
      <c r="N3066">
        <v>30</v>
      </c>
      <c r="O3066">
        <v>0</v>
      </c>
      <c r="P3066">
        <v>0</v>
      </c>
      <c r="Q3066">
        <v>0</v>
      </c>
      <c r="R3066">
        <v>0</v>
      </c>
      <c r="S3066">
        <v>0</v>
      </c>
      <c r="T3066">
        <v>0</v>
      </c>
      <c r="U3066">
        <v>0</v>
      </c>
      <c r="V3066">
        <v>6</v>
      </c>
      <c r="W3066">
        <v>42</v>
      </c>
      <c r="X3066">
        <v>0</v>
      </c>
      <c r="Z3066">
        <v>1</v>
      </c>
      <c r="AA3066">
        <v>0</v>
      </c>
      <c r="AB3066">
        <v>5</v>
      </c>
      <c r="AC3066">
        <v>85</v>
      </c>
      <c r="AD3066" t="s">
        <v>5692</v>
      </c>
    </row>
    <row r="3067" spans="1:30" x14ac:dyDescent="0.25">
      <c r="H3067" t="s">
        <v>5693</v>
      </c>
    </row>
    <row r="3068" spans="1:30" x14ac:dyDescent="0.25">
      <c r="A3068">
        <v>1531</v>
      </c>
      <c r="B3068">
        <v>576</v>
      </c>
      <c r="C3068" t="s">
        <v>5694</v>
      </c>
      <c r="D3068" t="s">
        <v>75</v>
      </c>
      <c r="E3068" t="s">
        <v>47</v>
      </c>
      <c r="F3068" t="s">
        <v>5695</v>
      </c>
      <c r="G3068" t="str">
        <f>"00223329"</f>
        <v>00223329</v>
      </c>
      <c r="H3068" t="s">
        <v>2742</v>
      </c>
      <c r="I3068">
        <v>0</v>
      </c>
      <c r="J3068">
        <v>0</v>
      </c>
      <c r="K3068">
        <v>0</v>
      </c>
      <c r="L3068">
        <v>0</v>
      </c>
      <c r="M3068">
        <v>0</v>
      </c>
      <c r="N3068">
        <v>50</v>
      </c>
      <c r="O3068">
        <v>0</v>
      </c>
      <c r="P3068">
        <v>0</v>
      </c>
      <c r="Q3068">
        <v>0</v>
      </c>
      <c r="R3068">
        <v>0</v>
      </c>
      <c r="S3068">
        <v>0</v>
      </c>
      <c r="T3068">
        <v>0</v>
      </c>
      <c r="U3068">
        <v>0</v>
      </c>
      <c r="V3068">
        <v>-20</v>
      </c>
      <c r="W3068">
        <v>-140</v>
      </c>
      <c r="X3068">
        <v>0</v>
      </c>
      <c r="Z3068">
        <v>0</v>
      </c>
      <c r="AA3068">
        <v>0</v>
      </c>
      <c r="AB3068">
        <v>20</v>
      </c>
      <c r="AC3068">
        <v>340</v>
      </c>
      <c r="AD3068" t="s">
        <v>5696</v>
      </c>
    </row>
    <row r="3069" spans="1:30" x14ac:dyDescent="0.25">
      <c r="H3069" t="s">
        <v>451</v>
      </c>
    </row>
    <row r="3070" spans="1:30" x14ac:dyDescent="0.25">
      <c r="A3070">
        <v>1532</v>
      </c>
      <c r="B3070">
        <v>2092</v>
      </c>
      <c r="C3070" t="s">
        <v>2737</v>
      </c>
      <c r="D3070" t="s">
        <v>107</v>
      </c>
      <c r="E3070" t="s">
        <v>140</v>
      </c>
      <c r="F3070" t="s">
        <v>5697</v>
      </c>
      <c r="G3070" t="str">
        <f>"00319985"</f>
        <v>00319985</v>
      </c>
      <c r="H3070" t="s">
        <v>1063</v>
      </c>
      <c r="I3070">
        <v>0</v>
      </c>
      <c r="J3070">
        <v>0</v>
      </c>
      <c r="K3070">
        <v>0</v>
      </c>
      <c r="L3070">
        <v>200</v>
      </c>
      <c r="M3070">
        <v>0</v>
      </c>
      <c r="N3070">
        <v>30</v>
      </c>
      <c r="O3070">
        <v>0</v>
      </c>
      <c r="P3070">
        <v>0</v>
      </c>
      <c r="Q3070">
        <v>0</v>
      </c>
      <c r="R3070">
        <v>0</v>
      </c>
      <c r="S3070">
        <v>0</v>
      </c>
      <c r="T3070">
        <v>0</v>
      </c>
      <c r="U3070">
        <v>0</v>
      </c>
      <c r="V3070">
        <v>2</v>
      </c>
      <c r="W3070">
        <v>14</v>
      </c>
      <c r="X3070">
        <v>0</v>
      </c>
      <c r="Z3070">
        <v>0</v>
      </c>
      <c r="AA3070">
        <v>0</v>
      </c>
      <c r="AB3070">
        <v>0</v>
      </c>
      <c r="AC3070">
        <v>0</v>
      </c>
      <c r="AD3070" t="s">
        <v>5698</v>
      </c>
    </row>
    <row r="3071" spans="1:30" x14ac:dyDescent="0.25">
      <c r="H3071" t="s">
        <v>5699</v>
      </c>
    </row>
    <row r="3072" spans="1:30" x14ac:dyDescent="0.25">
      <c r="A3072">
        <v>1533</v>
      </c>
      <c r="B3072">
        <v>3716</v>
      </c>
      <c r="C3072" t="s">
        <v>5700</v>
      </c>
      <c r="D3072" t="s">
        <v>151</v>
      </c>
      <c r="E3072" t="s">
        <v>107</v>
      </c>
      <c r="F3072" t="s">
        <v>5701</v>
      </c>
      <c r="G3072" t="str">
        <f>"201511018146"</f>
        <v>201511018146</v>
      </c>
      <c r="H3072" t="s">
        <v>2937</v>
      </c>
      <c r="I3072">
        <v>0</v>
      </c>
      <c r="J3072">
        <v>0</v>
      </c>
      <c r="K3072">
        <v>0</v>
      </c>
      <c r="L3072">
        <v>0</v>
      </c>
      <c r="M3072">
        <v>0</v>
      </c>
      <c r="N3072">
        <v>0</v>
      </c>
      <c r="O3072">
        <v>0</v>
      </c>
      <c r="P3072">
        <v>30</v>
      </c>
      <c r="Q3072">
        <v>0</v>
      </c>
      <c r="R3072">
        <v>0</v>
      </c>
      <c r="S3072">
        <v>0</v>
      </c>
      <c r="T3072">
        <v>0</v>
      </c>
      <c r="U3072">
        <v>0</v>
      </c>
      <c r="V3072">
        <v>48</v>
      </c>
      <c r="W3072">
        <v>336</v>
      </c>
      <c r="X3072">
        <v>0</v>
      </c>
      <c r="Z3072">
        <v>0</v>
      </c>
      <c r="AA3072">
        <v>0</v>
      </c>
      <c r="AB3072">
        <v>0</v>
      </c>
      <c r="AC3072">
        <v>0</v>
      </c>
      <c r="AD3072" t="s">
        <v>5702</v>
      </c>
    </row>
    <row r="3073" spans="1:30" x14ac:dyDescent="0.25">
      <c r="H3073" t="s">
        <v>5703</v>
      </c>
    </row>
    <row r="3074" spans="1:30" x14ac:dyDescent="0.25">
      <c r="A3074">
        <v>1534</v>
      </c>
      <c r="B3074">
        <v>2629</v>
      </c>
      <c r="C3074" t="s">
        <v>5704</v>
      </c>
      <c r="D3074" t="s">
        <v>636</v>
      </c>
      <c r="E3074" t="s">
        <v>162</v>
      </c>
      <c r="F3074" t="s">
        <v>5705</v>
      </c>
      <c r="G3074" t="str">
        <f>"201012000120"</f>
        <v>201012000120</v>
      </c>
      <c r="H3074" t="s">
        <v>1101</v>
      </c>
      <c r="I3074">
        <v>0</v>
      </c>
      <c r="J3074">
        <v>0</v>
      </c>
      <c r="K3074">
        <v>0</v>
      </c>
      <c r="L3074">
        <v>0</v>
      </c>
      <c r="M3074">
        <v>0</v>
      </c>
      <c r="N3074">
        <v>70</v>
      </c>
      <c r="O3074">
        <v>0</v>
      </c>
      <c r="P3074">
        <v>0</v>
      </c>
      <c r="Q3074">
        <v>0</v>
      </c>
      <c r="R3074">
        <v>0</v>
      </c>
      <c r="S3074">
        <v>0</v>
      </c>
      <c r="T3074">
        <v>0</v>
      </c>
      <c r="U3074">
        <v>0</v>
      </c>
      <c r="V3074">
        <v>-23</v>
      </c>
      <c r="W3074">
        <v>-161</v>
      </c>
      <c r="X3074">
        <v>0</v>
      </c>
      <c r="Z3074">
        <v>0</v>
      </c>
      <c r="AA3074">
        <v>0</v>
      </c>
      <c r="AB3074">
        <v>23</v>
      </c>
      <c r="AC3074">
        <v>391</v>
      </c>
      <c r="AD3074" t="s">
        <v>5706</v>
      </c>
    </row>
    <row r="3075" spans="1:30" x14ac:dyDescent="0.25">
      <c r="H3075">
        <v>1247</v>
      </c>
    </row>
    <row r="3076" spans="1:30" x14ac:dyDescent="0.25">
      <c r="A3076">
        <v>1535</v>
      </c>
      <c r="B3076">
        <v>2181</v>
      </c>
      <c r="C3076" t="s">
        <v>5707</v>
      </c>
      <c r="D3076" t="s">
        <v>494</v>
      </c>
      <c r="E3076" t="s">
        <v>47</v>
      </c>
      <c r="F3076" t="s">
        <v>5708</v>
      </c>
      <c r="G3076" t="str">
        <f>"00266029"</f>
        <v>00266029</v>
      </c>
      <c r="H3076" t="s">
        <v>2287</v>
      </c>
      <c r="I3076">
        <v>150</v>
      </c>
      <c r="J3076">
        <v>0</v>
      </c>
      <c r="K3076">
        <v>0</v>
      </c>
      <c r="L3076">
        <v>0</v>
      </c>
      <c r="M3076">
        <v>0</v>
      </c>
      <c r="N3076">
        <v>30</v>
      </c>
      <c r="O3076">
        <v>0</v>
      </c>
      <c r="P3076">
        <v>0</v>
      </c>
      <c r="Q3076">
        <v>0</v>
      </c>
      <c r="R3076">
        <v>0</v>
      </c>
      <c r="S3076">
        <v>0</v>
      </c>
      <c r="T3076">
        <v>0</v>
      </c>
      <c r="U3076">
        <v>0</v>
      </c>
      <c r="V3076">
        <v>0</v>
      </c>
      <c r="W3076">
        <v>0</v>
      </c>
      <c r="X3076">
        <v>0</v>
      </c>
      <c r="Z3076">
        <v>0</v>
      </c>
      <c r="AA3076">
        <v>0</v>
      </c>
      <c r="AB3076">
        <v>0</v>
      </c>
      <c r="AC3076">
        <v>0</v>
      </c>
      <c r="AD3076" t="s">
        <v>5709</v>
      </c>
    </row>
    <row r="3077" spans="1:30" x14ac:dyDescent="0.25">
      <c r="H3077" t="s">
        <v>5710</v>
      </c>
    </row>
    <row r="3078" spans="1:30" x14ac:dyDescent="0.25">
      <c r="A3078">
        <v>1536</v>
      </c>
      <c r="B3078">
        <v>820</v>
      </c>
      <c r="C3078" t="s">
        <v>5711</v>
      </c>
      <c r="D3078" t="s">
        <v>183</v>
      </c>
      <c r="E3078" t="s">
        <v>39</v>
      </c>
      <c r="F3078" t="s">
        <v>5712</v>
      </c>
      <c r="G3078" t="str">
        <f>"00249077"</f>
        <v>00249077</v>
      </c>
      <c r="H3078" t="s">
        <v>826</v>
      </c>
      <c r="I3078">
        <v>0</v>
      </c>
      <c r="J3078">
        <v>0</v>
      </c>
      <c r="K3078">
        <v>0</v>
      </c>
      <c r="L3078">
        <v>0</v>
      </c>
      <c r="M3078">
        <v>0</v>
      </c>
      <c r="N3078">
        <v>0</v>
      </c>
      <c r="O3078">
        <v>0</v>
      </c>
      <c r="P3078">
        <v>0</v>
      </c>
      <c r="Q3078">
        <v>0</v>
      </c>
      <c r="R3078">
        <v>0</v>
      </c>
      <c r="S3078">
        <v>0</v>
      </c>
      <c r="T3078">
        <v>0</v>
      </c>
      <c r="U3078">
        <v>0</v>
      </c>
      <c r="V3078">
        <v>30</v>
      </c>
      <c r="W3078">
        <v>210</v>
      </c>
      <c r="X3078">
        <v>0</v>
      </c>
      <c r="Z3078">
        <v>0</v>
      </c>
      <c r="AA3078">
        <v>0</v>
      </c>
      <c r="AB3078">
        <v>0</v>
      </c>
      <c r="AC3078">
        <v>0</v>
      </c>
      <c r="AD3078" t="s">
        <v>5713</v>
      </c>
    </row>
    <row r="3079" spans="1:30" x14ac:dyDescent="0.25">
      <c r="H3079" t="s">
        <v>5714</v>
      </c>
    </row>
    <row r="3080" spans="1:30" x14ac:dyDescent="0.25">
      <c r="A3080">
        <v>1537</v>
      </c>
      <c r="B3080">
        <v>1220</v>
      </c>
      <c r="C3080" t="s">
        <v>1586</v>
      </c>
      <c r="D3080" t="s">
        <v>86</v>
      </c>
      <c r="E3080" t="s">
        <v>107</v>
      </c>
      <c r="F3080" t="s">
        <v>5715</v>
      </c>
      <c r="G3080" t="str">
        <f>"201511027834"</f>
        <v>201511027834</v>
      </c>
      <c r="H3080" t="s">
        <v>2206</v>
      </c>
      <c r="I3080">
        <v>0</v>
      </c>
      <c r="J3080">
        <v>0</v>
      </c>
      <c r="K3080">
        <v>0</v>
      </c>
      <c r="L3080">
        <v>0</v>
      </c>
      <c r="M3080">
        <v>0</v>
      </c>
      <c r="N3080">
        <v>30</v>
      </c>
      <c r="O3080">
        <v>0</v>
      </c>
      <c r="P3080">
        <v>0</v>
      </c>
      <c r="Q3080">
        <v>0</v>
      </c>
      <c r="R3080">
        <v>0</v>
      </c>
      <c r="S3080">
        <v>0</v>
      </c>
      <c r="T3080">
        <v>0</v>
      </c>
      <c r="U3080">
        <v>0</v>
      </c>
      <c r="V3080">
        <v>43</v>
      </c>
      <c r="W3080">
        <v>301</v>
      </c>
      <c r="X3080">
        <v>0</v>
      </c>
      <c r="Z3080">
        <v>0</v>
      </c>
      <c r="AA3080">
        <v>0</v>
      </c>
      <c r="AB3080">
        <v>0</v>
      </c>
      <c r="AC3080">
        <v>0</v>
      </c>
      <c r="AD3080" t="s">
        <v>5713</v>
      </c>
    </row>
    <row r="3081" spans="1:30" x14ac:dyDescent="0.25">
      <c r="H3081" t="s">
        <v>5716</v>
      </c>
    </row>
    <row r="3082" spans="1:30" x14ac:dyDescent="0.25">
      <c r="A3082">
        <v>1538</v>
      </c>
      <c r="B3082">
        <v>4505</v>
      </c>
      <c r="C3082" t="s">
        <v>5717</v>
      </c>
      <c r="D3082" t="s">
        <v>143</v>
      </c>
      <c r="E3082" t="s">
        <v>5718</v>
      </c>
      <c r="F3082" t="s">
        <v>5719</v>
      </c>
      <c r="G3082" t="str">
        <f>"201511035736"</f>
        <v>201511035736</v>
      </c>
      <c r="H3082" t="s">
        <v>1339</v>
      </c>
      <c r="I3082">
        <v>150</v>
      </c>
      <c r="J3082">
        <v>0</v>
      </c>
      <c r="K3082">
        <v>0</v>
      </c>
      <c r="L3082">
        <v>0</v>
      </c>
      <c r="M3082">
        <v>0</v>
      </c>
      <c r="N3082">
        <v>30</v>
      </c>
      <c r="O3082">
        <v>0</v>
      </c>
      <c r="P3082">
        <v>0</v>
      </c>
      <c r="Q3082">
        <v>0</v>
      </c>
      <c r="R3082">
        <v>0</v>
      </c>
      <c r="S3082">
        <v>0</v>
      </c>
      <c r="T3082">
        <v>0</v>
      </c>
      <c r="U3082">
        <v>0</v>
      </c>
      <c r="V3082">
        <v>19</v>
      </c>
      <c r="W3082">
        <v>133</v>
      </c>
      <c r="X3082">
        <v>0</v>
      </c>
      <c r="Z3082">
        <v>0</v>
      </c>
      <c r="AA3082">
        <v>0</v>
      </c>
      <c r="AB3082">
        <v>0</v>
      </c>
      <c r="AC3082">
        <v>0</v>
      </c>
      <c r="AD3082" t="s">
        <v>5720</v>
      </c>
    </row>
    <row r="3083" spans="1:30" x14ac:dyDescent="0.25">
      <c r="H3083" t="s">
        <v>5721</v>
      </c>
    </row>
    <row r="3084" spans="1:30" x14ac:dyDescent="0.25">
      <c r="A3084">
        <v>1539</v>
      </c>
      <c r="B3084">
        <v>4102</v>
      </c>
      <c r="C3084" t="s">
        <v>5722</v>
      </c>
      <c r="D3084" t="s">
        <v>335</v>
      </c>
      <c r="E3084" t="s">
        <v>47</v>
      </c>
      <c r="F3084" t="s">
        <v>5723</v>
      </c>
      <c r="G3084" t="str">
        <f>"201410007342"</f>
        <v>201410007342</v>
      </c>
      <c r="H3084">
        <v>836</v>
      </c>
      <c r="I3084">
        <v>150</v>
      </c>
      <c r="J3084">
        <v>0</v>
      </c>
      <c r="K3084">
        <v>0</v>
      </c>
      <c r="L3084">
        <v>0</v>
      </c>
      <c r="M3084">
        <v>0</v>
      </c>
      <c r="N3084">
        <v>0</v>
      </c>
      <c r="O3084">
        <v>0</v>
      </c>
      <c r="P3084">
        <v>0</v>
      </c>
      <c r="Q3084">
        <v>0</v>
      </c>
      <c r="R3084">
        <v>0</v>
      </c>
      <c r="S3084">
        <v>0</v>
      </c>
      <c r="T3084">
        <v>0</v>
      </c>
      <c r="U3084">
        <v>0</v>
      </c>
      <c r="V3084">
        <v>0</v>
      </c>
      <c r="W3084">
        <v>0</v>
      </c>
      <c r="X3084">
        <v>0</v>
      </c>
      <c r="Z3084">
        <v>0</v>
      </c>
      <c r="AA3084">
        <v>0</v>
      </c>
      <c r="AB3084">
        <v>0</v>
      </c>
      <c r="AC3084">
        <v>0</v>
      </c>
      <c r="AD3084">
        <v>986</v>
      </c>
    </row>
    <row r="3085" spans="1:30" x14ac:dyDescent="0.25">
      <c r="H3085" t="s">
        <v>5724</v>
      </c>
    </row>
    <row r="3086" spans="1:30" x14ac:dyDescent="0.25">
      <c r="A3086">
        <v>1540</v>
      </c>
      <c r="B3086">
        <v>5303</v>
      </c>
      <c r="C3086" t="s">
        <v>1185</v>
      </c>
      <c r="D3086" t="s">
        <v>271</v>
      </c>
      <c r="E3086" t="s">
        <v>40</v>
      </c>
      <c r="F3086" t="s">
        <v>5725</v>
      </c>
      <c r="G3086" t="str">
        <f>"00356774"</f>
        <v>00356774</v>
      </c>
      <c r="H3086" t="s">
        <v>5726</v>
      </c>
      <c r="I3086">
        <v>0</v>
      </c>
      <c r="J3086">
        <v>0</v>
      </c>
      <c r="K3086">
        <v>0</v>
      </c>
      <c r="L3086">
        <v>0</v>
      </c>
      <c r="M3086">
        <v>0</v>
      </c>
      <c r="N3086">
        <v>0</v>
      </c>
      <c r="O3086">
        <v>0</v>
      </c>
      <c r="P3086">
        <v>0</v>
      </c>
      <c r="Q3086">
        <v>0</v>
      </c>
      <c r="R3086">
        <v>0</v>
      </c>
      <c r="S3086">
        <v>0</v>
      </c>
      <c r="T3086">
        <v>0</v>
      </c>
      <c r="U3086">
        <v>0</v>
      </c>
      <c r="V3086">
        <v>34</v>
      </c>
      <c r="W3086">
        <v>238</v>
      </c>
      <c r="X3086">
        <v>0</v>
      </c>
      <c r="Z3086">
        <v>2</v>
      </c>
      <c r="AA3086">
        <v>0</v>
      </c>
      <c r="AB3086">
        <v>8</v>
      </c>
      <c r="AC3086">
        <v>136</v>
      </c>
      <c r="AD3086" t="s">
        <v>5727</v>
      </c>
    </row>
    <row r="3087" spans="1:30" x14ac:dyDescent="0.25">
      <c r="H3087" t="s">
        <v>4262</v>
      </c>
    </row>
    <row r="3088" spans="1:30" x14ac:dyDescent="0.25">
      <c r="A3088">
        <v>1541</v>
      </c>
      <c r="B3088">
        <v>4398</v>
      </c>
      <c r="C3088" t="s">
        <v>5728</v>
      </c>
      <c r="D3088" t="s">
        <v>5729</v>
      </c>
      <c r="E3088" t="s">
        <v>92</v>
      </c>
      <c r="F3088" t="s">
        <v>5730</v>
      </c>
      <c r="G3088" t="str">
        <f>"201406013696"</f>
        <v>201406013696</v>
      </c>
      <c r="H3088" t="s">
        <v>2742</v>
      </c>
      <c r="I3088">
        <v>0</v>
      </c>
      <c r="J3088">
        <v>0</v>
      </c>
      <c r="K3088">
        <v>0</v>
      </c>
      <c r="L3088">
        <v>0</v>
      </c>
      <c r="M3088">
        <v>0</v>
      </c>
      <c r="N3088">
        <v>70</v>
      </c>
      <c r="O3088">
        <v>0</v>
      </c>
      <c r="P3088">
        <v>0</v>
      </c>
      <c r="Q3088">
        <v>0</v>
      </c>
      <c r="R3088">
        <v>0</v>
      </c>
      <c r="S3088">
        <v>0</v>
      </c>
      <c r="T3088">
        <v>0</v>
      </c>
      <c r="U3088">
        <v>0</v>
      </c>
      <c r="V3088">
        <v>25</v>
      </c>
      <c r="W3088">
        <v>175</v>
      </c>
      <c r="X3088">
        <v>0</v>
      </c>
      <c r="Z3088">
        <v>0</v>
      </c>
      <c r="AA3088">
        <v>0</v>
      </c>
      <c r="AB3088">
        <v>0</v>
      </c>
      <c r="AC3088">
        <v>0</v>
      </c>
      <c r="AD3088" t="s">
        <v>5731</v>
      </c>
    </row>
    <row r="3089" spans="1:30" x14ac:dyDescent="0.25">
      <c r="H3089" t="s">
        <v>1210</v>
      </c>
    </row>
    <row r="3090" spans="1:30" x14ac:dyDescent="0.25">
      <c r="A3090">
        <v>1542</v>
      </c>
      <c r="B3090">
        <v>3013</v>
      </c>
      <c r="C3090" t="s">
        <v>5732</v>
      </c>
      <c r="D3090" t="s">
        <v>2280</v>
      </c>
      <c r="E3090" t="s">
        <v>40</v>
      </c>
      <c r="F3090" t="s">
        <v>5733</v>
      </c>
      <c r="G3090" t="str">
        <f>"00361167"</f>
        <v>00361167</v>
      </c>
      <c r="H3090" t="s">
        <v>1150</v>
      </c>
      <c r="I3090">
        <v>0</v>
      </c>
      <c r="J3090">
        <v>0</v>
      </c>
      <c r="K3090">
        <v>0</v>
      </c>
      <c r="L3090">
        <v>0</v>
      </c>
      <c r="M3090">
        <v>0</v>
      </c>
      <c r="N3090">
        <v>30</v>
      </c>
      <c r="O3090">
        <v>0</v>
      </c>
      <c r="P3090">
        <v>0</v>
      </c>
      <c r="Q3090">
        <v>0</v>
      </c>
      <c r="R3090">
        <v>0</v>
      </c>
      <c r="S3090">
        <v>0</v>
      </c>
      <c r="T3090">
        <v>0</v>
      </c>
      <c r="U3090">
        <v>0</v>
      </c>
      <c r="V3090">
        <v>36</v>
      </c>
      <c r="W3090">
        <v>252</v>
      </c>
      <c r="X3090">
        <v>0</v>
      </c>
      <c r="Z3090">
        <v>0</v>
      </c>
      <c r="AA3090">
        <v>0</v>
      </c>
      <c r="AB3090">
        <v>0</v>
      </c>
      <c r="AC3090">
        <v>0</v>
      </c>
      <c r="AD3090" t="s">
        <v>5734</v>
      </c>
    </row>
    <row r="3091" spans="1:30" x14ac:dyDescent="0.25">
      <c r="H3091" t="s">
        <v>5735</v>
      </c>
    </row>
    <row r="3092" spans="1:30" x14ac:dyDescent="0.25">
      <c r="A3092">
        <v>1543</v>
      </c>
      <c r="B3092">
        <v>6085</v>
      </c>
      <c r="C3092" t="s">
        <v>4026</v>
      </c>
      <c r="D3092" t="s">
        <v>373</v>
      </c>
      <c r="E3092" t="s">
        <v>547</v>
      </c>
      <c r="F3092" t="s">
        <v>5736</v>
      </c>
      <c r="G3092" t="str">
        <f>"00354974"</f>
        <v>00354974</v>
      </c>
      <c r="H3092" t="s">
        <v>3862</v>
      </c>
      <c r="I3092">
        <v>0</v>
      </c>
      <c r="J3092">
        <v>0</v>
      </c>
      <c r="K3092">
        <v>0</v>
      </c>
      <c r="L3092">
        <v>0</v>
      </c>
      <c r="M3092">
        <v>0</v>
      </c>
      <c r="N3092">
        <v>0</v>
      </c>
      <c r="O3092">
        <v>0</v>
      </c>
      <c r="P3092">
        <v>0</v>
      </c>
      <c r="Q3092">
        <v>0</v>
      </c>
      <c r="R3092">
        <v>0</v>
      </c>
      <c r="S3092">
        <v>0</v>
      </c>
      <c r="T3092">
        <v>0</v>
      </c>
      <c r="U3092">
        <v>0</v>
      </c>
      <c r="V3092">
        <v>23</v>
      </c>
      <c r="W3092">
        <v>161</v>
      </c>
      <c r="X3092">
        <v>0</v>
      </c>
      <c r="Z3092">
        <v>0</v>
      </c>
      <c r="AA3092">
        <v>0</v>
      </c>
      <c r="AB3092">
        <v>8</v>
      </c>
      <c r="AC3092">
        <v>136</v>
      </c>
      <c r="AD3092" t="s">
        <v>5737</v>
      </c>
    </row>
    <row r="3093" spans="1:30" x14ac:dyDescent="0.25">
      <c r="H3093" t="s">
        <v>5738</v>
      </c>
    </row>
    <row r="3094" spans="1:30" x14ac:dyDescent="0.25">
      <c r="A3094">
        <v>1544</v>
      </c>
      <c r="B3094">
        <v>4516</v>
      </c>
      <c r="C3094" t="s">
        <v>5739</v>
      </c>
      <c r="D3094" t="s">
        <v>216</v>
      </c>
      <c r="E3094" t="s">
        <v>468</v>
      </c>
      <c r="F3094" t="s">
        <v>5740</v>
      </c>
      <c r="G3094" t="str">
        <f>"201406000233"</f>
        <v>201406000233</v>
      </c>
      <c r="H3094" t="s">
        <v>1679</v>
      </c>
      <c r="I3094">
        <v>0</v>
      </c>
      <c r="J3094">
        <v>0</v>
      </c>
      <c r="K3094">
        <v>0</v>
      </c>
      <c r="L3094">
        <v>0</v>
      </c>
      <c r="M3094">
        <v>100</v>
      </c>
      <c r="N3094">
        <v>70</v>
      </c>
      <c r="O3094">
        <v>30</v>
      </c>
      <c r="P3094">
        <v>0</v>
      </c>
      <c r="Q3094">
        <v>0</v>
      </c>
      <c r="R3094">
        <v>0</v>
      </c>
      <c r="S3094">
        <v>0</v>
      </c>
      <c r="T3094">
        <v>0</v>
      </c>
      <c r="U3094">
        <v>0</v>
      </c>
      <c r="V3094">
        <v>0</v>
      </c>
      <c r="W3094">
        <v>0</v>
      </c>
      <c r="X3094">
        <v>0</v>
      </c>
      <c r="Z3094">
        <v>0</v>
      </c>
      <c r="AA3094">
        <v>0</v>
      </c>
      <c r="AB3094">
        <v>0</v>
      </c>
      <c r="AC3094">
        <v>0</v>
      </c>
      <c r="AD3094" t="s">
        <v>5741</v>
      </c>
    </row>
    <row r="3095" spans="1:30" x14ac:dyDescent="0.25">
      <c r="H3095" t="s">
        <v>5742</v>
      </c>
    </row>
    <row r="3096" spans="1:30" x14ac:dyDescent="0.25">
      <c r="A3096">
        <v>1545</v>
      </c>
      <c r="B3096">
        <v>990</v>
      </c>
      <c r="C3096" t="s">
        <v>5743</v>
      </c>
      <c r="D3096" t="s">
        <v>166</v>
      </c>
      <c r="E3096" t="s">
        <v>51</v>
      </c>
      <c r="F3096" t="s">
        <v>5744</v>
      </c>
      <c r="G3096" t="str">
        <f>"201304002322"</f>
        <v>201304002322</v>
      </c>
      <c r="H3096" t="s">
        <v>1930</v>
      </c>
      <c r="I3096">
        <v>0</v>
      </c>
      <c r="J3096">
        <v>0</v>
      </c>
      <c r="K3096">
        <v>0</v>
      </c>
      <c r="L3096">
        <v>0</v>
      </c>
      <c r="M3096">
        <v>0</v>
      </c>
      <c r="N3096">
        <v>30</v>
      </c>
      <c r="O3096">
        <v>0</v>
      </c>
      <c r="P3096">
        <v>0</v>
      </c>
      <c r="Q3096">
        <v>0</v>
      </c>
      <c r="R3096">
        <v>0</v>
      </c>
      <c r="S3096">
        <v>0</v>
      </c>
      <c r="T3096">
        <v>0</v>
      </c>
      <c r="U3096">
        <v>0</v>
      </c>
      <c r="V3096">
        <v>36</v>
      </c>
      <c r="W3096">
        <v>252</v>
      </c>
      <c r="X3096">
        <v>0</v>
      </c>
      <c r="Z3096">
        <v>0</v>
      </c>
      <c r="AA3096">
        <v>0</v>
      </c>
      <c r="AB3096">
        <v>0</v>
      </c>
      <c r="AC3096">
        <v>0</v>
      </c>
      <c r="AD3096" t="s">
        <v>5745</v>
      </c>
    </row>
    <row r="3097" spans="1:30" x14ac:dyDescent="0.25">
      <c r="H3097" t="s">
        <v>5746</v>
      </c>
    </row>
    <row r="3098" spans="1:30" x14ac:dyDescent="0.25">
      <c r="A3098">
        <v>1546</v>
      </c>
      <c r="B3098">
        <v>3278</v>
      </c>
      <c r="C3098" t="s">
        <v>4299</v>
      </c>
      <c r="D3098" t="s">
        <v>223</v>
      </c>
      <c r="E3098" t="s">
        <v>140</v>
      </c>
      <c r="F3098" t="s">
        <v>5747</v>
      </c>
      <c r="G3098" t="str">
        <f>"00147333"</f>
        <v>00147333</v>
      </c>
      <c r="H3098" t="s">
        <v>4168</v>
      </c>
      <c r="I3098">
        <v>0</v>
      </c>
      <c r="J3098">
        <v>0</v>
      </c>
      <c r="K3098">
        <v>0</v>
      </c>
      <c r="L3098">
        <v>0</v>
      </c>
      <c r="M3098">
        <v>0</v>
      </c>
      <c r="N3098">
        <v>30</v>
      </c>
      <c r="O3098">
        <v>0</v>
      </c>
      <c r="P3098">
        <v>0</v>
      </c>
      <c r="Q3098">
        <v>0</v>
      </c>
      <c r="R3098">
        <v>0</v>
      </c>
      <c r="S3098">
        <v>0</v>
      </c>
      <c r="T3098">
        <v>0</v>
      </c>
      <c r="U3098">
        <v>0</v>
      </c>
      <c r="V3098">
        <v>29</v>
      </c>
      <c r="W3098">
        <v>203</v>
      </c>
      <c r="X3098">
        <v>0</v>
      </c>
      <c r="Z3098">
        <v>1</v>
      </c>
      <c r="AA3098">
        <v>0</v>
      </c>
      <c r="AB3098">
        <v>0</v>
      </c>
      <c r="AC3098">
        <v>0</v>
      </c>
      <c r="AD3098" t="s">
        <v>5748</v>
      </c>
    </row>
    <row r="3099" spans="1:30" x14ac:dyDescent="0.25">
      <c r="H3099" t="s">
        <v>5749</v>
      </c>
    </row>
    <row r="3100" spans="1:30" x14ac:dyDescent="0.25">
      <c r="A3100">
        <v>1547</v>
      </c>
      <c r="B3100">
        <v>3043</v>
      </c>
      <c r="C3100" t="s">
        <v>5750</v>
      </c>
      <c r="D3100" t="s">
        <v>330</v>
      </c>
      <c r="E3100" t="s">
        <v>40</v>
      </c>
      <c r="F3100" t="s">
        <v>5751</v>
      </c>
      <c r="G3100" t="str">
        <f>"00354931"</f>
        <v>00354931</v>
      </c>
      <c r="H3100" t="s">
        <v>352</v>
      </c>
      <c r="I3100">
        <v>0</v>
      </c>
      <c r="J3100">
        <v>0</v>
      </c>
      <c r="K3100">
        <v>0</v>
      </c>
      <c r="L3100">
        <v>0</v>
      </c>
      <c r="M3100">
        <v>0</v>
      </c>
      <c r="N3100">
        <v>50</v>
      </c>
      <c r="O3100">
        <v>0</v>
      </c>
      <c r="P3100">
        <v>0</v>
      </c>
      <c r="Q3100">
        <v>0</v>
      </c>
      <c r="R3100">
        <v>0</v>
      </c>
      <c r="S3100">
        <v>0</v>
      </c>
      <c r="T3100">
        <v>0</v>
      </c>
      <c r="U3100">
        <v>0</v>
      </c>
      <c r="V3100">
        <v>8</v>
      </c>
      <c r="W3100">
        <v>56</v>
      </c>
      <c r="X3100">
        <v>0</v>
      </c>
      <c r="Z3100">
        <v>0</v>
      </c>
      <c r="AA3100">
        <v>0</v>
      </c>
      <c r="AB3100">
        <v>6</v>
      </c>
      <c r="AC3100">
        <v>102</v>
      </c>
      <c r="AD3100" t="s">
        <v>5752</v>
      </c>
    </row>
    <row r="3101" spans="1:30" x14ac:dyDescent="0.25">
      <c r="H3101" t="s">
        <v>5753</v>
      </c>
    </row>
    <row r="3102" spans="1:30" x14ac:dyDescent="0.25">
      <c r="A3102">
        <v>1548</v>
      </c>
      <c r="B3102">
        <v>1749</v>
      </c>
      <c r="C3102" t="s">
        <v>940</v>
      </c>
      <c r="D3102" t="s">
        <v>151</v>
      </c>
      <c r="E3102" t="s">
        <v>107</v>
      </c>
      <c r="F3102" t="s">
        <v>5754</v>
      </c>
      <c r="G3102" t="str">
        <f>"00150088"</f>
        <v>00150088</v>
      </c>
      <c r="H3102">
        <v>781</v>
      </c>
      <c r="I3102">
        <v>150</v>
      </c>
      <c r="J3102">
        <v>0</v>
      </c>
      <c r="K3102">
        <v>0</v>
      </c>
      <c r="L3102">
        <v>0</v>
      </c>
      <c r="M3102">
        <v>0</v>
      </c>
      <c r="N3102">
        <v>50</v>
      </c>
      <c r="O3102">
        <v>0</v>
      </c>
      <c r="P3102">
        <v>0</v>
      </c>
      <c r="Q3102">
        <v>0</v>
      </c>
      <c r="R3102">
        <v>0</v>
      </c>
      <c r="S3102">
        <v>0</v>
      </c>
      <c r="T3102">
        <v>0</v>
      </c>
      <c r="U3102">
        <v>0</v>
      </c>
      <c r="V3102">
        <v>0</v>
      </c>
      <c r="W3102">
        <v>0</v>
      </c>
      <c r="X3102">
        <v>0</v>
      </c>
      <c r="Z3102">
        <v>0</v>
      </c>
      <c r="AA3102">
        <v>0</v>
      </c>
      <c r="AB3102">
        <v>0</v>
      </c>
      <c r="AC3102">
        <v>0</v>
      </c>
      <c r="AD3102">
        <v>981</v>
      </c>
    </row>
    <row r="3103" spans="1:30" x14ac:dyDescent="0.25">
      <c r="H3103" t="s">
        <v>2789</v>
      </c>
    </row>
    <row r="3104" spans="1:30" x14ac:dyDescent="0.25">
      <c r="A3104">
        <v>1549</v>
      </c>
      <c r="B3104">
        <v>2935</v>
      </c>
      <c r="C3104" t="s">
        <v>5755</v>
      </c>
      <c r="D3104" t="s">
        <v>5756</v>
      </c>
      <c r="E3104" t="s">
        <v>107</v>
      </c>
      <c r="F3104" t="s">
        <v>5757</v>
      </c>
      <c r="G3104" t="str">
        <f>"201405000250"</f>
        <v>201405000250</v>
      </c>
      <c r="H3104" t="s">
        <v>672</v>
      </c>
      <c r="I3104">
        <v>0</v>
      </c>
      <c r="J3104">
        <v>0</v>
      </c>
      <c r="K3104">
        <v>0</v>
      </c>
      <c r="L3104">
        <v>0</v>
      </c>
      <c r="M3104">
        <v>0</v>
      </c>
      <c r="N3104">
        <v>50</v>
      </c>
      <c r="O3104">
        <v>0</v>
      </c>
      <c r="P3104">
        <v>0</v>
      </c>
      <c r="Q3104">
        <v>0</v>
      </c>
      <c r="R3104">
        <v>0</v>
      </c>
      <c r="S3104">
        <v>0</v>
      </c>
      <c r="T3104">
        <v>0</v>
      </c>
      <c r="U3104">
        <v>0</v>
      </c>
      <c r="V3104">
        <v>28</v>
      </c>
      <c r="W3104">
        <v>196</v>
      </c>
      <c r="X3104">
        <v>0</v>
      </c>
      <c r="Z3104">
        <v>1</v>
      </c>
      <c r="AA3104">
        <v>0</v>
      </c>
      <c r="AB3104">
        <v>0</v>
      </c>
      <c r="AC3104">
        <v>0</v>
      </c>
      <c r="AD3104" t="s">
        <v>5758</v>
      </c>
    </row>
    <row r="3105" spans="1:30" x14ac:dyDescent="0.25">
      <c r="H3105" t="s">
        <v>5759</v>
      </c>
    </row>
    <row r="3106" spans="1:30" x14ac:dyDescent="0.25">
      <c r="A3106">
        <v>1550</v>
      </c>
      <c r="B3106">
        <v>3792</v>
      </c>
      <c r="C3106" t="s">
        <v>5760</v>
      </c>
      <c r="D3106" t="s">
        <v>39</v>
      </c>
      <c r="E3106" t="s">
        <v>47</v>
      </c>
      <c r="F3106" t="s">
        <v>5761</v>
      </c>
      <c r="G3106" t="str">
        <f>"00155385"</f>
        <v>00155385</v>
      </c>
      <c r="H3106" t="s">
        <v>241</v>
      </c>
      <c r="I3106">
        <v>0</v>
      </c>
      <c r="J3106">
        <v>0</v>
      </c>
      <c r="K3106">
        <v>0</v>
      </c>
      <c r="L3106">
        <v>0</v>
      </c>
      <c r="M3106">
        <v>0</v>
      </c>
      <c r="N3106">
        <v>30</v>
      </c>
      <c r="O3106">
        <v>0</v>
      </c>
      <c r="P3106">
        <v>0</v>
      </c>
      <c r="Q3106">
        <v>0</v>
      </c>
      <c r="R3106">
        <v>0</v>
      </c>
      <c r="S3106">
        <v>0</v>
      </c>
      <c r="T3106">
        <v>0</v>
      </c>
      <c r="U3106">
        <v>0</v>
      </c>
      <c r="V3106">
        <v>33</v>
      </c>
      <c r="W3106">
        <v>231</v>
      </c>
      <c r="X3106">
        <v>0</v>
      </c>
      <c r="Z3106">
        <v>2</v>
      </c>
      <c r="AA3106">
        <v>0</v>
      </c>
      <c r="AB3106">
        <v>0</v>
      </c>
      <c r="AC3106">
        <v>0</v>
      </c>
      <c r="AD3106" t="s">
        <v>5762</v>
      </c>
    </row>
    <row r="3107" spans="1:30" x14ac:dyDescent="0.25">
      <c r="H3107" t="s">
        <v>5763</v>
      </c>
    </row>
    <row r="3108" spans="1:30" x14ac:dyDescent="0.25">
      <c r="A3108">
        <v>1551</v>
      </c>
      <c r="B3108">
        <v>3325</v>
      </c>
      <c r="C3108" t="s">
        <v>5764</v>
      </c>
      <c r="D3108" t="s">
        <v>144</v>
      </c>
      <c r="E3108" t="s">
        <v>3320</v>
      </c>
      <c r="F3108" t="s">
        <v>5765</v>
      </c>
      <c r="G3108" t="str">
        <f>"00303844"</f>
        <v>00303844</v>
      </c>
      <c r="H3108" t="s">
        <v>3482</v>
      </c>
      <c r="I3108">
        <v>0</v>
      </c>
      <c r="J3108">
        <v>0</v>
      </c>
      <c r="K3108">
        <v>0</v>
      </c>
      <c r="L3108">
        <v>0</v>
      </c>
      <c r="M3108">
        <v>0</v>
      </c>
      <c r="N3108">
        <v>30</v>
      </c>
      <c r="O3108">
        <v>0</v>
      </c>
      <c r="P3108">
        <v>0</v>
      </c>
      <c r="Q3108">
        <v>0</v>
      </c>
      <c r="R3108">
        <v>0</v>
      </c>
      <c r="S3108">
        <v>0</v>
      </c>
      <c r="T3108">
        <v>0</v>
      </c>
      <c r="U3108">
        <v>0</v>
      </c>
      <c r="V3108">
        <v>19</v>
      </c>
      <c r="W3108">
        <v>133</v>
      </c>
      <c r="X3108">
        <v>0</v>
      </c>
      <c r="Z3108">
        <v>2</v>
      </c>
      <c r="AA3108">
        <v>100</v>
      </c>
      <c r="AB3108">
        <v>0</v>
      </c>
      <c r="AC3108">
        <v>0</v>
      </c>
      <c r="AD3108" t="s">
        <v>5766</v>
      </c>
    </row>
    <row r="3109" spans="1:30" x14ac:dyDescent="0.25">
      <c r="H3109" t="s">
        <v>5767</v>
      </c>
    </row>
    <row r="3110" spans="1:30" x14ac:dyDescent="0.25">
      <c r="A3110">
        <v>1552</v>
      </c>
      <c r="B3110">
        <v>5506</v>
      </c>
      <c r="C3110" t="s">
        <v>5768</v>
      </c>
      <c r="D3110" t="s">
        <v>59</v>
      </c>
      <c r="E3110" t="s">
        <v>87</v>
      </c>
      <c r="F3110" t="s">
        <v>5769</v>
      </c>
      <c r="G3110" t="str">
        <f>"00119295"</f>
        <v>00119295</v>
      </c>
      <c r="H3110" t="s">
        <v>514</v>
      </c>
      <c r="I3110">
        <v>0</v>
      </c>
      <c r="J3110">
        <v>0</v>
      </c>
      <c r="K3110">
        <v>0</v>
      </c>
      <c r="L3110">
        <v>0</v>
      </c>
      <c r="M3110">
        <v>0</v>
      </c>
      <c r="N3110">
        <v>30</v>
      </c>
      <c r="O3110">
        <v>0</v>
      </c>
      <c r="P3110">
        <v>0</v>
      </c>
      <c r="Q3110">
        <v>0</v>
      </c>
      <c r="R3110">
        <v>0</v>
      </c>
      <c r="S3110">
        <v>0</v>
      </c>
      <c r="T3110">
        <v>0</v>
      </c>
      <c r="U3110">
        <v>0</v>
      </c>
      <c r="V3110">
        <v>28</v>
      </c>
      <c r="W3110">
        <v>196</v>
      </c>
      <c r="X3110">
        <v>0</v>
      </c>
      <c r="Z3110">
        <v>0</v>
      </c>
      <c r="AA3110">
        <v>0</v>
      </c>
      <c r="AB3110">
        <v>0</v>
      </c>
      <c r="AC3110">
        <v>0</v>
      </c>
      <c r="AD3110" t="s">
        <v>5770</v>
      </c>
    </row>
    <row r="3111" spans="1:30" x14ac:dyDescent="0.25">
      <c r="H3111" t="s">
        <v>273</v>
      </c>
    </row>
    <row r="3112" spans="1:30" x14ac:dyDescent="0.25">
      <c r="A3112">
        <v>1553</v>
      </c>
      <c r="B3112">
        <v>4580</v>
      </c>
      <c r="C3112" t="s">
        <v>5771</v>
      </c>
      <c r="D3112" t="s">
        <v>420</v>
      </c>
      <c r="E3112" t="s">
        <v>40</v>
      </c>
      <c r="F3112" t="s">
        <v>5772</v>
      </c>
      <c r="G3112" t="str">
        <f>"201412007236"</f>
        <v>201412007236</v>
      </c>
      <c r="H3112">
        <v>726</v>
      </c>
      <c r="I3112">
        <v>0</v>
      </c>
      <c r="J3112">
        <v>0</v>
      </c>
      <c r="K3112">
        <v>0</v>
      </c>
      <c r="L3112">
        <v>0</v>
      </c>
      <c r="M3112">
        <v>0</v>
      </c>
      <c r="N3112">
        <v>70</v>
      </c>
      <c r="O3112">
        <v>0</v>
      </c>
      <c r="P3112">
        <v>0</v>
      </c>
      <c r="Q3112">
        <v>0</v>
      </c>
      <c r="R3112">
        <v>0</v>
      </c>
      <c r="S3112">
        <v>0</v>
      </c>
      <c r="T3112">
        <v>0</v>
      </c>
      <c r="U3112">
        <v>0</v>
      </c>
      <c r="V3112">
        <v>26</v>
      </c>
      <c r="W3112">
        <v>182</v>
      </c>
      <c r="X3112">
        <v>0</v>
      </c>
      <c r="Z3112">
        <v>0</v>
      </c>
      <c r="AA3112">
        <v>0</v>
      </c>
      <c r="AB3112">
        <v>0</v>
      </c>
      <c r="AC3112">
        <v>0</v>
      </c>
      <c r="AD3112">
        <v>978</v>
      </c>
    </row>
    <row r="3113" spans="1:30" x14ac:dyDescent="0.25">
      <c r="H3113" t="s">
        <v>5773</v>
      </c>
    </row>
    <row r="3114" spans="1:30" x14ac:dyDescent="0.25">
      <c r="A3114">
        <v>1554</v>
      </c>
      <c r="B3114">
        <v>749</v>
      </c>
      <c r="C3114" t="s">
        <v>3555</v>
      </c>
      <c r="D3114" t="s">
        <v>5774</v>
      </c>
      <c r="E3114" t="s">
        <v>190</v>
      </c>
      <c r="F3114" t="s">
        <v>5775</v>
      </c>
      <c r="G3114" t="str">
        <f>"00198174"</f>
        <v>00198174</v>
      </c>
      <c r="H3114" t="s">
        <v>192</v>
      </c>
      <c r="I3114">
        <v>0</v>
      </c>
      <c r="J3114">
        <v>0</v>
      </c>
      <c r="K3114">
        <v>0</v>
      </c>
      <c r="L3114">
        <v>0</v>
      </c>
      <c r="M3114">
        <v>0</v>
      </c>
      <c r="N3114">
        <v>0</v>
      </c>
      <c r="O3114">
        <v>0</v>
      </c>
      <c r="P3114">
        <v>0</v>
      </c>
      <c r="Q3114">
        <v>0</v>
      </c>
      <c r="R3114">
        <v>0</v>
      </c>
      <c r="S3114">
        <v>0</v>
      </c>
      <c r="T3114">
        <v>0</v>
      </c>
      <c r="U3114">
        <v>0</v>
      </c>
      <c r="V3114">
        <v>26</v>
      </c>
      <c r="W3114">
        <v>182</v>
      </c>
      <c r="X3114">
        <v>0</v>
      </c>
      <c r="Z3114">
        <v>1</v>
      </c>
      <c r="AA3114">
        <v>0</v>
      </c>
      <c r="AB3114">
        <v>0</v>
      </c>
      <c r="AC3114">
        <v>0</v>
      </c>
      <c r="AD3114" t="s">
        <v>5776</v>
      </c>
    </row>
    <row r="3115" spans="1:30" x14ac:dyDescent="0.25">
      <c r="H3115" t="s">
        <v>3046</v>
      </c>
    </row>
    <row r="3116" spans="1:30" x14ac:dyDescent="0.25">
      <c r="A3116">
        <v>1555</v>
      </c>
      <c r="B3116">
        <v>1571</v>
      </c>
      <c r="C3116" t="s">
        <v>5777</v>
      </c>
      <c r="D3116" t="s">
        <v>182</v>
      </c>
      <c r="E3116" t="s">
        <v>33</v>
      </c>
      <c r="F3116" t="s">
        <v>5778</v>
      </c>
      <c r="G3116" t="str">
        <f>"00147414"</f>
        <v>00147414</v>
      </c>
      <c r="H3116">
        <v>704</v>
      </c>
      <c r="I3116">
        <v>0</v>
      </c>
      <c r="J3116">
        <v>0</v>
      </c>
      <c r="K3116">
        <v>0</v>
      </c>
      <c r="L3116">
        <v>0</v>
      </c>
      <c r="M3116">
        <v>0</v>
      </c>
      <c r="N3116">
        <v>0</v>
      </c>
      <c r="O3116">
        <v>0</v>
      </c>
      <c r="P3116">
        <v>0</v>
      </c>
      <c r="Q3116">
        <v>0</v>
      </c>
      <c r="R3116">
        <v>0</v>
      </c>
      <c r="S3116">
        <v>0</v>
      </c>
      <c r="T3116">
        <v>0</v>
      </c>
      <c r="U3116">
        <v>0</v>
      </c>
      <c r="V3116">
        <v>39</v>
      </c>
      <c r="W3116">
        <v>273</v>
      </c>
      <c r="X3116">
        <v>0</v>
      </c>
      <c r="Z3116">
        <v>0</v>
      </c>
      <c r="AA3116">
        <v>0</v>
      </c>
      <c r="AB3116">
        <v>0</v>
      </c>
      <c r="AC3116">
        <v>0</v>
      </c>
      <c r="AD3116">
        <v>977</v>
      </c>
    </row>
    <row r="3117" spans="1:30" x14ac:dyDescent="0.25">
      <c r="H3117" t="s">
        <v>5779</v>
      </c>
    </row>
    <row r="3118" spans="1:30" x14ac:dyDescent="0.25">
      <c r="A3118">
        <v>1556</v>
      </c>
      <c r="B3118">
        <v>1214</v>
      </c>
      <c r="C3118" t="s">
        <v>5780</v>
      </c>
      <c r="D3118" t="s">
        <v>140</v>
      </c>
      <c r="E3118" t="s">
        <v>183</v>
      </c>
      <c r="F3118" t="s">
        <v>5781</v>
      </c>
      <c r="G3118" t="str">
        <f>"00147620"</f>
        <v>00147620</v>
      </c>
      <c r="H3118" t="s">
        <v>854</v>
      </c>
      <c r="I3118">
        <v>0</v>
      </c>
      <c r="J3118">
        <v>0</v>
      </c>
      <c r="K3118">
        <v>0</v>
      </c>
      <c r="L3118">
        <v>200</v>
      </c>
      <c r="M3118">
        <v>0</v>
      </c>
      <c r="N3118">
        <v>30</v>
      </c>
      <c r="O3118">
        <v>0</v>
      </c>
      <c r="P3118">
        <v>0</v>
      </c>
      <c r="Q3118">
        <v>0</v>
      </c>
      <c r="R3118">
        <v>0</v>
      </c>
      <c r="S3118">
        <v>0</v>
      </c>
      <c r="T3118">
        <v>0</v>
      </c>
      <c r="U3118">
        <v>0</v>
      </c>
      <c r="V3118">
        <v>5</v>
      </c>
      <c r="W3118">
        <v>35</v>
      </c>
      <c r="X3118">
        <v>0</v>
      </c>
      <c r="Z3118">
        <v>0</v>
      </c>
      <c r="AA3118">
        <v>0</v>
      </c>
      <c r="AB3118">
        <v>0</v>
      </c>
      <c r="AC3118">
        <v>0</v>
      </c>
      <c r="AD3118" t="s">
        <v>5782</v>
      </c>
    </row>
    <row r="3119" spans="1:30" x14ac:dyDescent="0.25">
      <c r="H3119" t="s">
        <v>5783</v>
      </c>
    </row>
    <row r="3120" spans="1:30" x14ac:dyDescent="0.25">
      <c r="A3120">
        <v>1557</v>
      </c>
      <c r="B3120">
        <v>1582</v>
      </c>
      <c r="C3120" t="s">
        <v>4322</v>
      </c>
      <c r="D3120" t="s">
        <v>544</v>
      </c>
      <c r="E3120" t="s">
        <v>2069</v>
      </c>
      <c r="F3120" t="s">
        <v>4323</v>
      </c>
      <c r="G3120" t="str">
        <f>"201405002089"</f>
        <v>201405002089</v>
      </c>
      <c r="H3120" t="s">
        <v>1850</v>
      </c>
      <c r="I3120">
        <v>0</v>
      </c>
      <c r="J3120">
        <v>0</v>
      </c>
      <c r="K3120">
        <v>0</v>
      </c>
      <c r="L3120">
        <v>200</v>
      </c>
      <c r="M3120">
        <v>0</v>
      </c>
      <c r="N3120">
        <v>50</v>
      </c>
      <c r="O3120">
        <v>0</v>
      </c>
      <c r="P3120">
        <v>0</v>
      </c>
      <c r="Q3120">
        <v>0</v>
      </c>
      <c r="R3120">
        <v>0</v>
      </c>
      <c r="S3120">
        <v>0</v>
      </c>
      <c r="T3120">
        <v>0</v>
      </c>
      <c r="U3120">
        <v>0</v>
      </c>
      <c r="V3120">
        <v>3</v>
      </c>
      <c r="W3120">
        <v>21</v>
      </c>
      <c r="X3120">
        <v>0</v>
      </c>
      <c r="Z3120">
        <v>0</v>
      </c>
      <c r="AA3120">
        <v>0</v>
      </c>
      <c r="AB3120">
        <v>0</v>
      </c>
      <c r="AC3120">
        <v>0</v>
      </c>
      <c r="AD3120" t="s">
        <v>5784</v>
      </c>
    </row>
    <row r="3121" spans="1:30" x14ac:dyDescent="0.25">
      <c r="H3121" t="s">
        <v>4325</v>
      </c>
    </row>
    <row r="3122" spans="1:30" x14ac:dyDescent="0.25">
      <c r="A3122">
        <v>1558</v>
      </c>
      <c r="B3122">
        <v>4843</v>
      </c>
      <c r="C3122" t="s">
        <v>5785</v>
      </c>
      <c r="D3122" t="s">
        <v>182</v>
      </c>
      <c r="E3122" t="s">
        <v>40</v>
      </c>
      <c r="F3122" t="s">
        <v>5786</v>
      </c>
      <c r="G3122" t="str">
        <f>"201411000286"</f>
        <v>201411000286</v>
      </c>
      <c r="H3122" t="s">
        <v>696</v>
      </c>
      <c r="I3122">
        <v>0</v>
      </c>
      <c r="J3122">
        <v>0</v>
      </c>
      <c r="K3122">
        <v>0</v>
      </c>
      <c r="L3122">
        <v>0</v>
      </c>
      <c r="M3122">
        <v>0</v>
      </c>
      <c r="N3122">
        <v>30</v>
      </c>
      <c r="O3122">
        <v>0</v>
      </c>
      <c r="P3122">
        <v>0</v>
      </c>
      <c r="Q3122">
        <v>0</v>
      </c>
      <c r="R3122">
        <v>0</v>
      </c>
      <c r="S3122">
        <v>0</v>
      </c>
      <c r="T3122">
        <v>0</v>
      </c>
      <c r="U3122">
        <v>0</v>
      </c>
      <c r="V3122">
        <v>0</v>
      </c>
      <c r="W3122">
        <v>0</v>
      </c>
      <c r="X3122">
        <v>0</v>
      </c>
      <c r="Z3122">
        <v>0</v>
      </c>
      <c r="AA3122">
        <v>0</v>
      </c>
      <c r="AB3122">
        <v>10</v>
      </c>
      <c r="AC3122">
        <v>170</v>
      </c>
      <c r="AD3122" t="s">
        <v>5787</v>
      </c>
    </row>
    <row r="3123" spans="1:30" x14ac:dyDescent="0.25">
      <c r="H3123" t="s">
        <v>1852</v>
      </c>
    </row>
    <row r="3124" spans="1:30" x14ac:dyDescent="0.25">
      <c r="A3124">
        <v>1559</v>
      </c>
      <c r="B3124">
        <v>3399</v>
      </c>
      <c r="C3124" t="s">
        <v>1333</v>
      </c>
      <c r="D3124" t="s">
        <v>182</v>
      </c>
      <c r="E3124" t="s">
        <v>107</v>
      </c>
      <c r="F3124" t="s">
        <v>5788</v>
      </c>
      <c r="G3124" t="str">
        <f>"201402003489"</f>
        <v>201402003489</v>
      </c>
      <c r="H3124" t="s">
        <v>1251</v>
      </c>
      <c r="I3124">
        <v>150</v>
      </c>
      <c r="J3124">
        <v>0</v>
      </c>
      <c r="K3124">
        <v>0</v>
      </c>
      <c r="L3124">
        <v>0</v>
      </c>
      <c r="M3124">
        <v>100</v>
      </c>
      <c r="N3124">
        <v>30</v>
      </c>
      <c r="O3124">
        <v>0</v>
      </c>
      <c r="P3124">
        <v>0</v>
      </c>
      <c r="Q3124">
        <v>0</v>
      </c>
      <c r="R3124">
        <v>0</v>
      </c>
      <c r="S3124">
        <v>0</v>
      </c>
      <c r="T3124">
        <v>0</v>
      </c>
      <c r="U3124">
        <v>0</v>
      </c>
      <c r="V3124">
        <v>0</v>
      </c>
      <c r="W3124">
        <v>0</v>
      </c>
      <c r="X3124">
        <v>0</v>
      </c>
      <c r="Z3124">
        <v>0</v>
      </c>
      <c r="AA3124">
        <v>0</v>
      </c>
      <c r="AB3124">
        <v>0</v>
      </c>
      <c r="AC3124">
        <v>0</v>
      </c>
      <c r="AD3124" t="s">
        <v>5789</v>
      </c>
    </row>
    <row r="3125" spans="1:30" x14ac:dyDescent="0.25">
      <c r="H3125" t="s">
        <v>3337</v>
      </c>
    </row>
    <row r="3126" spans="1:30" x14ac:dyDescent="0.25">
      <c r="A3126">
        <v>1560</v>
      </c>
      <c r="B3126">
        <v>3341</v>
      </c>
      <c r="C3126" t="s">
        <v>5529</v>
      </c>
      <c r="D3126" t="s">
        <v>40</v>
      </c>
      <c r="E3126" t="s">
        <v>251</v>
      </c>
      <c r="F3126" t="s">
        <v>5790</v>
      </c>
      <c r="G3126" t="str">
        <f>"201410011973"</f>
        <v>201410011973</v>
      </c>
      <c r="H3126" t="s">
        <v>332</v>
      </c>
      <c r="I3126">
        <v>0</v>
      </c>
      <c r="J3126">
        <v>0</v>
      </c>
      <c r="K3126">
        <v>0</v>
      </c>
      <c r="L3126">
        <v>0</v>
      </c>
      <c r="M3126">
        <v>100</v>
      </c>
      <c r="N3126">
        <v>70</v>
      </c>
      <c r="O3126">
        <v>0</v>
      </c>
      <c r="P3126">
        <v>30</v>
      </c>
      <c r="Q3126">
        <v>0</v>
      </c>
      <c r="R3126">
        <v>0</v>
      </c>
      <c r="S3126">
        <v>0</v>
      </c>
      <c r="T3126">
        <v>0</v>
      </c>
      <c r="U3126">
        <v>0</v>
      </c>
      <c r="V3126">
        <v>6</v>
      </c>
      <c r="W3126">
        <v>42</v>
      </c>
      <c r="X3126">
        <v>0</v>
      </c>
      <c r="Z3126">
        <v>0</v>
      </c>
      <c r="AA3126">
        <v>0</v>
      </c>
      <c r="AB3126">
        <v>0</v>
      </c>
      <c r="AC3126">
        <v>0</v>
      </c>
      <c r="AD3126" t="s">
        <v>5791</v>
      </c>
    </row>
    <row r="3127" spans="1:30" x14ac:dyDescent="0.25">
      <c r="H3127" t="s">
        <v>5792</v>
      </c>
    </row>
    <row r="3128" spans="1:30" x14ac:dyDescent="0.25">
      <c r="A3128">
        <v>1561</v>
      </c>
      <c r="B3128">
        <v>1060</v>
      </c>
      <c r="C3128" t="s">
        <v>3244</v>
      </c>
      <c r="D3128" t="s">
        <v>1576</v>
      </c>
      <c r="E3128" t="s">
        <v>176</v>
      </c>
      <c r="F3128" t="s">
        <v>5793</v>
      </c>
      <c r="G3128" t="str">
        <f>"201406008427"</f>
        <v>201406008427</v>
      </c>
      <c r="H3128" t="s">
        <v>2609</v>
      </c>
      <c r="I3128">
        <v>0</v>
      </c>
      <c r="J3128">
        <v>0</v>
      </c>
      <c r="K3128">
        <v>0</v>
      </c>
      <c r="L3128">
        <v>200</v>
      </c>
      <c r="M3128">
        <v>0</v>
      </c>
      <c r="N3128">
        <v>30</v>
      </c>
      <c r="O3128">
        <v>0</v>
      </c>
      <c r="P3128">
        <v>0</v>
      </c>
      <c r="Q3128">
        <v>0</v>
      </c>
      <c r="R3128">
        <v>0</v>
      </c>
      <c r="S3128">
        <v>0</v>
      </c>
      <c r="T3128">
        <v>0</v>
      </c>
      <c r="U3128">
        <v>0</v>
      </c>
      <c r="V3128">
        <v>13</v>
      </c>
      <c r="W3128">
        <v>91</v>
      </c>
      <c r="X3128">
        <v>0</v>
      </c>
      <c r="Z3128">
        <v>0</v>
      </c>
      <c r="AA3128">
        <v>0</v>
      </c>
      <c r="AB3128">
        <v>0</v>
      </c>
      <c r="AC3128">
        <v>0</v>
      </c>
      <c r="AD3128" t="s">
        <v>5794</v>
      </c>
    </row>
    <row r="3129" spans="1:30" x14ac:dyDescent="0.25">
      <c r="H3129">
        <v>1250</v>
      </c>
    </row>
    <row r="3130" spans="1:30" x14ac:dyDescent="0.25">
      <c r="A3130">
        <v>1562</v>
      </c>
      <c r="B3130">
        <v>1190</v>
      </c>
      <c r="C3130" t="s">
        <v>5795</v>
      </c>
      <c r="D3130" t="s">
        <v>59</v>
      </c>
      <c r="E3130" t="s">
        <v>47</v>
      </c>
      <c r="F3130" t="s">
        <v>5796</v>
      </c>
      <c r="G3130" t="str">
        <f>"200712001006"</f>
        <v>200712001006</v>
      </c>
      <c r="H3130">
        <v>770</v>
      </c>
      <c r="I3130">
        <v>0</v>
      </c>
      <c r="J3130">
        <v>0</v>
      </c>
      <c r="K3130">
        <v>0</v>
      </c>
      <c r="L3130">
        <v>0</v>
      </c>
      <c r="M3130">
        <v>0</v>
      </c>
      <c r="N3130">
        <v>50</v>
      </c>
      <c r="O3130">
        <v>0</v>
      </c>
      <c r="P3130">
        <v>0</v>
      </c>
      <c r="Q3130">
        <v>0</v>
      </c>
      <c r="R3130">
        <v>0</v>
      </c>
      <c r="S3130">
        <v>0</v>
      </c>
      <c r="T3130">
        <v>0</v>
      </c>
      <c r="U3130">
        <v>0</v>
      </c>
      <c r="V3130">
        <v>22</v>
      </c>
      <c r="W3130">
        <v>154</v>
      </c>
      <c r="X3130">
        <v>0</v>
      </c>
      <c r="Z3130">
        <v>0</v>
      </c>
      <c r="AA3130">
        <v>0</v>
      </c>
      <c r="AB3130">
        <v>0</v>
      </c>
      <c r="AC3130">
        <v>0</v>
      </c>
      <c r="AD3130">
        <v>974</v>
      </c>
    </row>
    <row r="3131" spans="1:30" x14ac:dyDescent="0.25">
      <c r="H3131" t="s">
        <v>5797</v>
      </c>
    </row>
    <row r="3132" spans="1:30" x14ac:dyDescent="0.25">
      <c r="A3132">
        <v>1563</v>
      </c>
      <c r="B3132">
        <v>2876</v>
      </c>
      <c r="C3132" t="s">
        <v>5798</v>
      </c>
      <c r="D3132" t="s">
        <v>335</v>
      </c>
      <c r="E3132" t="s">
        <v>39</v>
      </c>
      <c r="F3132" t="s">
        <v>5799</v>
      </c>
      <c r="G3132" t="str">
        <f>"00213556"</f>
        <v>00213556</v>
      </c>
      <c r="H3132" t="s">
        <v>3910</v>
      </c>
      <c r="I3132">
        <v>0</v>
      </c>
      <c r="J3132">
        <v>0</v>
      </c>
      <c r="K3132">
        <v>0</v>
      </c>
      <c r="L3132">
        <v>0</v>
      </c>
      <c r="M3132">
        <v>0</v>
      </c>
      <c r="N3132">
        <v>30</v>
      </c>
      <c r="O3132">
        <v>0</v>
      </c>
      <c r="P3132">
        <v>0</v>
      </c>
      <c r="Q3132">
        <v>0</v>
      </c>
      <c r="R3132">
        <v>0</v>
      </c>
      <c r="S3132">
        <v>0</v>
      </c>
      <c r="T3132">
        <v>0</v>
      </c>
      <c r="U3132">
        <v>0</v>
      </c>
      <c r="V3132">
        <v>5</v>
      </c>
      <c r="W3132">
        <v>35</v>
      </c>
      <c r="X3132">
        <v>0</v>
      </c>
      <c r="Z3132">
        <v>0</v>
      </c>
      <c r="AA3132">
        <v>0</v>
      </c>
      <c r="AB3132">
        <v>0</v>
      </c>
      <c r="AC3132">
        <v>0</v>
      </c>
      <c r="AD3132" t="s">
        <v>5800</v>
      </c>
    </row>
    <row r="3133" spans="1:30" x14ac:dyDescent="0.25">
      <c r="H3133" t="s">
        <v>5801</v>
      </c>
    </row>
    <row r="3134" spans="1:30" x14ac:dyDescent="0.25">
      <c r="A3134">
        <v>1564</v>
      </c>
      <c r="B3134">
        <v>4187</v>
      </c>
      <c r="C3134" t="s">
        <v>5802</v>
      </c>
      <c r="D3134" t="s">
        <v>599</v>
      </c>
      <c r="E3134" t="s">
        <v>162</v>
      </c>
      <c r="F3134" t="s">
        <v>5803</v>
      </c>
      <c r="G3134" t="str">
        <f>"00324353"</f>
        <v>00324353</v>
      </c>
      <c r="H3134" t="s">
        <v>789</v>
      </c>
      <c r="I3134">
        <v>0</v>
      </c>
      <c r="J3134">
        <v>0</v>
      </c>
      <c r="K3134">
        <v>0</v>
      </c>
      <c r="L3134">
        <v>0</v>
      </c>
      <c r="M3134">
        <v>0</v>
      </c>
      <c r="N3134">
        <v>0</v>
      </c>
      <c r="O3134">
        <v>0</v>
      </c>
      <c r="P3134">
        <v>0</v>
      </c>
      <c r="Q3134">
        <v>0</v>
      </c>
      <c r="R3134">
        <v>0</v>
      </c>
      <c r="S3134">
        <v>0</v>
      </c>
      <c r="T3134">
        <v>0</v>
      </c>
      <c r="U3134">
        <v>0</v>
      </c>
      <c r="V3134">
        <v>24</v>
      </c>
      <c r="W3134">
        <v>168</v>
      </c>
      <c r="X3134">
        <v>0</v>
      </c>
      <c r="Z3134">
        <v>0</v>
      </c>
      <c r="AA3134">
        <v>0</v>
      </c>
      <c r="AB3134">
        <v>0</v>
      </c>
      <c r="AC3134">
        <v>0</v>
      </c>
      <c r="AD3134" t="s">
        <v>5804</v>
      </c>
    </row>
    <row r="3135" spans="1:30" x14ac:dyDescent="0.25">
      <c r="H3135">
        <v>1247</v>
      </c>
    </row>
    <row r="3136" spans="1:30" x14ac:dyDescent="0.25">
      <c r="A3136">
        <v>1565</v>
      </c>
      <c r="B3136">
        <v>642</v>
      </c>
      <c r="C3136" t="s">
        <v>2403</v>
      </c>
      <c r="D3136" t="s">
        <v>5805</v>
      </c>
      <c r="E3136" t="s">
        <v>162</v>
      </c>
      <c r="F3136" t="s">
        <v>5806</v>
      </c>
      <c r="G3136" t="str">
        <f>"00119236"</f>
        <v>00119236</v>
      </c>
      <c r="H3136" t="s">
        <v>1957</v>
      </c>
      <c r="I3136">
        <v>0</v>
      </c>
      <c r="J3136">
        <v>0</v>
      </c>
      <c r="K3136">
        <v>0</v>
      </c>
      <c r="L3136">
        <v>0</v>
      </c>
      <c r="M3136">
        <v>100</v>
      </c>
      <c r="N3136">
        <v>30</v>
      </c>
      <c r="O3136">
        <v>0</v>
      </c>
      <c r="P3136">
        <v>0</v>
      </c>
      <c r="Q3136">
        <v>30</v>
      </c>
      <c r="R3136">
        <v>0</v>
      </c>
      <c r="S3136">
        <v>0</v>
      </c>
      <c r="T3136">
        <v>0</v>
      </c>
      <c r="U3136">
        <v>0</v>
      </c>
      <c r="V3136">
        <v>0</v>
      </c>
      <c r="W3136">
        <v>0</v>
      </c>
      <c r="X3136">
        <v>0</v>
      </c>
      <c r="Z3136">
        <v>0</v>
      </c>
      <c r="AA3136">
        <v>0</v>
      </c>
      <c r="AB3136">
        <v>0</v>
      </c>
      <c r="AC3136">
        <v>0</v>
      </c>
      <c r="AD3136" t="s">
        <v>5807</v>
      </c>
    </row>
    <row r="3137" spans="1:30" x14ac:dyDescent="0.25">
      <c r="H3137" t="s">
        <v>5808</v>
      </c>
    </row>
    <row r="3138" spans="1:30" x14ac:dyDescent="0.25">
      <c r="A3138">
        <v>1566</v>
      </c>
      <c r="B3138">
        <v>1042</v>
      </c>
      <c r="C3138" t="s">
        <v>5809</v>
      </c>
      <c r="D3138" t="s">
        <v>162</v>
      </c>
      <c r="E3138" t="s">
        <v>547</v>
      </c>
      <c r="F3138" t="s">
        <v>5810</v>
      </c>
      <c r="G3138" t="str">
        <f>"201511029836"</f>
        <v>201511029836</v>
      </c>
      <c r="H3138" t="s">
        <v>431</v>
      </c>
      <c r="I3138">
        <v>0</v>
      </c>
      <c r="J3138">
        <v>0</v>
      </c>
      <c r="K3138">
        <v>0</v>
      </c>
      <c r="L3138">
        <v>0</v>
      </c>
      <c r="M3138">
        <v>0</v>
      </c>
      <c r="N3138">
        <v>30</v>
      </c>
      <c r="O3138">
        <v>0</v>
      </c>
      <c r="P3138">
        <v>0</v>
      </c>
      <c r="Q3138">
        <v>0</v>
      </c>
      <c r="R3138">
        <v>0</v>
      </c>
      <c r="S3138">
        <v>0</v>
      </c>
      <c r="T3138">
        <v>0</v>
      </c>
      <c r="U3138">
        <v>0</v>
      </c>
      <c r="V3138">
        <v>0</v>
      </c>
      <c r="W3138">
        <v>0</v>
      </c>
      <c r="X3138">
        <v>0</v>
      </c>
      <c r="Z3138">
        <v>1</v>
      </c>
      <c r="AA3138">
        <v>0</v>
      </c>
      <c r="AB3138">
        <v>0</v>
      </c>
      <c r="AC3138">
        <v>0</v>
      </c>
      <c r="AD3138" t="s">
        <v>5811</v>
      </c>
    </row>
    <row r="3139" spans="1:30" x14ac:dyDescent="0.25">
      <c r="H3139" t="s">
        <v>5812</v>
      </c>
    </row>
    <row r="3140" spans="1:30" x14ac:dyDescent="0.25">
      <c r="A3140">
        <v>1567</v>
      </c>
      <c r="B3140">
        <v>1846</v>
      </c>
      <c r="C3140" t="s">
        <v>5813</v>
      </c>
      <c r="D3140" t="s">
        <v>166</v>
      </c>
      <c r="E3140" t="s">
        <v>5756</v>
      </c>
      <c r="F3140" t="s">
        <v>5814</v>
      </c>
      <c r="G3140" t="str">
        <f>"201406017438"</f>
        <v>201406017438</v>
      </c>
      <c r="H3140" t="s">
        <v>5459</v>
      </c>
      <c r="I3140">
        <v>0</v>
      </c>
      <c r="J3140">
        <v>0</v>
      </c>
      <c r="K3140">
        <v>0</v>
      </c>
      <c r="L3140">
        <v>0</v>
      </c>
      <c r="M3140">
        <v>0</v>
      </c>
      <c r="N3140">
        <v>30</v>
      </c>
      <c r="O3140">
        <v>0</v>
      </c>
      <c r="P3140">
        <v>70</v>
      </c>
      <c r="Q3140">
        <v>0</v>
      </c>
      <c r="R3140">
        <v>0</v>
      </c>
      <c r="S3140">
        <v>0</v>
      </c>
      <c r="T3140">
        <v>0</v>
      </c>
      <c r="U3140">
        <v>0</v>
      </c>
      <c r="V3140">
        <v>-24</v>
      </c>
      <c r="W3140">
        <v>-168</v>
      </c>
      <c r="X3140">
        <v>0</v>
      </c>
      <c r="Z3140">
        <v>0</v>
      </c>
      <c r="AA3140">
        <v>0</v>
      </c>
      <c r="AB3140">
        <v>24</v>
      </c>
      <c r="AC3140">
        <v>408</v>
      </c>
      <c r="AD3140" t="s">
        <v>5815</v>
      </c>
    </row>
    <row r="3141" spans="1:30" x14ac:dyDescent="0.25">
      <c r="H3141" t="s">
        <v>5816</v>
      </c>
    </row>
    <row r="3142" spans="1:30" x14ac:dyDescent="0.25">
      <c r="A3142">
        <v>1568</v>
      </c>
      <c r="B3142">
        <v>3659</v>
      </c>
      <c r="C3142" t="s">
        <v>5817</v>
      </c>
      <c r="D3142" t="s">
        <v>40</v>
      </c>
      <c r="E3142" t="s">
        <v>51</v>
      </c>
      <c r="F3142" t="s">
        <v>5818</v>
      </c>
      <c r="G3142" t="str">
        <f>"00349935"</f>
        <v>00349935</v>
      </c>
      <c r="H3142">
        <v>781</v>
      </c>
      <c r="I3142">
        <v>0</v>
      </c>
      <c r="J3142">
        <v>0</v>
      </c>
      <c r="K3142">
        <v>0</v>
      </c>
      <c r="L3142">
        <v>0</v>
      </c>
      <c r="M3142">
        <v>0</v>
      </c>
      <c r="N3142">
        <v>0</v>
      </c>
      <c r="O3142">
        <v>0</v>
      </c>
      <c r="P3142">
        <v>0</v>
      </c>
      <c r="Q3142">
        <v>0</v>
      </c>
      <c r="R3142">
        <v>0</v>
      </c>
      <c r="S3142">
        <v>0</v>
      </c>
      <c r="T3142">
        <v>0</v>
      </c>
      <c r="U3142">
        <v>0</v>
      </c>
      <c r="V3142">
        <v>27</v>
      </c>
      <c r="W3142">
        <v>189</v>
      </c>
      <c r="X3142">
        <v>0</v>
      </c>
      <c r="Z3142">
        <v>0</v>
      </c>
      <c r="AA3142">
        <v>0</v>
      </c>
      <c r="AB3142">
        <v>0</v>
      </c>
      <c r="AC3142">
        <v>0</v>
      </c>
      <c r="AD3142">
        <v>970</v>
      </c>
    </row>
    <row r="3143" spans="1:30" x14ac:dyDescent="0.25">
      <c r="H3143" t="s">
        <v>5819</v>
      </c>
    </row>
    <row r="3144" spans="1:30" x14ac:dyDescent="0.25">
      <c r="A3144">
        <v>1569</v>
      </c>
      <c r="B3144">
        <v>3488</v>
      </c>
      <c r="C3144" t="s">
        <v>5820</v>
      </c>
      <c r="D3144" t="s">
        <v>526</v>
      </c>
      <c r="E3144" t="s">
        <v>91</v>
      </c>
      <c r="F3144" t="s">
        <v>5821</v>
      </c>
      <c r="G3144" t="str">
        <f>"201412003946"</f>
        <v>201412003946</v>
      </c>
      <c r="H3144" t="s">
        <v>2742</v>
      </c>
      <c r="I3144">
        <v>0</v>
      </c>
      <c r="J3144">
        <v>0</v>
      </c>
      <c r="K3144">
        <v>0</v>
      </c>
      <c r="L3144">
        <v>200</v>
      </c>
      <c r="M3144">
        <v>0</v>
      </c>
      <c r="N3144">
        <v>30</v>
      </c>
      <c r="O3144">
        <v>0</v>
      </c>
      <c r="P3144">
        <v>0</v>
      </c>
      <c r="Q3144">
        <v>0</v>
      </c>
      <c r="R3144">
        <v>0</v>
      </c>
      <c r="S3144">
        <v>0</v>
      </c>
      <c r="T3144">
        <v>0</v>
      </c>
      <c r="U3144">
        <v>0</v>
      </c>
      <c r="V3144">
        <v>0</v>
      </c>
      <c r="W3144">
        <v>0</v>
      </c>
      <c r="X3144">
        <v>0</v>
      </c>
      <c r="Z3144">
        <v>0</v>
      </c>
      <c r="AA3144">
        <v>0</v>
      </c>
      <c r="AB3144">
        <v>0</v>
      </c>
      <c r="AC3144">
        <v>0</v>
      </c>
      <c r="AD3144" t="s">
        <v>5822</v>
      </c>
    </row>
    <row r="3145" spans="1:30" x14ac:dyDescent="0.25">
      <c r="H3145" t="s">
        <v>5823</v>
      </c>
    </row>
    <row r="3146" spans="1:30" x14ac:dyDescent="0.25">
      <c r="A3146">
        <v>1570</v>
      </c>
      <c r="B3146">
        <v>2028</v>
      </c>
      <c r="C3146" t="s">
        <v>5824</v>
      </c>
      <c r="D3146" t="s">
        <v>335</v>
      </c>
      <c r="E3146" t="s">
        <v>39</v>
      </c>
      <c r="F3146" t="s">
        <v>5825</v>
      </c>
      <c r="G3146" t="str">
        <f>"00192357"</f>
        <v>00192357</v>
      </c>
      <c r="H3146" t="s">
        <v>5317</v>
      </c>
      <c r="I3146">
        <v>0</v>
      </c>
      <c r="J3146">
        <v>0</v>
      </c>
      <c r="K3146">
        <v>0</v>
      </c>
      <c r="L3146">
        <v>0</v>
      </c>
      <c r="M3146">
        <v>0</v>
      </c>
      <c r="N3146">
        <v>0</v>
      </c>
      <c r="O3146">
        <v>0</v>
      </c>
      <c r="P3146">
        <v>0</v>
      </c>
      <c r="Q3146">
        <v>0</v>
      </c>
      <c r="R3146">
        <v>0</v>
      </c>
      <c r="S3146">
        <v>0</v>
      </c>
      <c r="T3146">
        <v>0</v>
      </c>
      <c r="U3146">
        <v>0</v>
      </c>
      <c r="V3146">
        <v>47</v>
      </c>
      <c r="W3146">
        <v>329</v>
      </c>
      <c r="X3146">
        <v>0</v>
      </c>
      <c r="Z3146">
        <v>0</v>
      </c>
      <c r="AA3146">
        <v>0</v>
      </c>
      <c r="AB3146">
        <v>0</v>
      </c>
      <c r="AC3146">
        <v>0</v>
      </c>
      <c r="AD3146" t="s">
        <v>5822</v>
      </c>
    </row>
    <row r="3147" spans="1:30" x14ac:dyDescent="0.25">
      <c r="H3147" t="s">
        <v>5826</v>
      </c>
    </row>
    <row r="3148" spans="1:30" x14ac:dyDescent="0.25">
      <c r="A3148">
        <v>1571</v>
      </c>
      <c r="B3148">
        <v>3442</v>
      </c>
      <c r="C3148" t="s">
        <v>3357</v>
      </c>
      <c r="D3148" t="s">
        <v>140</v>
      </c>
      <c r="E3148" t="s">
        <v>3797</v>
      </c>
      <c r="F3148" t="s">
        <v>5827</v>
      </c>
      <c r="G3148" t="str">
        <f>"00149972"</f>
        <v>00149972</v>
      </c>
      <c r="H3148" t="s">
        <v>1385</v>
      </c>
      <c r="I3148">
        <v>0</v>
      </c>
      <c r="J3148">
        <v>0</v>
      </c>
      <c r="K3148">
        <v>0</v>
      </c>
      <c r="L3148">
        <v>0</v>
      </c>
      <c r="M3148">
        <v>0</v>
      </c>
      <c r="N3148">
        <v>30</v>
      </c>
      <c r="O3148">
        <v>0</v>
      </c>
      <c r="P3148">
        <v>0</v>
      </c>
      <c r="Q3148">
        <v>0</v>
      </c>
      <c r="R3148">
        <v>0</v>
      </c>
      <c r="S3148">
        <v>0</v>
      </c>
      <c r="T3148">
        <v>0</v>
      </c>
      <c r="U3148">
        <v>0</v>
      </c>
      <c r="V3148">
        <v>37</v>
      </c>
      <c r="W3148">
        <v>259</v>
      </c>
      <c r="X3148">
        <v>0</v>
      </c>
      <c r="Z3148">
        <v>0</v>
      </c>
      <c r="AA3148">
        <v>0</v>
      </c>
      <c r="AB3148">
        <v>0</v>
      </c>
      <c r="AC3148">
        <v>0</v>
      </c>
      <c r="AD3148" t="s">
        <v>5828</v>
      </c>
    </row>
    <row r="3149" spans="1:30" x14ac:dyDescent="0.25">
      <c r="H3149" t="s">
        <v>5829</v>
      </c>
    </row>
    <row r="3150" spans="1:30" x14ac:dyDescent="0.25">
      <c r="A3150">
        <v>1572</v>
      </c>
      <c r="B3150">
        <v>4728</v>
      </c>
      <c r="C3150" t="s">
        <v>4130</v>
      </c>
      <c r="D3150" t="s">
        <v>5830</v>
      </c>
      <c r="E3150" t="s">
        <v>107</v>
      </c>
      <c r="F3150" t="s">
        <v>5831</v>
      </c>
      <c r="G3150" t="str">
        <f>"00206594"</f>
        <v>00206594</v>
      </c>
      <c r="H3150" t="s">
        <v>4801</v>
      </c>
      <c r="I3150">
        <v>0</v>
      </c>
      <c r="J3150">
        <v>0</v>
      </c>
      <c r="K3150">
        <v>0</v>
      </c>
      <c r="L3150">
        <v>0</v>
      </c>
      <c r="M3150">
        <v>0</v>
      </c>
      <c r="N3150">
        <v>0</v>
      </c>
      <c r="O3150">
        <v>0</v>
      </c>
      <c r="P3150">
        <v>0</v>
      </c>
      <c r="Q3150">
        <v>0</v>
      </c>
      <c r="R3150">
        <v>0</v>
      </c>
      <c r="S3150">
        <v>0</v>
      </c>
      <c r="T3150">
        <v>0</v>
      </c>
      <c r="U3150">
        <v>0</v>
      </c>
      <c r="V3150">
        <v>31</v>
      </c>
      <c r="W3150">
        <v>217</v>
      </c>
      <c r="X3150">
        <v>0</v>
      </c>
      <c r="Z3150">
        <v>0</v>
      </c>
      <c r="AA3150">
        <v>0</v>
      </c>
      <c r="AB3150">
        <v>0</v>
      </c>
      <c r="AC3150">
        <v>0</v>
      </c>
      <c r="AD3150" t="s">
        <v>5832</v>
      </c>
    </row>
    <row r="3151" spans="1:30" x14ac:dyDescent="0.25">
      <c r="H3151" t="s">
        <v>5833</v>
      </c>
    </row>
    <row r="3152" spans="1:30" x14ac:dyDescent="0.25">
      <c r="A3152">
        <v>1573</v>
      </c>
      <c r="B3152">
        <v>6119</v>
      </c>
      <c r="C3152" t="s">
        <v>2632</v>
      </c>
      <c r="D3152" t="s">
        <v>39</v>
      </c>
      <c r="E3152" t="s">
        <v>107</v>
      </c>
      <c r="F3152" t="s">
        <v>5834</v>
      </c>
      <c r="G3152" t="str">
        <f>"00011590"</f>
        <v>00011590</v>
      </c>
      <c r="H3152" t="s">
        <v>1774</v>
      </c>
      <c r="I3152">
        <v>0</v>
      </c>
      <c r="J3152">
        <v>0</v>
      </c>
      <c r="K3152">
        <v>0</v>
      </c>
      <c r="L3152">
        <v>0</v>
      </c>
      <c r="M3152">
        <v>100</v>
      </c>
      <c r="N3152">
        <v>30</v>
      </c>
      <c r="O3152">
        <v>0</v>
      </c>
      <c r="P3152">
        <v>0</v>
      </c>
      <c r="Q3152">
        <v>0</v>
      </c>
      <c r="R3152">
        <v>0</v>
      </c>
      <c r="S3152">
        <v>0</v>
      </c>
      <c r="T3152">
        <v>0</v>
      </c>
      <c r="U3152">
        <v>0</v>
      </c>
      <c r="V3152">
        <v>0</v>
      </c>
      <c r="W3152">
        <v>0</v>
      </c>
      <c r="X3152">
        <v>0</v>
      </c>
      <c r="Z3152">
        <v>0</v>
      </c>
      <c r="AA3152">
        <v>0</v>
      </c>
      <c r="AB3152">
        <v>0</v>
      </c>
      <c r="AC3152">
        <v>0</v>
      </c>
      <c r="AD3152" t="s">
        <v>5835</v>
      </c>
    </row>
    <row r="3153" spans="1:30" x14ac:dyDescent="0.25">
      <c r="H3153" t="s">
        <v>5836</v>
      </c>
    </row>
    <row r="3154" spans="1:30" x14ac:dyDescent="0.25">
      <c r="A3154">
        <v>1574</v>
      </c>
      <c r="B3154">
        <v>3628</v>
      </c>
      <c r="C3154" t="s">
        <v>2077</v>
      </c>
      <c r="D3154" t="s">
        <v>830</v>
      </c>
      <c r="E3154" t="s">
        <v>33</v>
      </c>
      <c r="F3154" t="s">
        <v>5837</v>
      </c>
      <c r="G3154" t="str">
        <f>"00113503"</f>
        <v>00113503</v>
      </c>
      <c r="H3154">
        <v>682</v>
      </c>
      <c r="I3154">
        <v>150</v>
      </c>
      <c r="J3154">
        <v>0</v>
      </c>
      <c r="K3154">
        <v>0</v>
      </c>
      <c r="L3154">
        <v>0</v>
      </c>
      <c r="M3154">
        <v>0</v>
      </c>
      <c r="N3154">
        <v>0</v>
      </c>
      <c r="O3154">
        <v>0</v>
      </c>
      <c r="P3154">
        <v>0</v>
      </c>
      <c r="Q3154">
        <v>0</v>
      </c>
      <c r="R3154">
        <v>0</v>
      </c>
      <c r="S3154">
        <v>0</v>
      </c>
      <c r="T3154">
        <v>0</v>
      </c>
      <c r="U3154">
        <v>0</v>
      </c>
      <c r="V3154">
        <v>0</v>
      </c>
      <c r="W3154">
        <v>0</v>
      </c>
      <c r="X3154">
        <v>0</v>
      </c>
      <c r="Z3154">
        <v>2</v>
      </c>
      <c r="AA3154">
        <v>0</v>
      </c>
      <c r="AB3154">
        <v>8</v>
      </c>
      <c r="AC3154">
        <v>136</v>
      </c>
      <c r="AD3154">
        <v>968</v>
      </c>
    </row>
    <row r="3155" spans="1:30" x14ac:dyDescent="0.25">
      <c r="H3155">
        <v>1248</v>
      </c>
    </row>
    <row r="3156" spans="1:30" x14ac:dyDescent="0.25">
      <c r="A3156">
        <v>1575</v>
      </c>
      <c r="B3156">
        <v>567</v>
      </c>
      <c r="C3156" t="s">
        <v>5838</v>
      </c>
      <c r="D3156" t="s">
        <v>5839</v>
      </c>
      <c r="E3156" t="s">
        <v>5840</v>
      </c>
      <c r="F3156" t="s">
        <v>5841</v>
      </c>
      <c r="G3156" t="str">
        <f>"201504001969"</f>
        <v>201504001969</v>
      </c>
      <c r="H3156" t="s">
        <v>2325</v>
      </c>
      <c r="I3156">
        <v>0</v>
      </c>
      <c r="J3156">
        <v>0</v>
      </c>
      <c r="K3156">
        <v>0</v>
      </c>
      <c r="L3156">
        <v>0</v>
      </c>
      <c r="M3156">
        <v>0</v>
      </c>
      <c r="N3156">
        <v>30</v>
      </c>
      <c r="O3156">
        <v>0</v>
      </c>
      <c r="P3156">
        <v>0</v>
      </c>
      <c r="Q3156">
        <v>0</v>
      </c>
      <c r="R3156">
        <v>0</v>
      </c>
      <c r="S3156">
        <v>0</v>
      </c>
      <c r="T3156">
        <v>70</v>
      </c>
      <c r="U3156">
        <v>0</v>
      </c>
      <c r="V3156">
        <v>4</v>
      </c>
      <c r="W3156">
        <v>28</v>
      </c>
      <c r="X3156">
        <v>0</v>
      </c>
      <c r="Z3156">
        <v>0</v>
      </c>
      <c r="AA3156">
        <v>0</v>
      </c>
      <c r="AB3156">
        <v>5</v>
      </c>
      <c r="AC3156">
        <v>85</v>
      </c>
      <c r="AD3156" t="s">
        <v>5842</v>
      </c>
    </row>
    <row r="3157" spans="1:30" x14ac:dyDescent="0.25">
      <c r="H3157" t="s">
        <v>5742</v>
      </c>
    </row>
    <row r="3158" spans="1:30" x14ac:dyDescent="0.25">
      <c r="A3158">
        <v>1576</v>
      </c>
      <c r="B3158">
        <v>4736</v>
      </c>
      <c r="C3158" t="s">
        <v>5843</v>
      </c>
      <c r="D3158" t="s">
        <v>869</v>
      </c>
      <c r="E3158" t="s">
        <v>151</v>
      </c>
      <c r="F3158" t="s">
        <v>5844</v>
      </c>
      <c r="G3158" t="str">
        <f>"201402006054"</f>
        <v>201402006054</v>
      </c>
      <c r="H3158" t="s">
        <v>497</v>
      </c>
      <c r="I3158">
        <v>0</v>
      </c>
      <c r="J3158">
        <v>0</v>
      </c>
      <c r="K3158">
        <v>0</v>
      </c>
      <c r="L3158">
        <v>0</v>
      </c>
      <c r="M3158">
        <v>0</v>
      </c>
      <c r="N3158">
        <v>30</v>
      </c>
      <c r="O3158">
        <v>0</v>
      </c>
      <c r="P3158">
        <v>0</v>
      </c>
      <c r="Q3158">
        <v>0</v>
      </c>
      <c r="R3158">
        <v>0</v>
      </c>
      <c r="S3158">
        <v>0</v>
      </c>
      <c r="T3158">
        <v>0</v>
      </c>
      <c r="U3158">
        <v>0</v>
      </c>
      <c r="V3158">
        <v>17</v>
      </c>
      <c r="W3158">
        <v>119</v>
      </c>
      <c r="X3158">
        <v>0</v>
      </c>
      <c r="Z3158">
        <v>0</v>
      </c>
      <c r="AA3158">
        <v>0</v>
      </c>
      <c r="AB3158">
        <v>0</v>
      </c>
      <c r="AC3158">
        <v>0</v>
      </c>
      <c r="AD3158" t="s">
        <v>5845</v>
      </c>
    </row>
    <row r="3159" spans="1:30" x14ac:dyDescent="0.25">
      <c r="H3159" t="s">
        <v>5846</v>
      </c>
    </row>
    <row r="3160" spans="1:30" x14ac:dyDescent="0.25">
      <c r="A3160">
        <v>1577</v>
      </c>
      <c r="B3160">
        <v>598</v>
      </c>
      <c r="C3160" t="s">
        <v>5847</v>
      </c>
      <c r="D3160" t="s">
        <v>51</v>
      </c>
      <c r="E3160" t="s">
        <v>5848</v>
      </c>
      <c r="F3160" t="s">
        <v>5849</v>
      </c>
      <c r="G3160" t="str">
        <f>"201406001741"</f>
        <v>201406001741</v>
      </c>
      <c r="H3160" t="s">
        <v>470</v>
      </c>
      <c r="I3160">
        <v>0</v>
      </c>
      <c r="J3160">
        <v>0</v>
      </c>
      <c r="K3160">
        <v>0</v>
      </c>
      <c r="L3160">
        <v>0</v>
      </c>
      <c r="M3160">
        <v>0</v>
      </c>
      <c r="N3160">
        <v>30</v>
      </c>
      <c r="O3160">
        <v>0</v>
      </c>
      <c r="P3160">
        <v>0</v>
      </c>
      <c r="Q3160">
        <v>0</v>
      </c>
      <c r="R3160">
        <v>0</v>
      </c>
      <c r="S3160">
        <v>0</v>
      </c>
      <c r="T3160">
        <v>0</v>
      </c>
      <c r="U3160">
        <v>0</v>
      </c>
      <c r="V3160">
        <v>22</v>
      </c>
      <c r="W3160">
        <v>154</v>
      </c>
      <c r="X3160">
        <v>0</v>
      </c>
      <c r="Z3160">
        <v>0</v>
      </c>
      <c r="AA3160">
        <v>0</v>
      </c>
      <c r="AB3160">
        <v>0</v>
      </c>
      <c r="AC3160">
        <v>0</v>
      </c>
      <c r="AD3160" t="s">
        <v>5850</v>
      </c>
    </row>
    <row r="3161" spans="1:30" x14ac:dyDescent="0.25">
      <c r="H3161" t="s">
        <v>5851</v>
      </c>
    </row>
    <row r="3162" spans="1:30" x14ac:dyDescent="0.25">
      <c r="A3162">
        <v>1578</v>
      </c>
      <c r="B3162">
        <v>5566</v>
      </c>
      <c r="C3162" t="s">
        <v>2958</v>
      </c>
      <c r="D3162" t="s">
        <v>1113</v>
      </c>
      <c r="E3162" t="s">
        <v>176</v>
      </c>
      <c r="F3162" t="s">
        <v>2959</v>
      </c>
      <c r="G3162" t="str">
        <f>"201511020740"</f>
        <v>201511020740</v>
      </c>
      <c r="H3162">
        <v>726</v>
      </c>
      <c r="I3162">
        <v>0</v>
      </c>
      <c r="J3162">
        <v>0</v>
      </c>
      <c r="K3162">
        <v>0</v>
      </c>
      <c r="L3162">
        <v>0</v>
      </c>
      <c r="M3162">
        <v>0</v>
      </c>
      <c r="N3162">
        <v>30</v>
      </c>
      <c r="O3162">
        <v>0</v>
      </c>
      <c r="P3162">
        <v>0</v>
      </c>
      <c r="Q3162">
        <v>0</v>
      </c>
      <c r="R3162">
        <v>0</v>
      </c>
      <c r="S3162">
        <v>0</v>
      </c>
      <c r="T3162">
        <v>0</v>
      </c>
      <c r="U3162">
        <v>0</v>
      </c>
      <c r="V3162">
        <v>30</v>
      </c>
      <c r="W3162">
        <v>210</v>
      </c>
      <c r="X3162">
        <v>0</v>
      </c>
      <c r="Z3162">
        <v>0</v>
      </c>
      <c r="AA3162">
        <v>0</v>
      </c>
      <c r="AB3162">
        <v>0</v>
      </c>
      <c r="AC3162">
        <v>0</v>
      </c>
      <c r="AD3162">
        <v>966</v>
      </c>
    </row>
    <row r="3163" spans="1:30" x14ac:dyDescent="0.25">
      <c r="H3163" t="s">
        <v>2960</v>
      </c>
    </row>
    <row r="3164" spans="1:30" x14ac:dyDescent="0.25">
      <c r="A3164">
        <v>1579</v>
      </c>
      <c r="B3164">
        <v>1033</v>
      </c>
      <c r="C3164" t="s">
        <v>1676</v>
      </c>
      <c r="D3164" t="s">
        <v>1453</v>
      </c>
      <c r="E3164" t="s">
        <v>176</v>
      </c>
      <c r="F3164" t="s">
        <v>5852</v>
      </c>
      <c r="G3164" t="str">
        <f>"00057393"</f>
        <v>00057393</v>
      </c>
      <c r="H3164">
        <v>660</v>
      </c>
      <c r="I3164">
        <v>0</v>
      </c>
      <c r="J3164">
        <v>0</v>
      </c>
      <c r="K3164">
        <v>0</v>
      </c>
      <c r="L3164">
        <v>0</v>
      </c>
      <c r="M3164">
        <v>0</v>
      </c>
      <c r="N3164">
        <v>0</v>
      </c>
      <c r="O3164">
        <v>0</v>
      </c>
      <c r="P3164">
        <v>0</v>
      </c>
      <c r="Q3164">
        <v>0</v>
      </c>
      <c r="R3164">
        <v>0</v>
      </c>
      <c r="S3164">
        <v>0</v>
      </c>
      <c r="T3164">
        <v>0</v>
      </c>
      <c r="U3164">
        <v>0</v>
      </c>
      <c r="V3164">
        <v>0</v>
      </c>
      <c r="W3164">
        <v>0</v>
      </c>
      <c r="X3164">
        <v>0</v>
      </c>
      <c r="Z3164">
        <v>0</v>
      </c>
      <c r="AA3164">
        <v>0</v>
      </c>
      <c r="AB3164">
        <v>18</v>
      </c>
      <c r="AC3164">
        <v>306</v>
      </c>
      <c r="AD3164">
        <v>966</v>
      </c>
    </row>
    <row r="3165" spans="1:30" x14ac:dyDescent="0.25">
      <c r="H3165" t="s">
        <v>5853</v>
      </c>
    </row>
    <row r="3166" spans="1:30" x14ac:dyDescent="0.25">
      <c r="A3166">
        <v>1580</v>
      </c>
      <c r="B3166">
        <v>1980</v>
      </c>
      <c r="C3166" t="s">
        <v>5854</v>
      </c>
      <c r="D3166" t="s">
        <v>879</v>
      </c>
      <c r="E3166" t="s">
        <v>1215</v>
      </c>
      <c r="F3166" t="s">
        <v>5855</v>
      </c>
      <c r="G3166" t="str">
        <f>"00160749"</f>
        <v>00160749</v>
      </c>
      <c r="H3166" t="s">
        <v>123</v>
      </c>
      <c r="I3166">
        <v>0</v>
      </c>
      <c r="J3166">
        <v>0</v>
      </c>
      <c r="K3166">
        <v>0</v>
      </c>
      <c r="L3166">
        <v>200</v>
      </c>
      <c r="M3166">
        <v>0</v>
      </c>
      <c r="N3166">
        <v>30</v>
      </c>
      <c r="O3166">
        <v>0</v>
      </c>
      <c r="P3166">
        <v>0</v>
      </c>
      <c r="Q3166">
        <v>0</v>
      </c>
      <c r="R3166">
        <v>0</v>
      </c>
      <c r="S3166">
        <v>0</v>
      </c>
      <c r="T3166">
        <v>0</v>
      </c>
      <c r="U3166">
        <v>0</v>
      </c>
      <c r="V3166">
        <v>0</v>
      </c>
      <c r="W3166">
        <v>0</v>
      </c>
      <c r="X3166">
        <v>0</v>
      </c>
      <c r="Z3166">
        <v>0</v>
      </c>
      <c r="AA3166">
        <v>0</v>
      </c>
      <c r="AB3166">
        <v>0</v>
      </c>
      <c r="AC3166">
        <v>0</v>
      </c>
      <c r="AD3166" t="s">
        <v>5856</v>
      </c>
    </row>
    <row r="3167" spans="1:30" x14ac:dyDescent="0.25">
      <c r="H3167" t="s">
        <v>5857</v>
      </c>
    </row>
    <row r="3168" spans="1:30" x14ac:dyDescent="0.25">
      <c r="A3168">
        <v>1581</v>
      </c>
      <c r="B3168">
        <v>3644</v>
      </c>
      <c r="C3168" t="s">
        <v>5858</v>
      </c>
      <c r="D3168" t="s">
        <v>39</v>
      </c>
      <c r="E3168" t="s">
        <v>190</v>
      </c>
      <c r="F3168" t="s">
        <v>5859</v>
      </c>
      <c r="G3168" t="str">
        <f>"00363521"</f>
        <v>00363521</v>
      </c>
      <c r="H3168" t="s">
        <v>1546</v>
      </c>
      <c r="I3168">
        <v>0</v>
      </c>
      <c r="J3168">
        <v>0</v>
      </c>
      <c r="K3168">
        <v>0</v>
      </c>
      <c r="L3168">
        <v>0</v>
      </c>
      <c r="M3168">
        <v>0</v>
      </c>
      <c r="N3168">
        <v>0</v>
      </c>
      <c r="O3168">
        <v>0</v>
      </c>
      <c r="P3168">
        <v>0</v>
      </c>
      <c r="Q3168">
        <v>0</v>
      </c>
      <c r="R3168">
        <v>0</v>
      </c>
      <c r="S3168">
        <v>0</v>
      </c>
      <c r="T3168">
        <v>0</v>
      </c>
      <c r="U3168">
        <v>0</v>
      </c>
      <c r="V3168">
        <v>32</v>
      </c>
      <c r="W3168">
        <v>224</v>
      </c>
      <c r="X3168">
        <v>0</v>
      </c>
      <c r="Z3168">
        <v>2</v>
      </c>
      <c r="AA3168">
        <v>0</v>
      </c>
      <c r="AB3168">
        <v>0</v>
      </c>
      <c r="AC3168">
        <v>0</v>
      </c>
      <c r="AD3168" t="s">
        <v>5860</v>
      </c>
    </row>
    <row r="3169" spans="1:30" x14ac:dyDescent="0.25">
      <c r="H3169" t="s">
        <v>5861</v>
      </c>
    </row>
    <row r="3170" spans="1:30" x14ac:dyDescent="0.25">
      <c r="A3170">
        <v>1582</v>
      </c>
      <c r="B3170">
        <v>4803</v>
      </c>
      <c r="C3170" t="s">
        <v>394</v>
      </c>
      <c r="D3170" t="s">
        <v>1772</v>
      </c>
      <c r="E3170" t="s">
        <v>183</v>
      </c>
      <c r="F3170" t="s">
        <v>5862</v>
      </c>
      <c r="G3170" t="str">
        <f>"200903000090"</f>
        <v>200903000090</v>
      </c>
      <c r="H3170" t="s">
        <v>672</v>
      </c>
      <c r="I3170">
        <v>0</v>
      </c>
      <c r="J3170">
        <v>0</v>
      </c>
      <c r="K3170">
        <v>0</v>
      </c>
      <c r="L3170">
        <v>200</v>
      </c>
      <c r="M3170">
        <v>0</v>
      </c>
      <c r="N3170">
        <v>30</v>
      </c>
      <c r="O3170">
        <v>0</v>
      </c>
      <c r="P3170">
        <v>0</v>
      </c>
      <c r="Q3170">
        <v>0</v>
      </c>
      <c r="R3170">
        <v>0</v>
      </c>
      <c r="S3170">
        <v>0</v>
      </c>
      <c r="T3170">
        <v>0</v>
      </c>
      <c r="U3170">
        <v>0</v>
      </c>
      <c r="V3170">
        <v>0</v>
      </c>
      <c r="W3170">
        <v>0</v>
      </c>
      <c r="X3170">
        <v>0</v>
      </c>
      <c r="Z3170">
        <v>0</v>
      </c>
      <c r="AA3170">
        <v>0</v>
      </c>
      <c r="AB3170">
        <v>0</v>
      </c>
      <c r="AC3170">
        <v>0</v>
      </c>
      <c r="AD3170" t="s">
        <v>5863</v>
      </c>
    </row>
    <row r="3171" spans="1:30" x14ac:dyDescent="0.25">
      <c r="H3171" t="s">
        <v>5864</v>
      </c>
    </row>
    <row r="3172" spans="1:30" x14ac:dyDescent="0.25">
      <c r="A3172">
        <v>1583</v>
      </c>
      <c r="B3172">
        <v>2177</v>
      </c>
      <c r="C3172" t="s">
        <v>5865</v>
      </c>
      <c r="D3172" t="s">
        <v>1289</v>
      </c>
      <c r="E3172" t="s">
        <v>39</v>
      </c>
      <c r="F3172" t="s">
        <v>5866</v>
      </c>
      <c r="G3172" t="str">
        <f>"201411003235"</f>
        <v>201411003235</v>
      </c>
      <c r="H3172" t="s">
        <v>1115</v>
      </c>
      <c r="I3172">
        <v>150</v>
      </c>
      <c r="J3172">
        <v>0</v>
      </c>
      <c r="K3172">
        <v>0</v>
      </c>
      <c r="L3172">
        <v>0</v>
      </c>
      <c r="M3172">
        <v>0</v>
      </c>
      <c r="N3172">
        <v>30</v>
      </c>
      <c r="O3172">
        <v>0</v>
      </c>
      <c r="P3172">
        <v>0</v>
      </c>
      <c r="Q3172">
        <v>0</v>
      </c>
      <c r="R3172">
        <v>0</v>
      </c>
      <c r="S3172">
        <v>0</v>
      </c>
      <c r="T3172">
        <v>0</v>
      </c>
      <c r="U3172">
        <v>0</v>
      </c>
      <c r="V3172">
        <v>2</v>
      </c>
      <c r="W3172">
        <v>14</v>
      </c>
      <c r="X3172">
        <v>0</v>
      </c>
      <c r="Z3172">
        <v>2</v>
      </c>
      <c r="AA3172">
        <v>0</v>
      </c>
      <c r="AB3172">
        <v>0</v>
      </c>
      <c r="AC3172">
        <v>0</v>
      </c>
      <c r="AD3172" t="s">
        <v>5867</v>
      </c>
    </row>
    <row r="3173" spans="1:30" x14ac:dyDescent="0.25">
      <c r="H3173" t="s">
        <v>5868</v>
      </c>
    </row>
    <row r="3174" spans="1:30" x14ac:dyDescent="0.25">
      <c r="A3174">
        <v>1584</v>
      </c>
      <c r="B3174">
        <v>2471</v>
      </c>
      <c r="C3174" t="s">
        <v>349</v>
      </c>
      <c r="D3174" t="s">
        <v>534</v>
      </c>
      <c r="E3174" t="s">
        <v>482</v>
      </c>
      <c r="F3174" t="s">
        <v>5869</v>
      </c>
      <c r="G3174" t="str">
        <f>"00298941"</f>
        <v>00298941</v>
      </c>
      <c r="H3174" t="s">
        <v>818</v>
      </c>
      <c r="I3174">
        <v>0</v>
      </c>
      <c r="J3174">
        <v>0</v>
      </c>
      <c r="K3174">
        <v>0</v>
      </c>
      <c r="L3174">
        <v>0</v>
      </c>
      <c r="M3174">
        <v>0</v>
      </c>
      <c r="N3174">
        <v>70</v>
      </c>
      <c r="O3174">
        <v>0</v>
      </c>
      <c r="P3174">
        <v>0</v>
      </c>
      <c r="Q3174">
        <v>0</v>
      </c>
      <c r="R3174">
        <v>0</v>
      </c>
      <c r="S3174">
        <v>0</v>
      </c>
      <c r="T3174">
        <v>0</v>
      </c>
      <c r="U3174">
        <v>0</v>
      </c>
      <c r="V3174">
        <v>18</v>
      </c>
      <c r="W3174">
        <v>126</v>
      </c>
      <c r="X3174">
        <v>0</v>
      </c>
      <c r="Z3174">
        <v>0</v>
      </c>
      <c r="AA3174">
        <v>0</v>
      </c>
      <c r="AB3174">
        <v>0</v>
      </c>
      <c r="AC3174">
        <v>0</v>
      </c>
      <c r="AD3174" t="s">
        <v>5870</v>
      </c>
    </row>
    <row r="3175" spans="1:30" x14ac:dyDescent="0.25">
      <c r="H3175" t="s">
        <v>5871</v>
      </c>
    </row>
    <row r="3176" spans="1:30" x14ac:dyDescent="0.25">
      <c r="A3176">
        <v>1585</v>
      </c>
      <c r="B3176">
        <v>5873</v>
      </c>
      <c r="C3176" t="s">
        <v>5568</v>
      </c>
      <c r="D3176" t="s">
        <v>47</v>
      </c>
      <c r="E3176" t="s">
        <v>39</v>
      </c>
      <c r="F3176" t="s">
        <v>5872</v>
      </c>
      <c r="G3176" t="str">
        <f>"00344084"</f>
        <v>00344084</v>
      </c>
      <c r="H3176" t="s">
        <v>1371</v>
      </c>
      <c r="I3176">
        <v>0</v>
      </c>
      <c r="J3176">
        <v>0</v>
      </c>
      <c r="K3176">
        <v>0</v>
      </c>
      <c r="L3176">
        <v>0</v>
      </c>
      <c r="M3176">
        <v>0</v>
      </c>
      <c r="N3176">
        <v>70</v>
      </c>
      <c r="O3176">
        <v>0</v>
      </c>
      <c r="P3176">
        <v>0</v>
      </c>
      <c r="Q3176">
        <v>0</v>
      </c>
      <c r="R3176">
        <v>0</v>
      </c>
      <c r="S3176">
        <v>0</v>
      </c>
      <c r="T3176">
        <v>0</v>
      </c>
      <c r="U3176">
        <v>0</v>
      </c>
      <c r="V3176">
        <v>4</v>
      </c>
      <c r="W3176">
        <v>28</v>
      </c>
      <c r="X3176">
        <v>0</v>
      </c>
      <c r="Z3176">
        <v>0</v>
      </c>
      <c r="AA3176">
        <v>0</v>
      </c>
      <c r="AB3176">
        <v>6</v>
      </c>
      <c r="AC3176">
        <v>102</v>
      </c>
      <c r="AD3176" t="s">
        <v>5873</v>
      </c>
    </row>
    <row r="3177" spans="1:30" x14ac:dyDescent="0.25">
      <c r="H3177" t="s">
        <v>5874</v>
      </c>
    </row>
    <row r="3178" spans="1:30" x14ac:dyDescent="0.25">
      <c r="A3178">
        <v>1586</v>
      </c>
      <c r="B3178">
        <v>5822</v>
      </c>
      <c r="C3178" t="s">
        <v>5875</v>
      </c>
      <c r="D3178" t="s">
        <v>223</v>
      </c>
      <c r="E3178" t="s">
        <v>79</v>
      </c>
      <c r="F3178" t="s">
        <v>5876</v>
      </c>
      <c r="G3178" t="str">
        <f>"00147237"</f>
        <v>00147237</v>
      </c>
      <c r="H3178">
        <v>726</v>
      </c>
      <c r="I3178">
        <v>0</v>
      </c>
      <c r="J3178">
        <v>0</v>
      </c>
      <c r="K3178">
        <v>0</v>
      </c>
      <c r="L3178">
        <v>0</v>
      </c>
      <c r="M3178">
        <v>0</v>
      </c>
      <c r="N3178">
        <v>30</v>
      </c>
      <c r="O3178">
        <v>0</v>
      </c>
      <c r="P3178">
        <v>0</v>
      </c>
      <c r="Q3178">
        <v>0</v>
      </c>
      <c r="R3178">
        <v>0</v>
      </c>
      <c r="S3178">
        <v>0</v>
      </c>
      <c r="T3178">
        <v>0</v>
      </c>
      <c r="U3178">
        <v>0</v>
      </c>
      <c r="V3178">
        <v>10</v>
      </c>
      <c r="W3178">
        <v>70</v>
      </c>
      <c r="X3178">
        <v>0</v>
      </c>
      <c r="Z3178">
        <v>1</v>
      </c>
      <c r="AA3178">
        <v>0</v>
      </c>
      <c r="AB3178">
        <v>8</v>
      </c>
      <c r="AC3178">
        <v>136</v>
      </c>
      <c r="AD3178">
        <v>962</v>
      </c>
    </row>
    <row r="3179" spans="1:30" x14ac:dyDescent="0.25">
      <c r="H3179" t="s">
        <v>5877</v>
      </c>
    </row>
    <row r="3180" spans="1:30" x14ac:dyDescent="0.25">
      <c r="A3180">
        <v>1587</v>
      </c>
      <c r="B3180">
        <v>1170</v>
      </c>
      <c r="C3180" t="s">
        <v>5878</v>
      </c>
      <c r="D3180" t="s">
        <v>526</v>
      </c>
      <c r="E3180" t="s">
        <v>162</v>
      </c>
      <c r="F3180" t="s">
        <v>5879</v>
      </c>
      <c r="G3180" t="str">
        <f>"201412001381"</f>
        <v>201412001381</v>
      </c>
      <c r="H3180" t="s">
        <v>123</v>
      </c>
      <c r="I3180">
        <v>0</v>
      </c>
      <c r="J3180">
        <v>0</v>
      </c>
      <c r="K3180">
        <v>0</v>
      </c>
      <c r="L3180">
        <v>0</v>
      </c>
      <c r="M3180">
        <v>0</v>
      </c>
      <c r="N3180">
        <v>30</v>
      </c>
      <c r="O3180">
        <v>0</v>
      </c>
      <c r="P3180">
        <v>0</v>
      </c>
      <c r="Q3180">
        <v>0</v>
      </c>
      <c r="R3180">
        <v>0</v>
      </c>
      <c r="S3180">
        <v>0</v>
      </c>
      <c r="T3180">
        <v>0</v>
      </c>
      <c r="U3180">
        <v>0</v>
      </c>
      <c r="V3180">
        <v>28</v>
      </c>
      <c r="W3180">
        <v>196</v>
      </c>
      <c r="X3180">
        <v>0</v>
      </c>
      <c r="Z3180">
        <v>0</v>
      </c>
      <c r="AA3180">
        <v>0</v>
      </c>
      <c r="AB3180">
        <v>0</v>
      </c>
      <c r="AC3180">
        <v>0</v>
      </c>
      <c r="AD3180" t="s">
        <v>5880</v>
      </c>
    </row>
    <row r="3181" spans="1:30" x14ac:dyDescent="0.25">
      <c r="H3181" t="s">
        <v>5881</v>
      </c>
    </row>
    <row r="3182" spans="1:30" x14ac:dyDescent="0.25">
      <c r="A3182">
        <v>1588</v>
      </c>
      <c r="B3182">
        <v>6264</v>
      </c>
      <c r="C3182" t="s">
        <v>1659</v>
      </c>
      <c r="D3182" t="s">
        <v>694</v>
      </c>
      <c r="E3182" t="s">
        <v>1660</v>
      </c>
      <c r="F3182" t="s">
        <v>5882</v>
      </c>
      <c r="G3182" t="str">
        <f>"00336318"</f>
        <v>00336318</v>
      </c>
      <c r="H3182" t="s">
        <v>1930</v>
      </c>
      <c r="I3182">
        <v>0</v>
      </c>
      <c r="J3182">
        <v>0</v>
      </c>
      <c r="K3182">
        <v>0</v>
      </c>
      <c r="L3182">
        <v>0</v>
      </c>
      <c r="M3182">
        <v>0</v>
      </c>
      <c r="N3182">
        <v>30</v>
      </c>
      <c r="O3182">
        <v>0</v>
      </c>
      <c r="P3182">
        <v>0</v>
      </c>
      <c r="Q3182">
        <v>0</v>
      </c>
      <c r="R3182">
        <v>0</v>
      </c>
      <c r="S3182">
        <v>0</v>
      </c>
      <c r="T3182">
        <v>0</v>
      </c>
      <c r="U3182">
        <v>0</v>
      </c>
      <c r="V3182">
        <v>33</v>
      </c>
      <c r="W3182">
        <v>231</v>
      </c>
      <c r="X3182">
        <v>0</v>
      </c>
      <c r="Z3182">
        <v>0</v>
      </c>
      <c r="AA3182">
        <v>0</v>
      </c>
      <c r="AB3182">
        <v>0</v>
      </c>
      <c r="AC3182">
        <v>0</v>
      </c>
      <c r="AD3182" t="s">
        <v>5883</v>
      </c>
    </row>
    <row r="3183" spans="1:30" x14ac:dyDescent="0.25">
      <c r="H3183" t="s">
        <v>5884</v>
      </c>
    </row>
    <row r="3184" spans="1:30" x14ac:dyDescent="0.25">
      <c r="A3184">
        <v>1589</v>
      </c>
      <c r="B3184">
        <v>2781</v>
      </c>
      <c r="C3184" t="s">
        <v>5885</v>
      </c>
      <c r="D3184" t="s">
        <v>223</v>
      </c>
      <c r="E3184" t="s">
        <v>282</v>
      </c>
      <c r="F3184" t="s">
        <v>5886</v>
      </c>
      <c r="G3184" t="str">
        <f>"201402005279"</f>
        <v>201402005279</v>
      </c>
      <c r="H3184" t="s">
        <v>2618</v>
      </c>
      <c r="I3184">
        <v>0</v>
      </c>
      <c r="J3184">
        <v>0</v>
      </c>
      <c r="K3184">
        <v>0</v>
      </c>
      <c r="L3184">
        <v>0</v>
      </c>
      <c r="M3184">
        <v>0</v>
      </c>
      <c r="N3184">
        <v>0</v>
      </c>
      <c r="O3184">
        <v>0</v>
      </c>
      <c r="P3184">
        <v>0</v>
      </c>
      <c r="Q3184">
        <v>0</v>
      </c>
      <c r="R3184">
        <v>0</v>
      </c>
      <c r="S3184">
        <v>0</v>
      </c>
      <c r="T3184">
        <v>0</v>
      </c>
      <c r="U3184">
        <v>0</v>
      </c>
      <c r="V3184">
        <v>36</v>
      </c>
      <c r="W3184">
        <v>252</v>
      </c>
      <c r="X3184">
        <v>0</v>
      </c>
      <c r="Z3184">
        <v>0</v>
      </c>
      <c r="AA3184">
        <v>0</v>
      </c>
      <c r="AB3184">
        <v>0</v>
      </c>
      <c r="AC3184">
        <v>0</v>
      </c>
      <c r="AD3184" t="s">
        <v>5887</v>
      </c>
    </row>
    <row r="3185" spans="1:30" x14ac:dyDescent="0.25">
      <c r="H3185" t="s">
        <v>5888</v>
      </c>
    </row>
    <row r="3186" spans="1:30" x14ac:dyDescent="0.25">
      <c r="A3186">
        <v>1590</v>
      </c>
      <c r="B3186">
        <v>4540</v>
      </c>
      <c r="C3186" t="s">
        <v>2692</v>
      </c>
      <c r="D3186" t="s">
        <v>804</v>
      </c>
      <c r="E3186" t="s">
        <v>190</v>
      </c>
      <c r="F3186" t="s">
        <v>5889</v>
      </c>
      <c r="G3186" t="str">
        <f>"00218092"</f>
        <v>00218092</v>
      </c>
      <c r="H3186" t="s">
        <v>3862</v>
      </c>
      <c r="I3186">
        <v>0</v>
      </c>
      <c r="J3186">
        <v>0</v>
      </c>
      <c r="K3186">
        <v>0</v>
      </c>
      <c r="L3186">
        <v>0</v>
      </c>
      <c r="M3186">
        <v>0</v>
      </c>
      <c r="N3186">
        <v>0</v>
      </c>
      <c r="O3186">
        <v>0</v>
      </c>
      <c r="P3186">
        <v>0</v>
      </c>
      <c r="Q3186">
        <v>0</v>
      </c>
      <c r="R3186">
        <v>0</v>
      </c>
      <c r="S3186">
        <v>0</v>
      </c>
      <c r="T3186">
        <v>0</v>
      </c>
      <c r="U3186">
        <v>0</v>
      </c>
      <c r="V3186">
        <v>39</v>
      </c>
      <c r="W3186">
        <v>273</v>
      </c>
      <c r="X3186">
        <v>0</v>
      </c>
      <c r="Z3186">
        <v>1</v>
      </c>
      <c r="AA3186">
        <v>0</v>
      </c>
      <c r="AB3186">
        <v>0</v>
      </c>
      <c r="AC3186">
        <v>0</v>
      </c>
      <c r="AD3186" t="s">
        <v>5890</v>
      </c>
    </row>
    <row r="3187" spans="1:30" x14ac:dyDescent="0.25">
      <c r="H3187" t="s">
        <v>5891</v>
      </c>
    </row>
    <row r="3188" spans="1:30" x14ac:dyDescent="0.25">
      <c r="A3188">
        <v>1591</v>
      </c>
      <c r="B3188">
        <v>1859</v>
      </c>
      <c r="C3188" t="s">
        <v>5892</v>
      </c>
      <c r="D3188" t="s">
        <v>5893</v>
      </c>
      <c r="E3188" t="s">
        <v>439</v>
      </c>
      <c r="F3188" t="s">
        <v>5894</v>
      </c>
      <c r="G3188" t="str">
        <f>"201405000687"</f>
        <v>201405000687</v>
      </c>
      <c r="H3188" t="s">
        <v>638</v>
      </c>
      <c r="I3188">
        <v>0</v>
      </c>
      <c r="J3188">
        <v>0</v>
      </c>
      <c r="K3188">
        <v>0</v>
      </c>
      <c r="L3188">
        <v>0</v>
      </c>
      <c r="M3188">
        <v>0</v>
      </c>
      <c r="N3188">
        <v>70</v>
      </c>
      <c r="O3188">
        <v>0</v>
      </c>
      <c r="P3188">
        <v>0</v>
      </c>
      <c r="Q3188">
        <v>0</v>
      </c>
      <c r="R3188">
        <v>0</v>
      </c>
      <c r="S3188">
        <v>0</v>
      </c>
      <c r="T3188">
        <v>0</v>
      </c>
      <c r="U3188">
        <v>0</v>
      </c>
      <c r="V3188">
        <v>26</v>
      </c>
      <c r="W3188">
        <v>182</v>
      </c>
      <c r="X3188">
        <v>0</v>
      </c>
      <c r="Z3188">
        <v>0</v>
      </c>
      <c r="AA3188">
        <v>0</v>
      </c>
      <c r="AB3188">
        <v>0</v>
      </c>
      <c r="AC3188">
        <v>0</v>
      </c>
      <c r="AD3188" t="s">
        <v>5895</v>
      </c>
    </row>
    <row r="3189" spans="1:30" x14ac:dyDescent="0.25">
      <c r="H3189" t="s">
        <v>5896</v>
      </c>
    </row>
    <row r="3190" spans="1:30" x14ac:dyDescent="0.25">
      <c r="A3190">
        <v>1592</v>
      </c>
      <c r="B3190">
        <v>4826</v>
      </c>
      <c r="C3190" t="s">
        <v>2547</v>
      </c>
      <c r="D3190" t="s">
        <v>3136</v>
      </c>
      <c r="E3190" t="s">
        <v>40</v>
      </c>
      <c r="F3190" t="s">
        <v>5897</v>
      </c>
      <c r="G3190" t="str">
        <f>"201406017213"</f>
        <v>201406017213</v>
      </c>
      <c r="H3190" t="s">
        <v>362</v>
      </c>
      <c r="I3190">
        <v>0</v>
      </c>
      <c r="J3190">
        <v>0</v>
      </c>
      <c r="K3190">
        <v>0</v>
      </c>
      <c r="L3190">
        <v>0</v>
      </c>
      <c r="M3190">
        <v>0</v>
      </c>
      <c r="N3190">
        <v>70</v>
      </c>
      <c r="O3190">
        <v>0</v>
      </c>
      <c r="P3190">
        <v>30</v>
      </c>
      <c r="Q3190">
        <v>0</v>
      </c>
      <c r="R3190">
        <v>0</v>
      </c>
      <c r="S3190">
        <v>0</v>
      </c>
      <c r="T3190">
        <v>0</v>
      </c>
      <c r="U3190">
        <v>0</v>
      </c>
      <c r="V3190">
        <v>0</v>
      </c>
      <c r="W3190">
        <v>0</v>
      </c>
      <c r="X3190">
        <v>0</v>
      </c>
      <c r="Z3190">
        <v>0</v>
      </c>
      <c r="AA3190">
        <v>0</v>
      </c>
      <c r="AB3190">
        <v>0</v>
      </c>
      <c r="AC3190">
        <v>0</v>
      </c>
      <c r="AD3190" t="s">
        <v>5898</v>
      </c>
    </row>
    <row r="3191" spans="1:30" x14ac:dyDescent="0.25">
      <c r="H3191" t="s">
        <v>5899</v>
      </c>
    </row>
    <row r="3192" spans="1:30" x14ac:dyDescent="0.25">
      <c r="A3192">
        <v>1593</v>
      </c>
      <c r="B3192">
        <v>1773</v>
      </c>
      <c r="C3192" t="s">
        <v>5900</v>
      </c>
      <c r="D3192" t="s">
        <v>335</v>
      </c>
      <c r="E3192" t="s">
        <v>40</v>
      </c>
      <c r="F3192" t="s">
        <v>5901</v>
      </c>
      <c r="G3192" t="str">
        <f>"00314102"</f>
        <v>00314102</v>
      </c>
      <c r="H3192" t="s">
        <v>168</v>
      </c>
      <c r="I3192">
        <v>0</v>
      </c>
      <c r="J3192">
        <v>0</v>
      </c>
      <c r="K3192">
        <v>0</v>
      </c>
      <c r="L3192">
        <v>0</v>
      </c>
      <c r="M3192">
        <v>0</v>
      </c>
      <c r="N3192">
        <v>0</v>
      </c>
      <c r="O3192">
        <v>0</v>
      </c>
      <c r="P3192">
        <v>0</v>
      </c>
      <c r="Q3192">
        <v>0</v>
      </c>
      <c r="R3192">
        <v>0</v>
      </c>
      <c r="S3192">
        <v>0</v>
      </c>
      <c r="T3192">
        <v>0</v>
      </c>
      <c r="U3192">
        <v>0</v>
      </c>
      <c r="V3192">
        <v>24</v>
      </c>
      <c r="W3192">
        <v>168</v>
      </c>
      <c r="X3192">
        <v>0</v>
      </c>
      <c r="Z3192">
        <v>0</v>
      </c>
      <c r="AA3192">
        <v>0</v>
      </c>
      <c r="AB3192">
        <v>0</v>
      </c>
      <c r="AC3192">
        <v>0</v>
      </c>
      <c r="AD3192" t="s">
        <v>5902</v>
      </c>
    </row>
    <row r="3193" spans="1:30" x14ac:dyDescent="0.25">
      <c r="H3193" t="s">
        <v>5903</v>
      </c>
    </row>
    <row r="3194" spans="1:30" x14ac:dyDescent="0.25">
      <c r="A3194">
        <v>1594</v>
      </c>
      <c r="B3194">
        <v>544</v>
      </c>
      <c r="C3194" t="s">
        <v>4977</v>
      </c>
      <c r="D3194" t="s">
        <v>804</v>
      </c>
      <c r="E3194" t="s">
        <v>183</v>
      </c>
      <c r="F3194">
        <v>2085026</v>
      </c>
      <c r="G3194" t="str">
        <f>"201410003447"</f>
        <v>201410003447</v>
      </c>
      <c r="H3194" t="s">
        <v>911</v>
      </c>
      <c r="I3194">
        <v>0</v>
      </c>
      <c r="J3194">
        <v>0</v>
      </c>
      <c r="K3194">
        <v>0</v>
      </c>
      <c r="L3194">
        <v>0</v>
      </c>
      <c r="M3194">
        <v>0</v>
      </c>
      <c r="N3194">
        <v>0</v>
      </c>
      <c r="O3194">
        <v>0</v>
      </c>
      <c r="P3194">
        <v>0</v>
      </c>
      <c r="Q3194">
        <v>0</v>
      </c>
      <c r="R3194">
        <v>0</v>
      </c>
      <c r="S3194">
        <v>0</v>
      </c>
      <c r="T3194">
        <v>0</v>
      </c>
      <c r="U3194">
        <v>0</v>
      </c>
      <c r="V3194">
        <v>7</v>
      </c>
      <c r="W3194">
        <v>49</v>
      </c>
      <c r="X3194">
        <v>0</v>
      </c>
      <c r="Z3194">
        <v>0</v>
      </c>
      <c r="AA3194">
        <v>0</v>
      </c>
      <c r="AB3194">
        <v>0</v>
      </c>
      <c r="AC3194">
        <v>0</v>
      </c>
      <c r="AD3194" t="s">
        <v>5904</v>
      </c>
    </row>
    <row r="3195" spans="1:30" x14ac:dyDescent="0.25">
      <c r="H3195" t="s">
        <v>4979</v>
      </c>
    </row>
    <row r="3196" spans="1:30" x14ac:dyDescent="0.25">
      <c r="A3196">
        <v>1595</v>
      </c>
      <c r="B3196">
        <v>4047</v>
      </c>
      <c r="C3196" t="s">
        <v>2987</v>
      </c>
      <c r="D3196" t="s">
        <v>636</v>
      </c>
      <c r="E3196" t="s">
        <v>400</v>
      </c>
      <c r="F3196" t="s">
        <v>5905</v>
      </c>
      <c r="G3196" t="str">
        <f>"00201599"</f>
        <v>00201599</v>
      </c>
      <c r="H3196">
        <v>836</v>
      </c>
      <c r="I3196">
        <v>0</v>
      </c>
      <c r="J3196">
        <v>0</v>
      </c>
      <c r="K3196">
        <v>0</v>
      </c>
      <c r="L3196">
        <v>0</v>
      </c>
      <c r="M3196">
        <v>0</v>
      </c>
      <c r="N3196">
        <v>30</v>
      </c>
      <c r="O3196">
        <v>0</v>
      </c>
      <c r="P3196">
        <v>0</v>
      </c>
      <c r="Q3196">
        <v>0</v>
      </c>
      <c r="R3196">
        <v>0</v>
      </c>
      <c r="S3196">
        <v>0</v>
      </c>
      <c r="T3196">
        <v>0</v>
      </c>
      <c r="U3196">
        <v>0</v>
      </c>
      <c r="V3196">
        <v>13</v>
      </c>
      <c r="W3196">
        <v>91</v>
      </c>
      <c r="X3196">
        <v>0</v>
      </c>
      <c r="Z3196">
        <v>0</v>
      </c>
      <c r="AA3196">
        <v>0</v>
      </c>
      <c r="AB3196">
        <v>0</v>
      </c>
      <c r="AC3196">
        <v>0</v>
      </c>
      <c r="AD3196">
        <v>957</v>
      </c>
    </row>
    <row r="3197" spans="1:30" x14ac:dyDescent="0.25">
      <c r="H3197" t="s">
        <v>4159</v>
      </c>
    </row>
    <row r="3198" spans="1:30" x14ac:dyDescent="0.25">
      <c r="A3198">
        <v>1596</v>
      </c>
      <c r="B3198">
        <v>4507</v>
      </c>
      <c r="C3198" t="s">
        <v>5906</v>
      </c>
      <c r="D3198" t="s">
        <v>1724</v>
      </c>
      <c r="E3198" t="s">
        <v>5179</v>
      </c>
      <c r="F3198" t="s">
        <v>5907</v>
      </c>
      <c r="G3198" t="str">
        <f>"200802007750"</f>
        <v>200802007750</v>
      </c>
      <c r="H3198" t="s">
        <v>94</v>
      </c>
      <c r="I3198">
        <v>0</v>
      </c>
      <c r="J3198">
        <v>0</v>
      </c>
      <c r="K3198">
        <v>0</v>
      </c>
      <c r="L3198">
        <v>0</v>
      </c>
      <c r="M3198">
        <v>0</v>
      </c>
      <c r="N3198">
        <v>30</v>
      </c>
      <c r="O3198">
        <v>0</v>
      </c>
      <c r="P3198">
        <v>0</v>
      </c>
      <c r="Q3198">
        <v>0</v>
      </c>
      <c r="R3198">
        <v>0</v>
      </c>
      <c r="S3198">
        <v>0</v>
      </c>
      <c r="T3198">
        <v>0</v>
      </c>
      <c r="U3198">
        <v>0</v>
      </c>
      <c r="V3198">
        <v>13</v>
      </c>
      <c r="W3198">
        <v>91</v>
      </c>
      <c r="X3198">
        <v>0</v>
      </c>
      <c r="Z3198">
        <v>0</v>
      </c>
      <c r="AA3198">
        <v>0</v>
      </c>
      <c r="AB3198">
        <v>5</v>
      </c>
      <c r="AC3198">
        <v>85</v>
      </c>
      <c r="AD3198" t="s">
        <v>5908</v>
      </c>
    </row>
    <row r="3199" spans="1:30" x14ac:dyDescent="0.25">
      <c r="H3199">
        <v>1248</v>
      </c>
    </row>
    <row r="3200" spans="1:30" x14ac:dyDescent="0.25">
      <c r="A3200">
        <v>1597</v>
      </c>
      <c r="B3200">
        <v>71</v>
      </c>
      <c r="C3200" t="s">
        <v>5909</v>
      </c>
      <c r="D3200" t="s">
        <v>151</v>
      </c>
      <c r="E3200" t="s">
        <v>2487</v>
      </c>
      <c r="F3200" t="s">
        <v>5910</v>
      </c>
      <c r="G3200" t="str">
        <f>"201511013351"</f>
        <v>201511013351</v>
      </c>
      <c r="H3200">
        <v>891</v>
      </c>
      <c r="I3200">
        <v>0</v>
      </c>
      <c r="J3200">
        <v>0</v>
      </c>
      <c r="K3200">
        <v>0</v>
      </c>
      <c r="L3200">
        <v>0</v>
      </c>
      <c r="M3200">
        <v>0</v>
      </c>
      <c r="N3200">
        <v>30</v>
      </c>
      <c r="O3200">
        <v>0</v>
      </c>
      <c r="P3200">
        <v>0</v>
      </c>
      <c r="Q3200">
        <v>0</v>
      </c>
      <c r="R3200">
        <v>0</v>
      </c>
      <c r="S3200">
        <v>0</v>
      </c>
      <c r="T3200">
        <v>0</v>
      </c>
      <c r="U3200">
        <v>0</v>
      </c>
      <c r="V3200">
        <v>5</v>
      </c>
      <c r="W3200">
        <v>35</v>
      </c>
      <c r="X3200">
        <v>0</v>
      </c>
      <c r="Z3200">
        <v>0</v>
      </c>
      <c r="AA3200">
        <v>0</v>
      </c>
      <c r="AB3200">
        <v>0</v>
      </c>
      <c r="AC3200">
        <v>0</v>
      </c>
      <c r="AD3200">
        <v>956</v>
      </c>
    </row>
    <row r="3201" spans="1:30" x14ac:dyDescent="0.25">
      <c r="H3201" t="s">
        <v>5911</v>
      </c>
    </row>
    <row r="3202" spans="1:30" x14ac:dyDescent="0.25">
      <c r="A3202">
        <v>1598</v>
      </c>
      <c r="B3202">
        <v>2478</v>
      </c>
      <c r="C3202" t="s">
        <v>5912</v>
      </c>
      <c r="D3202" t="s">
        <v>39</v>
      </c>
      <c r="E3202" t="s">
        <v>974</v>
      </c>
      <c r="F3202" t="s">
        <v>5913</v>
      </c>
      <c r="G3202" t="str">
        <f>"00327571"</f>
        <v>00327571</v>
      </c>
      <c r="H3202" t="s">
        <v>5439</v>
      </c>
      <c r="I3202">
        <v>0</v>
      </c>
      <c r="J3202">
        <v>0</v>
      </c>
      <c r="K3202">
        <v>0</v>
      </c>
      <c r="L3202">
        <v>0</v>
      </c>
      <c r="M3202">
        <v>0</v>
      </c>
      <c r="N3202">
        <v>0</v>
      </c>
      <c r="O3202">
        <v>0</v>
      </c>
      <c r="P3202">
        <v>0</v>
      </c>
      <c r="Q3202">
        <v>0</v>
      </c>
      <c r="R3202">
        <v>0</v>
      </c>
      <c r="S3202">
        <v>0</v>
      </c>
      <c r="T3202">
        <v>0</v>
      </c>
      <c r="U3202">
        <v>0</v>
      </c>
      <c r="V3202">
        <v>44</v>
      </c>
      <c r="W3202">
        <v>308</v>
      </c>
      <c r="X3202">
        <v>0</v>
      </c>
      <c r="Z3202">
        <v>0</v>
      </c>
      <c r="AA3202">
        <v>0</v>
      </c>
      <c r="AB3202">
        <v>0</v>
      </c>
      <c r="AC3202">
        <v>0</v>
      </c>
      <c r="AD3202" t="s">
        <v>153</v>
      </c>
    </row>
    <row r="3203" spans="1:30" x14ac:dyDescent="0.25">
      <c r="H3203" t="s">
        <v>5914</v>
      </c>
    </row>
    <row r="3204" spans="1:30" x14ac:dyDescent="0.25">
      <c r="A3204">
        <v>1599</v>
      </c>
      <c r="B3204">
        <v>5204</v>
      </c>
      <c r="C3204" t="s">
        <v>5915</v>
      </c>
      <c r="D3204" t="s">
        <v>75</v>
      </c>
      <c r="E3204" t="s">
        <v>47</v>
      </c>
      <c r="F3204" t="s">
        <v>5916</v>
      </c>
      <c r="G3204" t="str">
        <f>"201511009975"</f>
        <v>201511009975</v>
      </c>
      <c r="H3204" t="s">
        <v>456</v>
      </c>
      <c r="I3204">
        <v>0</v>
      </c>
      <c r="J3204">
        <v>0</v>
      </c>
      <c r="K3204">
        <v>0</v>
      </c>
      <c r="L3204">
        <v>0</v>
      </c>
      <c r="M3204">
        <v>0</v>
      </c>
      <c r="N3204">
        <v>30</v>
      </c>
      <c r="O3204">
        <v>0</v>
      </c>
      <c r="P3204">
        <v>0</v>
      </c>
      <c r="Q3204">
        <v>0</v>
      </c>
      <c r="R3204">
        <v>0</v>
      </c>
      <c r="S3204">
        <v>0</v>
      </c>
      <c r="T3204">
        <v>0</v>
      </c>
      <c r="U3204">
        <v>0</v>
      </c>
      <c r="V3204">
        <v>18</v>
      </c>
      <c r="W3204">
        <v>126</v>
      </c>
      <c r="X3204">
        <v>0</v>
      </c>
      <c r="Z3204">
        <v>0</v>
      </c>
      <c r="AA3204">
        <v>0</v>
      </c>
      <c r="AB3204">
        <v>0</v>
      </c>
      <c r="AC3204">
        <v>0</v>
      </c>
      <c r="AD3204" t="s">
        <v>5917</v>
      </c>
    </row>
    <row r="3205" spans="1:30" x14ac:dyDescent="0.25">
      <c r="H3205">
        <v>1247</v>
      </c>
    </row>
    <row r="3206" spans="1:30" x14ac:dyDescent="0.25">
      <c r="A3206">
        <v>1600</v>
      </c>
      <c r="B3206">
        <v>3058</v>
      </c>
      <c r="C3206" t="s">
        <v>5918</v>
      </c>
      <c r="D3206" t="s">
        <v>5919</v>
      </c>
      <c r="E3206" t="s">
        <v>5920</v>
      </c>
      <c r="F3206" t="s">
        <v>5921</v>
      </c>
      <c r="G3206" t="str">
        <f>"00223078"</f>
        <v>00223078</v>
      </c>
      <c r="H3206" t="s">
        <v>540</v>
      </c>
      <c r="I3206">
        <v>0</v>
      </c>
      <c r="J3206">
        <v>0</v>
      </c>
      <c r="K3206">
        <v>0</v>
      </c>
      <c r="L3206">
        <v>0</v>
      </c>
      <c r="M3206">
        <v>0</v>
      </c>
      <c r="N3206">
        <v>70</v>
      </c>
      <c r="O3206">
        <v>0</v>
      </c>
      <c r="P3206">
        <v>0</v>
      </c>
      <c r="Q3206">
        <v>0</v>
      </c>
      <c r="R3206">
        <v>0</v>
      </c>
      <c r="S3206">
        <v>0</v>
      </c>
      <c r="T3206">
        <v>0</v>
      </c>
      <c r="U3206">
        <v>0</v>
      </c>
      <c r="V3206">
        <v>0</v>
      </c>
      <c r="W3206">
        <v>0</v>
      </c>
      <c r="X3206">
        <v>0</v>
      </c>
      <c r="Z3206">
        <v>0</v>
      </c>
      <c r="AA3206">
        <v>0</v>
      </c>
      <c r="AB3206">
        <v>0</v>
      </c>
      <c r="AC3206">
        <v>0</v>
      </c>
      <c r="AD3206" t="s">
        <v>5922</v>
      </c>
    </row>
    <row r="3207" spans="1:30" x14ac:dyDescent="0.25">
      <c r="H3207" t="s">
        <v>132</v>
      </c>
    </row>
    <row r="3208" spans="1:30" x14ac:dyDescent="0.25">
      <c r="A3208">
        <v>1601</v>
      </c>
      <c r="B3208">
        <v>2369</v>
      </c>
      <c r="C3208" t="s">
        <v>1185</v>
      </c>
      <c r="D3208" t="s">
        <v>335</v>
      </c>
      <c r="E3208" t="s">
        <v>40</v>
      </c>
      <c r="F3208" t="s">
        <v>5923</v>
      </c>
      <c r="G3208" t="str">
        <f>"201402003742"</f>
        <v>201402003742</v>
      </c>
      <c r="H3208" t="s">
        <v>2325</v>
      </c>
      <c r="I3208">
        <v>150</v>
      </c>
      <c r="J3208">
        <v>0</v>
      </c>
      <c r="K3208">
        <v>0</v>
      </c>
      <c r="L3208">
        <v>0</v>
      </c>
      <c r="M3208">
        <v>0</v>
      </c>
      <c r="N3208">
        <v>50</v>
      </c>
      <c r="O3208">
        <v>0</v>
      </c>
      <c r="P3208">
        <v>0</v>
      </c>
      <c r="Q3208">
        <v>0</v>
      </c>
      <c r="R3208">
        <v>0</v>
      </c>
      <c r="S3208">
        <v>0</v>
      </c>
      <c r="T3208">
        <v>0</v>
      </c>
      <c r="U3208">
        <v>0</v>
      </c>
      <c r="V3208">
        <v>0</v>
      </c>
      <c r="W3208">
        <v>0</v>
      </c>
      <c r="X3208">
        <v>6</v>
      </c>
      <c r="Y3208">
        <v>1251</v>
      </c>
      <c r="Z3208">
        <v>1</v>
      </c>
      <c r="AA3208">
        <v>0</v>
      </c>
      <c r="AB3208">
        <v>0</v>
      </c>
      <c r="AC3208">
        <v>0</v>
      </c>
      <c r="AD3208" t="s">
        <v>5924</v>
      </c>
    </row>
    <row r="3209" spans="1:30" x14ac:dyDescent="0.25">
      <c r="H3209" t="s">
        <v>5925</v>
      </c>
    </row>
    <row r="3210" spans="1:30" x14ac:dyDescent="0.25">
      <c r="A3210">
        <v>1602</v>
      </c>
      <c r="B3210">
        <v>197</v>
      </c>
      <c r="C3210" t="s">
        <v>5739</v>
      </c>
      <c r="D3210" t="s">
        <v>5926</v>
      </c>
      <c r="E3210" t="s">
        <v>40</v>
      </c>
      <c r="F3210" t="s">
        <v>5927</v>
      </c>
      <c r="G3210" t="str">
        <f>"00293923"</f>
        <v>00293923</v>
      </c>
      <c r="H3210" t="s">
        <v>357</v>
      </c>
      <c r="I3210">
        <v>0</v>
      </c>
      <c r="J3210">
        <v>0</v>
      </c>
      <c r="K3210">
        <v>0</v>
      </c>
      <c r="L3210">
        <v>0</v>
      </c>
      <c r="M3210">
        <v>0</v>
      </c>
      <c r="N3210">
        <v>30</v>
      </c>
      <c r="O3210">
        <v>0</v>
      </c>
      <c r="P3210">
        <v>0</v>
      </c>
      <c r="Q3210">
        <v>0</v>
      </c>
      <c r="R3210">
        <v>0</v>
      </c>
      <c r="S3210">
        <v>0</v>
      </c>
      <c r="T3210">
        <v>0</v>
      </c>
      <c r="U3210">
        <v>0</v>
      </c>
      <c r="V3210">
        <v>-6</v>
      </c>
      <c r="W3210">
        <v>-42</v>
      </c>
      <c r="X3210">
        <v>0</v>
      </c>
      <c r="Z3210">
        <v>0</v>
      </c>
      <c r="AA3210">
        <v>0</v>
      </c>
      <c r="AB3210">
        <v>6</v>
      </c>
      <c r="AC3210">
        <v>102</v>
      </c>
      <c r="AD3210" t="s">
        <v>5928</v>
      </c>
    </row>
    <row r="3211" spans="1:30" x14ac:dyDescent="0.25">
      <c r="H3211" t="s">
        <v>746</v>
      </c>
    </row>
    <row r="3212" spans="1:30" x14ac:dyDescent="0.25">
      <c r="A3212">
        <v>1603</v>
      </c>
      <c r="B3212">
        <v>3589</v>
      </c>
      <c r="C3212" t="s">
        <v>5929</v>
      </c>
      <c r="D3212" t="s">
        <v>115</v>
      </c>
      <c r="E3212" t="s">
        <v>5930</v>
      </c>
      <c r="F3212" t="s">
        <v>5931</v>
      </c>
      <c r="G3212" t="str">
        <f>"00018054"</f>
        <v>00018054</v>
      </c>
      <c r="H3212" t="s">
        <v>3994</v>
      </c>
      <c r="I3212">
        <v>0</v>
      </c>
      <c r="J3212">
        <v>0</v>
      </c>
      <c r="K3212">
        <v>0</v>
      </c>
      <c r="L3212">
        <v>0</v>
      </c>
      <c r="M3212">
        <v>0</v>
      </c>
      <c r="N3212">
        <v>30</v>
      </c>
      <c r="O3212">
        <v>0</v>
      </c>
      <c r="P3212">
        <v>0</v>
      </c>
      <c r="Q3212">
        <v>0</v>
      </c>
      <c r="R3212">
        <v>0</v>
      </c>
      <c r="S3212">
        <v>0</v>
      </c>
      <c r="T3212">
        <v>0</v>
      </c>
      <c r="U3212">
        <v>0</v>
      </c>
      <c r="V3212">
        <v>40</v>
      </c>
      <c r="W3212">
        <v>280</v>
      </c>
      <c r="X3212">
        <v>0</v>
      </c>
      <c r="Z3212">
        <v>0</v>
      </c>
      <c r="AA3212">
        <v>0</v>
      </c>
      <c r="AB3212">
        <v>0</v>
      </c>
      <c r="AC3212">
        <v>0</v>
      </c>
      <c r="AD3212" t="s">
        <v>5928</v>
      </c>
    </row>
    <row r="3213" spans="1:30" x14ac:dyDescent="0.25">
      <c r="H3213" t="s">
        <v>5932</v>
      </c>
    </row>
    <row r="3214" spans="1:30" x14ac:dyDescent="0.25">
      <c r="A3214">
        <v>1604</v>
      </c>
      <c r="B3214">
        <v>4145</v>
      </c>
      <c r="C3214" t="s">
        <v>5933</v>
      </c>
      <c r="D3214" t="s">
        <v>335</v>
      </c>
      <c r="E3214" t="s">
        <v>39</v>
      </c>
      <c r="F3214" t="s">
        <v>5934</v>
      </c>
      <c r="G3214" t="str">
        <f>"00171806"</f>
        <v>00171806</v>
      </c>
      <c r="H3214">
        <v>726</v>
      </c>
      <c r="I3214">
        <v>0</v>
      </c>
      <c r="J3214">
        <v>0</v>
      </c>
      <c r="K3214">
        <v>0</v>
      </c>
      <c r="L3214">
        <v>0</v>
      </c>
      <c r="M3214">
        <v>0</v>
      </c>
      <c r="N3214">
        <v>30</v>
      </c>
      <c r="O3214">
        <v>0</v>
      </c>
      <c r="P3214">
        <v>0</v>
      </c>
      <c r="Q3214">
        <v>0</v>
      </c>
      <c r="R3214">
        <v>0</v>
      </c>
      <c r="S3214">
        <v>0</v>
      </c>
      <c r="T3214">
        <v>0</v>
      </c>
      <c r="U3214">
        <v>0</v>
      </c>
      <c r="V3214">
        <v>28</v>
      </c>
      <c r="W3214">
        <v>196</v>
      </c>
      <c r="X3214">
        <v>0</v>
      </c>
      <c r="Z3214">
        <v>0</v>
      </c>
      <c r="AA3214">
        <v>0</v>
      </c>
      <c r="AB3214">
        <v>0</v>
      </c>
      <c r="AC3214">
        <v>0</v>
      </c>
      <c r="AD3214">
        <v>952</v>
      </c>
    </row>
    <row r="3215" spans="1:30" x14ac:dyDescent="0.25">
      <c r="H3215" t="s">
        <v>5935</v>
      </c>
    </row>
    <row r="3216" spans="1:30" x14ac:dyDescent="0.25">
      <c r="A3216">
        <v>1605</v>
      </c>
      <c r="B3216">
        <v>195</v>
      </c>
      <c r="C3216" t="s">
        <v>5936</v>
      </c>
      <c r="D3216" t="s">
        <v>238</v>
      </c>
      <c r="E3216" t="s">
        <v>151</v>
      </c>
      <c r="F3216" t="s">
        <v>5937</v>
      </c>
      <c r="G3216" t="str">
        <f>"201604005552"</f>
        <v>201604005552</v>
      </c>
      <c r="H3216" t="s">
        <v>1768</v>
      </c>
      <c r="I3216">
        <v>0</v>
      </c>
      <c r="J3216">
        <v>0</v>
      </c>
      <c r="K3216">
        <v>0</v>
      </c>
      <c r="L3216">
        <v>0</v>
      </c>
      <c r="M3216">
        <v>0</v>
      </c>
      <c r="N3216">
        <v>30</v>
      </c>
      <c r="O3216">
        <v>0</v>
      </c>
      <c r="P3216">
        <v>0</v>
      </c>
      <c r="Q3216">
        <v>0</v>
      </c>
      <c r="R3216">
        <v>0</v>
      </c>
      <c r="S3216">
        <v>0</v>
      </c>
      <c r="T3216">
        <v>0</v>
      </c>
      <c r="U3216">
        <v>0</v>
      </c>
      <c r="V3216">
        <v>14</v>
      </c>
      <c r="W3216">
        <v>98</v>
      </c>
      <c r="X3216">
        <v>0</v>
      </c>
      <c r="Z3216">
        <v>0</v>
      </c>
      <c r="AA3216">
        <v>0</v>
      </c>
      <c r="AB3216">
        <v>0</v>
      </c>
      <c r="AC3216">
        <v>0</v>
      </c>
      <c r="AD3216" t="s">
        <v>5938</v>
      </c>
    </row>
    <row r="3217" spans="1:30" x14ac:dyDescent="0.25">
      <c r="H3217" t="s">
        <v>5939</v>
      </c>
    </row>
    <row r="3218" spans="1:30" x14ac:dyDescent="0.25">
      <c r="A3218">
        <v>1606</v>
      </c>
      <c r="B3218">
        <v>1438</v>
      </c>
      <c r="C3218" t="s">
        <v>5940</v>
      </c>
      <c r="D3218" t="s">
        <v>47</v>
      </c>
      <c r="E3218" t="s">
        <v>5941</v>
      </c>
      <c r="F3218" t="s">
        <v>5942</v>
      </c>
      <c r="G3218" t="str">
        <f>"201412004274"</f>
        <v>201412004274</v>
      </c>
      <c r="H3218" t="s">
        <v>3427</v>
      </c>
      <c r="I3218">
        <v>0</v>
      </c>
      <c r="J3218">
        <v>0</v>
      </c>
      <c r="K3218">
        <v>0</v>
      </c>
      <c r="L3218">
        <v>200</v>
      </c>
      <c r="M3218">
        <v>0</v>
      </c>
      <c r="N3218">
        <v>30</v>
      </c>
      <c r="O3218">
        <v>30</v>
      </c>
      <c r="P3218">
        <v>0</v>
      </c>
      <c r="Q3218">
        <v>0</v>
      </c>
      <c r="R3218">
        <v>0</v>
      </c>
      <c r="S3218">
        <v>0</v>
      </c>
      <c r="T3218">
        <v>0</v>
      </c>
      <c r="U3218">
        <v>0</v>
      </c>
      <c r="V3218">
        <v>0</v>
      </c>
      <c r="W3218">
        <v>0</v>
      </c>
      <c r="X3218">
        <v>0</v>
      </c>
      <c r="Z3218">
        <v>0</v>
      </c>
      <c r="AA3218">
        <v>0</v>
      </c>
      <c r="AB3218">
        <v>0</v>
      </c>
      <c r="AC3218">
        <v>0</v>
      </c>
      <c r="AD3218" t="s">
        <v>5938</v>
      </c>
    </row>
    <row r="3219" spans="1:30" x14ac:dyDescent="0.25">
      <c r="H3219" t="s">
        <v>5943</v>
      </c>
    </row>
    <row r="3220" spans="1:30" x14ac:dyDescent="0.25">
      <c r="A3220">
        <v>1607</v>
      </c>
      <c r="B3220">
        <v>62</v>
      </c>
      <c r="C3220" t="s">
        <v>5944</v>
      </c>
      <c r="D3220" t="s">
        <v>335</v>
      </c>
      <c r="E3220" t="s">
        <v>40</v>
      </c>
      <c r="F3220" t="s">
        <v>5945</v>
      </c>
      <c r="G3220" t="str">
        <f>"00251070"</f>
        <v>00251070</v>
      </c>
      <c r="H3220" t="s">
        <v>5946</v>
      </c>
      <c r="I3220">
        <v>0</v>
      </c>
      <c r="J3220">
        <v>0</v>
      </c>
      <c r="K3220">
        <v>0</v>
      </c>
      <c r="L3220">
        <v>0</v>
      </c>
      <c r="M3220">
        <v>0</v>
      </c>
      <c r="N3220">
        <v>0</v>
      </c>
      <c r="O3220">
        <v>0</v>
      </c>
      <c r="P3220">
        <v>0</v>
      </c>
      <c r="Q3220">
        <v>0</v>
      </c>
      <c r="R3220">
        <v>0</v>
      </c>
      <c r="S3220">
        <v>0</v>
      </c>
      <c r="T3220">
        <v>0</v>
      </c>
      <c r="U3220">
        <v>0</v>
      </c>
      <c r="V3220">
        <v>46</v>
      </c>
      <c r="W3220">
        <v>322</v>
      </c>
      <c r="X3220">
        <v>0</v>
      </c>
      <c r="Z3220">
        <v>0</v>
      </c>
      <c r="AA3220">
        <v>0</v>
      </c>
      <c r="AB3220">
        <v>0</v>
      </c>
      <c r="AC3220">
        <v>0</v>
      </c>
      <c r="AD3220" t="s">
        <v>5947</v>
      </c>
    </row>
    <row r="3221" spans="1:30" x14ac:dyDescent="0.25">
      <c r="H3221" t="s">
        <v>5948</v>
      </c>
    </row>
    <row r="3222" spans="1:30" x14ac:dyDescent="0.25">
      <c r="A3222">
        <v>1608</v>
      </c>
      <c r="B3222">
        <v>4250</v>
      </c>
      <c r="C3222" t="s">
        <v>4656</v>
      </c>
      <c r="D3222" t="s">
        <v>183</v>
      </c>
      <c r="E3222" t="s">
        <v>92</v>
      </c>
      <c r="F3222" t="s">
        <v>5949</v>
      </c>
      <c r="G3222" t="str">
        <f>"00161678"</f>
        <v>00161678</v>
      </c>
      <c r="H3222" t="s">
        <v>1511</v>
      </c>
      <c r="I3222">
        <v>0</v>
      </c>
      <c r="J3222">
        <v>0</v>
      </c>
      <c r="K3222">
        <v>0</v>
      </c>
      <c r="L3222">
        <v>200</v>
      </c>
      <c r="M3222">
        <v>0</v>
      </c>
      <c r="N3222">
        <v>50</v>
      </c>
      <c r="O3222">
        <v>0</v>
      </c>
      <c r="P3222">
        <v>0</v>
      </c>
      <c r="Q3222">
        <v>0</v>
      </c>
      <c r="R3222">
        <v>0</v>
      </c>
      <c r="S3222">
        <v>0</v>
      </c>
      <c r="T3222">
        <v>0</v>
      </c>
      <c r="U3222">
        <v>0</v>
      </c>
      <c r="V3222">
        <v>1</v>
      </c>
      <c r="W3222">
        <v>7</v>
      </c>
      <c r="X3222">
        <v>0</v>
      </c>
      <c r="Z3222">
        <v>0</v>
      </c>
      <c r="AA3222">
        <v>0</v>
      </c>
      <c r="AB3222">
        <v>0</v>
      </c>
      <c r="AC3222">
        <v>0</v>
      </c>
      <c r="AD3222" t="s">
        <v>5950</v>
      </c>
    </row>
    <row r="3223" spans="1:30" x14ac:dyDescent="0.25">
      <c r="H3223" t="s">
        <v>5951</v>
      </c>
    </row>
    <row r="3224" spans="1:30" x14ac:dyDescent="0.25">
      <c r="A3224">
        <v>1609</v>
      </c>
      <c r="B3224">
        <v>2328</v>
      </c>
      <c r="C3224" t="s">
        <v>1185</v>
      </c>
      <c r="D3224" t="s">
        <v>665</v>
      </c>
      <c r="E3224" t="s">
        <v>39</v>
      </c>
      <c r="F3224" t="s">
        <v>5952</v>
      </c>
      <c r="G3224" t="str">
        <f>"201511019142"</f>
        <v>201511019142</v>
      </c>
      <c r="H3224" t="s">
        <v>2705</v>
      </c>
      <c r="I3224">
        <v>0</v>
      </c>
      <c r="J3224">
        <v>0</v>
      </c>
      <c r="K3224">
        <v>0</v>
      </c>
      <c r="L3224">
        <v>0</v>
      </c>
      <c r="M3224">
        <v>0</v>
      </c>
      <c r="N3224">
        <v>70</v>
      </c>
      <c r="O3224">
        <v>0</v>
      </c>
      <c r="P3224">
        <v>0</v>
      </c>
      <c r="Q3224">
        <v>0</v>
      </c>
      <c r="R3224">
        <v>0</v>
      </c>
      <c r="S3224">
        <v>0</v>
      </c>
      <c r="T3224">
        <v>0</v>
      </c>
      <c r="U3224">
        <v>0</v>
      </c>
      <c r="V3224">
        <v>14</v>
      </c>
      <c r="W3224">
        <v>98</v>
      </c>
      <c r="X3224">
        <v>0</v>
      </c>
      <c r="Z3224">
        <v>0</v>
      </c>
      <c r="AA3224">
        <v>0</v>
      </c>
      <c r="AB3224">
        <v>6</v>
      </c>
      <c r="AC3224">
        <v>102</v>
      </c>
      <c r="AD3224" t="s">
        <v>5953</v>
      </c>
    </row>
    <row r="3225" spans="1:30" x14ac:dyDescent="0.25">
      <c r="H3225" t="s">
        <v>5954</v>
      </c>
    </row>
    <row r="3226" spans="1:30" x14ac:dyDescent="0.25">
      <c r="A3226">
        <v>1610</v>
      </c>
      <c r="B3226">
        <v>3451</v>
      </c>
      <c r="C3226" t="s">
        <v>5955</v>
      </c>
      <c r="D3226" t="s">
        <v>5956</v>
      </c>
      <c r="E3226" t="s">
        <v>239</v>
      </c>
      <c r="F3226" t="s">
        <v>5957</v>
      </c>
      <c r="G3226" t="str">
        <f>"201512001688"</f>
        <v>201512001688</v>
      </c>
      <c r="H3226">
        <v>682</v>
      </c>
      <c r="I3226">
        <v>0</v>
      </c>
      <c r="J3226">
        <v>0</v>
      </c>
      <c r="K3226">
        <v>0</v>
      </c>
      <c r="L3226">
        <v>0</v>
      </c>
      <c r="M3226">
        <v>0</v>
      </c>
      <c r="N3226">
        <v>30</v>
      </c>
      <c r="O3226">
        <v>0</v>
      </c>
      <c r="P3226">
        <v>0</v>
      </c>
      <c r="Q3226">
        <v>0</v>
      </c>
      <c r="R3226">
        <v>0</v>
      </c>
      <c r="S3226">
        <v>0</v>
      </c>
      <c r="T3226">
        <v>0</v>
      </c>
      <c r="U3226">
        <v>0</v>
      </c>
      <c r="V3226">
        <v>34</v>
      </c>
      <c r="W3226">
        <v>238</v>
      </c>
      <c r="X3226">
        <v>0</v>
      </c>
      <c r="Z3226">
        <v>0</v>
      </c>
      <c r="AA3226">
        <v>0</v>
      </c>
      <c r="AB3226">
        <v>0</v>
      </c>
      <c r="AC3226">
        <v>0</v>
      </c>
      <c r="AD3226">
        <v>950</v>
      </c>
    </row>
    <row r="3227" spans="1:30" x14ac:dyDescent="0.25">
      <c r="H3227" t="s">
        <v>5958</v>
      </c>
    </row>
    <row r="3228" spans="1:30" x14ac:dyDescent="0.25">
      <c r="A3228">
        <v>1611</v>
      </c>
      <c r="B3228">
        <v>2918</v>
      </c>
      <c r="C3228" t="s">
        <v>5959</v>
      </c>
      <c r="D3228" t="s">
        <v>526</v>
      </c>
      <c r="E3228" t="s">
        <v>107</v>
      </c>
      <c r="F3228" t="s">
        <v>5960</v>
      </c>
      <c r="G3228" t="str">
        <f>"00156224"</f>
        <v>00156224</v>
      </c>
      <c r="H3228" t="s">
        <v>754</v>
      </c>
      <c r="I3228">
        <v>0</v>
      </c>
      <c r="J3228">
        <v>0</v>
      </c>
      <c r="K3228">
        <v>0</v>
      </c>
      <c r="L3228">
        <v>0</v>
      </c>
      <c r="M3228">
        <v>0</v>
      </c>
      <c r="N3228">
        <v>30</v>
      </c>
      <c r="O3228">
        <v>0</v>
      </c>
      <c r="P3228">
        <v>0</v>
      </c>
      <c r="Q3228">
        <v>0</v>
      </c>
      <c r="R3228">
        <v>0</v>
      </c>
      <c r="S3228">
        <v>0</v>
      </c>
      <c r="T3228">
        <v>0</v>
      </c>
      <c r="U3228">
        <v>0</v>
      </c>
      <c r="V3228">
        <v>28</v>
      </c>
      <c r="W3228">
        <v>196</v>
      </c>
      <c r="X3228">
        <v>0</v>
      </c>
      <c r="Z3228">
        <v>0</v>
      </c>
      <c r="AA3228">
        <v>0</v>
      </c>
      <c r="AB3228">
        <v>0</v>
      </c>
      <c r="AC3228">
        <v>0</v>
      </c>
      <c r="AD3228" t="s">
        <v>5961</v>
      </c>
    </row>
    <row r="3229" spans="1:30" x14ac:dyDescent="0.25">
      <c r="H3229" t="s">
        <v>5962</v>
      </c>
    </row>
    <row r="3230" spans="1:30" x14ac:dyDescent="0.25">
      <c r="A3230">
        <v>1612</v>
      </c>
      <c r="B3230">
        <v>4138</v>
      </c>
      <c r="C3230" t="s">
        <v>5963</v>
      </c>
      <c r="D3230" t="s">
        <v>51</v>
      </c>
      <c r="E3230" t="s">
        <v>378</v>
      </c>
      <c r="F3230" t="s">
        <v>5964</v>
      </c>
      <c r="G3230" t="str">
        <f>"00238061"</f>
        <v>00238061</v>
      </c>
      <c r="H3230" t="s">
        <v>1315</v>
      </c>
      <c r="I3230">
        <v>0</v>
      </c>
      <c r="J3230">
        <v>0</v>
      </c>
      <c r="K3230">
        <v>0</v>
      </c>
      <c r="L3230">
        <v>200</v>
      </c>
      <c r="M3230">
        <v>0</v>
      </c>
      <c r="N3230">
        <v>50</v>
      </c>
      <c r="O3230">
        <v>0</v>
      </c>
      <c r="P3230">
        <v>0</v>
      </c>
      <c r="Q3230">
        <v>0</v>
      </c>
      <c r="R3230">
        <v>0</v>
      </c>
      <c r="S3230">
        <v>0</v>
      </c>
      <c r="T3230">
        <v>0</v>
      </c>
      <c r="U3230">
        <v>0</v>
      </c>
      <c r="V3230">
        <v>0</v>
      </c>
      <c r="W3230">
        <v>0</v>
      </c>
      <c r="X3230">
        <v>0</v>
      </c>
      <c r="Z3230">
        <v>1</v>
      </c>
      <c r="AA3230">
        <v>0</v>
      </c>
      <c r="AB3230">
        <v>0</v>
      </c>
      <c r="AC3230">
        <v>0</v>
      </c>
      <c r="AD3230" t="s">
        <v>5965</v>
      </c>
    </row>
    <row r="3231" spans="1:30" x14ac:dyDescent="0.25">
      <c r="H3231" t="s">
        <v>5966</v>
      </c>
    </row>
    <row r="3232" spans="1:30" x14ac:dyDescent="0.25">
      <c r="A3232">
        <v>1613</v>
      </c>
      <c r="B3232">
        <v>5028</v>
      </c>
      <c r="C3232" t="s">
        <v>5967</v>
      </c>
      <c r="D3232" t="s">
        <v>98</v>
      </c>
      <c r="E3232" t="s">
        <v>40</v>
      </c>
      <c r="F3232" t="s">
        <v>5968</v>
      </c>
      <c r="G3232" t="str">
        <f>"201404000151"</f>
        <v>201404000151</v>
      </c>
      <c r="H3232" t="s">
        <v>4444</v>
      </c>
      <c r="I3232">
        <v>0</v>
      </c>
      <c r="J3232">
        <v>0</v>
      </c>
      <c r="K3232">
        <v>0</v>
      </c>
      <c r="L3232">
        <v>0</v>
      </c>
      <c r="M3232">
        <v>0</v>
      </c>
      <c r="N3232">
        <v>0</v>
      </c>
      <c r="O3232">
        <v>0</v>
      </c>
      <c r="P3232">
        <v>0</v>
      </c>
      <c r="Q3232">
        <v>0</v>
      </c>
      <c r="R3232">
        <v>0</v>
      </c>
      <c r="S3232">
        <v>0</v>
      </c>
      <c r="T3232">
        <v>0</v>
      </c>
      <c r="U3232">
        <v>0</v>
      </c>
      <c r="V3232">
        <v>47</v>
      </c>
      <c r="W3232">
        <v>329</v>
      </c>
      <c r="X3232">
        <v>0</v>
      </c>
      <c r="Z3232">
        <v>0</v>
      </c>
      <c r="AA3232">
        <v>0</v>
      </c>
      <c r="AB3232">
        <v>0</v>
      </c>
      <c r="AC3232">
        <v>0</v>
      </c>
      <c r="AD3232" t="s">
        <v>5969</v>
      </c>
    </row>
    <row r="3233" spans="1:30" x14ac:dyDescent="0.25">
      <c r="H3233">
        <v>1250</v>
      </c>
    </row>
    <row r="3234" spans="1:30" x14ac:dyDescent="0.25">
      <c r="A3234">
        <v>1614</v>
      </c>
      <c r="B3234">
        <v>5637</v>
      </c>
      <c r="C3234" t="s">
        <v>5970</v>
      </c>
      <c r="D3234" t="s">
        <v>869</v>
      </c>
      <c r="E3234" t="s">
        <v>107</v>
      </c>
      <c r="F3234" t="s">
        <v>5971</v>
      </c>
      <c r="G3234" t="str">
        <f>"00194446"</f>
        <v>00194446</v>
      </c>
      <c r="H3234" t="s">
        <v>94</v>
      </c>
      <c r="I3234">
        <v>0</v>
      </c>
      <c r="J3234">
        <v>0</v>
      </c>
      <c r="K3234">
        <v>0</v>
      </c>
      <c r="L3234">
        <v>0</v>
      </c>
      <c r="M3234">
        <v>0</v>
      </c>
      <c r="N3234">
        <v>30</v>
      </c>
      <c r="O3234">
        <v>0</v>
      </c>
      <c r="P3234">
        <v>0</v>
      </c>
      <c r="Q3234">
        <v>0</v>
      </c>
      <c r="R3234">
        <v>0</v>
      </c>
      <c r="S3234">
        <v>0</v>
      </c>
      <c r="T3234">
        <v>0</v>
      </c>
      <c r="U3234">
        <v>0</v>
      </c>
      <c r="V3234">
        <v>24</v>
      </c>
      <c r="W3234">
        <v>168</v>
      </c>
      <c r="X3234">
        <v>0</v>
      </c>
      <c r="Z3234">
        <v>0</v>
      </c>
      <c r="AA3234">
        <v>0</v>
      </c>
      <c r="AB3234">
        <v>0</v>
      </c>
      <c r="AC3234">
        <v>0</v>
      </c>
      <c r="AD3234" t="s">
        <v>5972</v>
      </c>
    </row>
    <row r="3235" spans="1:30" x14ac:dyDescent="0.25">
      <c r="H3235" t="s">
        <v>5973</v>
      </c>
    </row>
    <row r="3236" spans="1:30" x14ac:dyDescent="0.25">
      <c r="A3236">
        <v>1615</v>
      </c>
      <c r="B3236">
        <v>1487</v>
      </c>
      <c r="C3236" t="s">
        <v>698</v>
      </c>
      <c r="D3236" t="s">
        <v>5974</v>
      </c>
      <c r="E3236" t="s">
        <v>40</v>
      </c>
      <c r="F3236" t="s">
        <v>5975</v>
      </c>
      <c r="G3236" t="str">
        <f>"00196061"</f>
        <v>00196061</v>
      </c>
      <c r="H3236" t="s">
        <v>1150</v>
      </c>
      <c r="I3236">
        <v>0</v>
      </c>
      <c r="J3236">
        <v>0</v>
      </c>
      <c r="K3236">
        <v>0</v>
      </c>
      <c r="L3236">
        <v>0</v>
      </c>
      <c r="M3236">
        <v>0</v>
      </c>
      <c r="N3236">
        <v>0</v>
      </c>
      <c r="O3236">
        <v>0</v>
      </c>
      <c r="P3236">
        <v>0</v>
      </c>
      <c r="Q3236">
        <v>0</v>
      </c>
      <c r="R3236">
        <v>0</v>
      </c>
      <c r="S3236">
        <v>0</v>
      </c>
      <c r="T3236">
        <v>0</v>
      </c>
      <c r="U3236">
        <v>0</v>
      </c>
      <c r="V3236">
        <v>35</v>
      </c>
      <c r="W3236">
        <v>245</v>
      </c>
      <c r="X3236">
        <v>0</v>
      </c>
      <c r="Z3236">
        <v>0</v>
      </c>
      <c r="AA3236">
        <v>0</v>
      </c>
      <c r="AB3236">
        <v>0</v>
      </c>
      <c r="AC3236">
        <v>0</v>
      </c>
      <c r="AD3236" t="s">
        <v>5976</v>
      </c>
    </row>
    <row r="3237" spans="1:30" x14ac:dyDescent="0.25">
      <c r="H3237" t="s">
        <v>3297</v>
      </c>
    </row>
    <row r="3238" spans="1:30" x14ac:dyDescent="0.25">
      <c r="A3238">
        <v>1616</v>
      </c>
      <c r="B3238">
        <v>233</v>
      </c>
      <c r="C3238" t="s">
        <v>5977</v>
      </c>
      <c r="D3238" t="s">
        <v>974</v>
      </c>
      <c r="E3238" t="s">
        <v>115</v>
      </c>
      <c r="F3238" t="s">
        <v>5978</v>
      </c>
      <c r="G3238" t="str">
        <f>"201406000473"</f>
        <v>201406000473</v>
      </c>
      <c r="H3238" t="s">
        <v>1419</v>
      </c>
      <c r="I3238">
        <v>0</v>
      </c>
      <c r="J3238">
        <v>0</v>
      </c>
      <c r="K3238">
        <v>0</v>
      </c>
      <c r="L3238">
        <v>0</v>
      </c>
      <c r="M3238">
        <v>0</v>
      </c>
      <c r="N3238">
        <v>70</v>
      </c>
      <c r="O3238">
        <v>0</v>
      </c>
      <c r="P3238">
        <v>0</v>
      </c>
      <c r="Q3238">
        <v>0</v>
      </c>
      <c r="R3238">
        <v>0</v>
      </c>
      <c r="S3238">
        <v>0</v>
      </c>
      <c r="T3238">
        <v>0</v>
      </c>
      <c r="U3238">
        <v>0</v>
      </c>
      <c r="V3238">
        <v>5</v>
      </c>
      <c r="W3238">
        <v>35</v>
      </c>
      <c r="X3238">
        <v>0</v>
      </c>
      <c r="Z3238">
        <v>0</v>
      </c>
      <c r="AA3238">
        <v>0</v>
      </c>
      <c r="AB3238">
        <v>0</v>
      </c>
      <c r="AC3238">
        <v>0</v>
      </c>
      <c r="AD3238" t="s">
        <v>5979</v>
      </c>
    </row>
    <row r="3239" spans="1:30" x14ac:dyDescent="0.25">
      <c r="H3239" t="s">
        <v>273</v>
      </c>
    </row>
    <row r="3240" spans="1:30" x14ac:dyDescent="0.25">
      <c r="A3240">
        <v>1617</v>
      </c>
      <c r="B3240">
        <v>3775</v>
      </c>
      <c r="C3240" t="s">
        <v>5980</v>
      </c>
      <c r="D3240" t="s">
        <v>75</v>
      </c>
      <c r="E3240" t="s">
        <v>39</v>
      </c>
      <c r="F3240" t="s">
        <v>5981</v>
      </c>
      <c r="G3240" t="str">
        <f>"201406000217"</f>
        <v>201406000217</v>
      </c>
      <c r="H3240" t="s">
        <v>1101</v>
      </c>
      <c r="I3240">
        <v>0</v>
      </c>
      <c r="J3240">
        <v>0</v>
      </c>
      <c r="K3240">
        <v>0</v>
      </c>
      <c r="L3240">
        <v>0</v>
      </c>
      <c r="M3240">
        <v>0</v>
      </c>
      <c r="N3240">
        <v>70</v>
      </c>
      <c r="O3240">
        <v>0</v>
      </c>
      <c r="P3240">
        <v>0</v>
      </c>
      <c r="Q3240">
        <v>0</v>
      </c>
      <c r="R3240">
        <v>0</v>
      </c>
      <c r="S3240">
        <v>0</v>
      </c>
      <c r="T3240">
        <v>0</v>
      </c>
      <c r="U3240">
        <v>0</v>
      </c>
      <c r="V3240">
        <v>27</v>
      </c>
      <c r="W3240">
        <v>189</v>
      </c>
      <c r="X3240">
        <v>0</v>
      </c>
      <c r="Z3240">
        <v>0</v>
      </c>
      <c r="AA3240">
        <v>0</v>
      </c>
      <c r="AB3240">
        <v>0</v>
      </c>
      <c r="AC3240">
        <v>0</v>
      </c>
      <c r="AD3240" t="s">
        <v>5979</v>
      </c>
    </row>
    <row r="3241" spans="1:30" x14ac:dyDescent="0.25">
      <c r="H3241" t="s">
        <v>5982</v>
      </c>
    </row>
    <row r="3242" spans="1:30" x14ac:dyDescent="0.25">
      <c r="A3242">
        <v>1618</v>
      </c>
      <c r="B3242">
        <v>1099</v>
      </c>
      <c r="C3242" t="s">
        <v>5983</v>
      </c>
      <c r="D3242" t="s">
        <v>14</v>
      </c>
      <c r="E3242" t="s">
        <v>47</v>
      </c>
      <c r="F3242" t="s">
        <v>5984</v>
      </c>
      <c r="G3242" t="str">
        <f>"201409002531"</f>
        <v>201409002531</v>
      </c>
      <c r="H3242" t="s">
        <v>2056</v>
      </c>
      <c r="I3242">
        <v>0</v>
      </c>
      <c r="J3242">
        <v>0</v>
      </c>
      <c r="K3242">
        <v>0</v>
      </c>
      <c r="L3242">
        <v>0</v>
      </c>
      <c r="M3242">
        <v>0</v>
      </c>
      <c r="N3242">
        <v>70</v>
      </c>
      <c r="O3242">
        <v>0</v>
      </c>
      <c r="P3242">
        <v>0</v>
      </c>
      <c r="Q3242">
        <v>0</v>
      </c>
      <c r="R3242">
        <v>0</v>
      </c>
      <c r="S3242">
        <v>0</v>
      </c>
      <c r="T3242">
        <v>0</v>
      </c>
      <c r="U3242">
        <v>0</v>
      </c>
      <c r="V3242">
        <v>22</v>
      </c>
      <c r="W3242">
        <v>154</v>
      </c>
      <c r="X3242">
        <v>0</v>
      </c>
      <c r="Z3242">
        <v>0</v>
      </c>
      <c r="AA3242">
        <v>0</v>
      </c>
      <c r="AB3242">
        <v>0</v>
      </c>
      <c r="AC3242">
        <v>0</v>
      </c>
      <c r="AD3242" t="s">
        <v>5985</v>
      </c>
    </row>
    <row r="3243" spans="1:30" x14ac:dyDescent="0.25">
      <c r="H3243" t="s">
        <v>521</v>
      </c>
    </row>
    <row r="3244" spans="1:30" x14ac:dyDescent="0.25">
      <c r="A3244">
        <v>1619</v>
      </c>
      <c r="B3244">
        <v>4384</v>
      </c>
      <c r="C3244" t="s">
        <v>5986</v>
      </c>
      <c r="D3244" t="s">
        <v>2708</v>
      </c>
      <c r="E3244" t="s">
        <v>151</v>
      </c>
      <c r="F3244" t="s">
        <v>5987</v>
      </c>
      <c r="G3244" t="str">
        <f>"00119364"</f>
        <v>00119364</v>
      </c>
      <c r="H3244" t="s">
        <v>1054</v>
      </c>
      <c r="I3244">
        <v>0</v>
      </c>
      <c r="J3244">
        <v>0</v>
      </c>
      <c r="K3244">
        <v>0</v>
      </c>
      <c r="L3244">
        <v>0</v>
      </c>
      <c r="M3244">
        <v>0</v>
      </c>
      <c r="N3244">
        <v>30</v>
      </c>
      <c r="O3244">
        <v>0</v>
      </c>
      <c r="P3244">
        <v>0</v>
      </c>
      <c r="Q3244">
        <v>0</v>
      </c>
      <c r="R3244">
        <v>0</v>
      </c>
      <c r="S3244">
        <v>0</v>
      </c>
      <c r="T3244">
        <v>0</v>
      </c>
      <c r="U3244">
        <v>0</v>
      </c>
      <c r="V3244">
        <v>22</v>
      </c>
      <c r="W3244">
        <v>154</v>
      </c>
      <c r="X3244">
        <v>0</v>
      </c>
      <c r="Z3244">
        <v>2</v>
      </c>
      <c r="AA3244">
        <v>0</v>
      </c>
      <c r="AB3244">
        <v>0</v>
      </c>
      <c r="AC3244">
        <v>0</v>
      </c>
      <c r="AD3244" t="s">
        <v>5988</v>
      </c>
    </row>
    <row r="3245" spans="1:30" x14ac:dyDescent="0.25">
      <c r="H3245">
        <v>1250</v>
      </c>
    </row>
    <row r="3246" spans="1:30" x14ac:dyDescent="0.25">
      <c r="A3246">
        <v>1620</v>
      </c>
      <c r="B3246">
        <v>3789</v>
      </c>
      <c r="C3246" t="s">
        <v>3139</v>
      </c>
      <c r="D3246" t="s">
        <v>5989</v>
      </c>
      <c r="E3246" t="s">
        <v>40</v>
      </c>
      <c r="F3246" t="s">
        <v>5990</v>
      </c>
      <c r="G3246" t="str">
        <f>"201406006045"</f>
        <v>201406006045</v>
      </c>
      <c r="H3246" t="s">
        <v>1511</v>
      </c>
      <c r="I3246">
        <v>0</v>
      </c>
      <c r="J3246">
        <v>0</v>
      </c>
      <c r="K3246">
        <v>0</v>
      </c>
      <c r="L3246">
        <v>0</v>
      </c>
      <c r="M3246">
        <v>0</v>
      </c>
      <c r="N3246">
        <v>30</v>
      </c>
      <c r="O3246">
        <v>0</v>
      </c>
      <c r="P3246">
        <v>0</v>
      </c>
      <c r="Q3246">
        <v>0</v>
      </c>
      <c r="R3246">
        <v>0</v>
      </c>
      <c r="S3246">
        <v>0</v>
      </c>
      <c r="T3246">
        <v>0</v>
      </c>
      <c r="U3246">
        <v>0</v>
      </c>
      <c r="V3246">
        <v>0</v>
      </c>
      <c r="W3246">
        <v>0</v>
      </c>
      <c r="X3246">
        <v>0</v>
      </c>
      <c r="Z3246">
        <v>1</v>
      </c>
      <c r="AA3246">
        <v>0</v>
      </c>
      <c r="AB3246">
        <v>13</v>
      </c>
      <c r="AC3246">
        <v>221</v>
      </c>
      <c r="AD3246" t="s">
        <v>5991</v>
      </c>
    </row>
    <row r="3247" spans="1:30" x14ac:dyDescent="0.25">
      <c r="H3247" t="s">
        <v>5992</v>
      </c>
    </row>
    <row r="3248" spans="1:30" x14ac:dyDescent="0.25">
      <c r="A3248">
        <v>1621</v>
      </c>
      <c r="B3248">
        <v>5895</v>
      </c>
      <c r="C3248" t="s">
        <v>5993</v>
      </c>
      <c r="D3248" t="s">
        <v>39</v>
      </c>
      <c r="E3248" t="s">
        <v>51</v>
      </c>
      <c r="F3248" t="s">
        <v>5994</v>
      </c>
      <c r="G3248" t="str">
        <f>"00252891"</f>
        <v>00252891</v>
      </c>
      <c r="H3248" t="s">
        <v>2577</v>
      </c>
      <c r="I3248">
        <v>0</v>
      </c>
      <c r="J3248">
        <v>0</v>
      </c>
      <c r="K3248">
        <v>0</v>
      </c>
      <c r="L3248">
        <v>0</v>
      </c>
      <c r="M3248">
        <v>0</v>
      </c>
      <c r="N3248">
        <v>30</v>
      </c>
      <c r="O3248">
        <v>0</v>
      </c>
      <c r="P3248">
        <v>0</v>
      </c>
      <c r="Q3248">
        <v>0</v>
      </c>
      <c r="R3248">
        <v>0</v>
      </c>
      <c r="S3248">
        <v>0</v>
      </c>
      <c r="T3248">
        <v>0</v>
      </c>
      <c r="U3248">
        <v>0</v>
      </c>
      <c r="V3248">
        <v>35</v>
      </c>
      <c r="W3248">
        <v>245</v>
      </c>
      <c r="X3248">
        <v>0</v>
      </c>
      <c r="Z3248">
        <v>0</v>
      </c>
      <c r="AA3248">
        <v>0</v>
      </c>
      <c r="AB3248">
        <v>0</v>
      </c>
      <c r="AC3248">
        <v>0</v>
      </c>
      <c r="AD3248" t="s">
        <v>5995</v>
      </c>
    </row>
    <row r="3249" spans="1:30" x14ac:dyDescent="0.25">
      <c r="H3249" t="s">
        <v>5996</v>
      </c>
    </row>
    <row r="3250" spans="1:30" x14ac:dyDescent="0.25">
      <c r="A3250">
        <v>1622</v>
      </c>
      <c r="B3250">
        <v>5015</v>
      </c>
      <c r="C3250" t="s">
        <v>102</v>
      </c>
      <c r="D3250" t="s">
        <v>5997</v>
      </c>
      <c r="E3250" t="s">
        <v>224</v>
      </c>
      <c r="F3250" t="s">
        <v>5998</v>
      </c>
      <c r="G3250" t="str">
        <f>"00365711"</f>
        <v>00365711</v>
      </c>
      <c r="H3250" t="s">
        <v>3496</v>
      </c>
      <c r="I3250">
        <v>0</v>
      </c>
      <c r="J3250">
        <v>0</v>
      </c>
      <c r="K3250">
        <v>0</v>
      </c>
      <c r="L3250">
        <v>0</v>
      </c>
      <c r="M3250">
        <v>0</v>
      </c>
      <c r="N3250">
        <v>30</v>
      </c>
      <c r="O3250">
        <v>0</v>
      </c>
      <c r="P3250">
        <v>30</v>
      </c>
      <c r="Q3250">
        <v>0</v>
      </c>
      <c r="R3250">
        <v>0</v>
      </c>
      <c r="S3250">
        <v>0</v>
      </c>
      <c r="T3250">
        <v>0</v>
      </c>
      <c r="U3250">
        <v>0</v>
      </c>
      <c r="V3250">
        <v>0</v>
      </c>
      <c r="W3250">
        <v>0</v>
      </c>
      <c r="X3250">
        <v>0</v>
      </c>
      <c r="Z3250">
        <v>0</v>
      </c>
      <c r="AA3250">
        <v>0</v>
      </c>
      <c r="AB3250">
        <v>0</v>
      </c>
      <c r="AC3250">
        <v>0</v>
      </c>
      <c r="AD3250" t="s">
        <v>5999</v>
      </c>
    </row>
    <row r="3251" spans="1:30" x14ac:dyDescent="0.25">
      <c r="H3251" t="s">
        <v>6000</v>
      </c>
    </row>
    <row r="3252" spans="1:30" x14ac:dyDescent="0.25">
      <c r="A3252">
        <v>1623</v>
      </c>
      <c r="B3252">
        <v>4117</v>
      </c>
      <c r="C3252" t="s">
        <v>3363</v>
      </c>
      <c r="D3252" t="s">
        <v>39</v>
      </c>
      <c r="E3252" t="s">
        <v>1070</v>
      </c>
      <c r="F3252" t="s">
        <v>3364</v>
      </c>
      <c r="G3252" t="str">
        <f>"201401000555"</f>
        <v>201401000555</v>
      </c>
      <c r="H3252" t="s">
        <v>1251</v>
      </c>
      <c r="I3252">
        <v>0</v>
      </c>
      <c r="J3252">
        <v>0</v>
      </c>
      <c r="K3252">
        <v>0</v>
      </c>
      <c r="L3252">
        <v>0</v>
      </c>
      <c r="M3252">
        <v>0</v>
      </c>
      <c r="N3252">
        <v>30</v>
      </c>
      <c r="O3252">
        <v>0</v>
      </c>
      <c r="P3252">
        <v>0</v>
      </c>
      <c r="Q3252">
        <v>0</v>
      </c>
      <c r="R3252">
        <v>0</v>
      </c>
      <c r="S3252">
        <v>0</v>
      </c>
      <c r="T3252">
        <v>0</v>
      </c>
      <c r="U3252">
        <v>0</v>
      </c>
      <c r="V3252">
        <v>31</v>
      </c>
      <c r="W3252">
        <v>217</v>
      </c>
      <c r="X3252">
        <v>0</v>
      </c>
      <c r="Z3252">
        <v>0</v>
      </c>
      <c r="AA3252">
        <v>0</v>
      </c>
      <c r="AB3252">
        <v>0</v>
      </c>
      <c r="AC3252">
        <v>0</v>
      </c>
      <c r="AD3252" t="s">
        <v>5999</v>
      </c>
    </row>
    <row r="3253" spans="1:30" x14ac:dyDescent="0.25">
      <c r="H3253" t="s">
        <v>3366</v>
      </c>
    </row>
    <row r="3254" spans="1:30" x14ac:dyDescent="0.25">
      <c r="A3254">
        <v>1624</v>
      </c>
      <c r="B3254">
        <v>5218</v>
      </c>
      <c r="C3254" t="s">
        <v>6001</v>
      </c>
      <c r="D3254" t="s">
        <v>98</v>
      </c>
      <c r="E3254" t="s">
        <v>39</v>
      </c>
      <c r="F3254" t="s">
        <v>6002</v>
      </c>
      <c r="G3254" t="str">
        <f>"200801001658"</f>
        <v>200801001658</v>
      </c>
      <c r="H3254" t="s">
        <v>1150</v>
      </c>
      <c r="I3254">
        <v>0</v>
      </c>
      <c r="J3254">
        <v>0</v>
      </c>
      <c r="K3254">
        <v>0</v>
      </c>
      <c r="L3254">
        <v>0</v>
      </c>
      <c r="M3254">
        <v>0</v>
      </c>
      <c r="N3254">
        <v>30</v>
      </c>
      <c r="O3254">
        <v>0</v>
      </c>
      <c r="P3254">
        <v>0</v>
      </c>
      <c r="Q3254">
        <v>0</v>
      </c>
      <c r="R3254">
        <v>0</v>
      </c>
      <c r="S3254">
        <v>0</v>
      </c>
      <c r="T3254">
        <v>0</v>
      </c>
      <c r="U3254">
        <v>0</v>
      </c>
      <c r="V3254">
        <v>30</v>
      </c>
      <c r="W3254">
        <v>210</v>
      </c>
      <c r="X3254">
        <v>0</v>
      </c>
      <c r="Z3254">
        <v>2</v>
      </c>
      <c r="AA3254">
        <v>0</v>
      </c>
      <c r="AB3254">
        <v>0</v>
      </c>
      <c r="AC3254">
        <v>0</v>
      </c>
      <c r="AD3254" t="s">
        <v>6003</v>
      </c>
    </row>
    <row r="3255" spans="1:30" x14ac:dyDescent="0.25">
      <c r="H3255" t="s">
        <v>6004</v>
      </c>
    </row>
    <row r="3256" spans="1:30" x14ac:dyDescent="0.25">
      <c r="A3256">
        <v>1625</v>
      </c>
      <c r="B3256">
        <v>545</v>
      </c>
      <c r="C3256" t="s">
        <v>6005</v>
      </c>
      <c r="D3256" t="s">
        <v>3740</v>
      </c>
      <c r="E3256" t="s">
        <v>1772</v>
      </c>
      <c r="F3256" t="s">
        <v>6006</v>
      </c>
      <c r="G3256" t="str">
        <f>"00278625"</f>
        <v>00278625</v>
      </c>
      <c r="H3256" t="s">
        <v>760</v>
      </c>
      <c r="I3256">
        <v>0</v>
      </c>
      <c r="J3256">
        <v>0</v>
      </c>
      <c r="K3256">
        <v>0</v>
      </c>
      <c r="L3256">
        <v>0</v>
      </c>
      <c r="M3256">
        <v>0</v>
      </c>
      <c r="N3256">
        <v>30</v>
      </c>
      <c r="O3256">
        <v>0</v>
      </c>
      <c r="P3256">
        <v>0</v>
      </c>
      <c r="Q3256">
        <v>0</v>
      </c>
      <c r="R3256">
        <v>0</v>
      </c>
      <c r="S3256">
        <v>0</v>
      </c>
      <c r="T3256">
        <v>0</v>
      </c>
      <c r="U3256">
        <v>0</v>
      </c>
      <c r="V3256">
        <v>27</v>
      </c>
      <c r="W3256">
        <v>189</v>
      </c>
      <c r="X3256">
        <v>0</v>
      </c>
      <c r="Z3256">
        <v>2</v>
      </c>
      <c r="AA3256">
        <v>0</v>
      </c>
      <c r="AB3256">
        <v>0</v>
      </c>
      <c r="AC3256">
        <v>0</v>
      </c>
      <c r="AD3256" t="s">
        <v>6007</v>
      </c>
    </row>
    <row r="3257" spans="1:30" x14ac:dyDescent="0.25">
      <c r="H3257" t="s">
        <v>6008</v>
      </c>
    </row>
    <row r="3258" spans="1:30" x14ac:dyDescent="0.25">
      <c r="A3258">
        <v>1626</v>
      </c>
      <c r="B3258">
        <v>1956</v>
      </c>
      <c r="C3258" t="s">
        <v>4285</v>
      </c>
      <c r="D3258" t="s">
        <v>335</v>
      </c>
      <c r="E3258" t="s">
        <v>107</v>
      </c>
      <c r="F3258" t="s">
        <v>6009</v>
      </c>
      <c r="G3258" t="str">
        <f>"201405000309"</f>
        <v>201405000309</v>
      </c>
      <c r="H3258" t="s">
        <v>854</v>
      </c>
      <c r="I3258">
        <v>0</v>
      </c>
      <c r="J3258">
        <v>0</v>
      </c>
      <c r="K3258">
        <v>0</v>
      </c>
      <c r="L3258">
        <v>200</v>
      </c>
      <c r="M3258">
        <v>0</v>
      </c>
      <c r="N3258">
        <v>30</v>
      </c>
      <c r="O3258">
        <v>0</v>
      </c>
      <c r="P3258">
        <v>0</v>
      </c>
      <c r="Q3258">
        <v>0</v>
      </c>
      <c r="R3258">
        <v>0</v>
      </c>
      <c r="S3258">
        <v>0</v>
      </c>
      <c r="T3258">
        <v>0</v>
      </c>
      <c r="U3258">
        <v>0</v>
      </c>
      <c r="V3258">
        <v>0</v>
      </c>
      <c r="W3258">
        <v>0</v>
      </c>
      <c r="X3258">
        <v>0</v>
      </c>
      <c r="Z3258">
        <v>0</v>
      </c>
      <c r="AA3258">
        <v>0</v>
      </c>
      <c r="AB3258">
        <v>0</v>
      </c>
      <c r="AC3258">
        <v>0</v>
      </c>
      <c r="AD3258" t="s">
        <v>6007</v>
      </c>
    </row>
    <row r="3259" spans="1:30" x14ac:dyDescent="0.25">
      <c r="H3259" t="s">
        <v>746</v>
      </c>
    </row>
    <row r="3260" spans="1:30" x14ac:dyDescent="0.25">
      <c r="A3260">
        <v>1627</v>
      </c>
      <c r="B3260">
        <v>4962</v>
      </c>
      <c r="C3260" t="s">
        <v>2692</v>
      </c>
      <c r="D3260" t="s">
        <v>51</v>
      </c>
      <c r="E3260" t="s">
        <v>190</v>
      </c>
      <c r="F3260" t="s">
        <v>6010</v>
      </c>
      <c r="G3260" t="str">
        <f>"00080326"</f>
        <v>00080326</v>
      </c>
      <c r="H3260">
        <v>836</v>
      </c>
      <c r="I3260">
        <v>0</v>
      </c>
      <c r="J3260">
        <v>0</v>
      </c>
      <c r="K3260">
        <v>0</v>
      </c>
      <c r="L3260">
        <v>0</v>
      </c>
      <c r="M3260">
        <v>0</v>
      </c>
      <c r="N3260">
        <v>70</v>
      </c>
      <c r="O3260">
        <v>0</v>
      </c>
      <c r="P3260">
        <v>0</v>
      </c>
      <c r="Q3260">
        <v>0</v>
      </c>
      <c r="R3260">
        <v>0</v>
      </c>
      <c r="S3260">
        <v>0</v>
      </c>
      <c r="T3260">
        <v>0</v>
      </c>
      <c r="U3260">
        <v>0</v>
      </c>
      <c r="V3260">
        <v>5</v>
      </c>
      <c r="W3260">
        <v>35</v>
      </c>
      <c r="X3260">
        <v>0</v>
      </c>
      <c r="Z3260">
        <v>0</v>
      </c>
      <c r="AA3260">
        <v>0</v>
      </c>
      <c r="AB3260">
        <v>0</v>
      </c>
      <c r="AC3260">
        <v>0</v>
      </c>
      <c r="AD3260">
        <v>941</v>
      </c>
    </row>
    <row r="3261" spans="1:30" x14ac:dyDescent="0.25">
      <c r="H3261" t="s">
        <v>6011</v>
      </c>
    </row>
    <row r="3262" spans="1:30" x14ac:dyDescent="0.25">
      <c r="A3262">
        <v>1628</v>
      </c>
      <c r="B3262">
        <v>4750</v>
      </c>
      <c r="C3262" t="s">
        <v>6012</v>
      </c>
      <c r="D3262" t="s">
        <v>183</v>
      </c>
      <c r="E3262" t="s">
        <v>40</v>
      </c>
      <c r="F3262" t="s">
        <v>6013</v>
      </c>
      <c r="G3262" t="str">
        <f>"00229192"</f>
        <v>00229192</v>
      </c>
      <c r="H3262" t="s">
        <v>1235</v>
      </c>
      <c r="I3262">
        <v>0</v>
      </c>
      <c r="J3262">
        <v>0</v>
      </c>
      <c r="K3262">
        <v>0</v>
      </c>
      <c r="L3262">
        <v>200</v>
      </c>
      <c r="M3262">
        <v>0</v>
      </c>
      <c r="N3262">
        <v>30</v>
      </c>
      <c r="O3262">
        <v>0</v>
      </c>
      <c r="P3262">
        <v>0</v>
      </c>
      <c r="Q3262">
        <v>0</v>
      </c>
      <c r="R3262">
        <v>0</v>
      </c>
      <c r="S3262">
        <v>0</v>
      </c>
      <c r="T3262">
        <v>0</v>
      </c>
      <c r="U3262">
        <v>0</v>
      </c>
      <c r="V3262">
        <v>6</v>
      </c>
      <c r="W3262">
        <v>42</v>
      </c>
      <c r="X3262">
        <v>0</v>
      </c>
      <c r="Z3262">
        <v>0</v>
      </c>
      <c r="AA3262">
        <v>0</v>
      </c>
      <c r="AB3262">
        <v>0</v>
      </c>
      <c r="AC3262">
        <v>0</v>
      </c>
      <c r="AD3262" t="s">
        <v>6014</v>
      </c>
    </row>
    <row r="3263" spans="1:30" x14ac:dyDescent="0.25">
      <c r="H3263" t="s">
        <v>6015</v>
      </c>
    </row>
    <row r="3264" spans="1:30" x14ac:dyDescent="0.25">
      <c r="A3264">
        <v>1629</v>
      </c>
      <c r="B3264">
        <v>2395</v>
      </c>
      <c r="C3264" t="s">
        <v>33</v>
      </c>
      <c r="D3264" t="s">
        <v>6016</v>
      </c>
      <c r="E3264" t="s">
        <v>40</v>
      </c>
      <c r="F3264" t="s">
        <v>6017</v>
      </c>
      <c r="G3264" t="str">
        <f>"00331290"</f>
        <v>00331290</v>
      </c>
      <c r="H3264" t="s">
        <v>1227</v>
      </c>
      <c r="I3264">
        <v>0</v>
      </c>
      <c r="J3264">
        <v>0</v>
      </c>
      <c r="K3264">
        <v>0</v>
      </c>
      <c r="L3264">
        <v>0</v>
      </c>
      <c r="M3264">
        <v>0</v>
      </c>
      <c r="N3264">
        <v>0</v>
      </c>
      <c r="O3264">
        <v>0</v>
      </c>
      <c r="P3264">
        <v>0</v>
      </c>
      <c r="Q3264">
        <v>0</v>
      </c>
      <c r="R3264">
        <v>0</v>
      </c>
      <c r="S3264">
        <v>0</v>
      </c>
      <c r="T3264">
        <v>0</v>
      </c>
      <c r="U3264">
        <v>0</v>
      </c>
      <c r="V3264">
        <v>28</v>
      </c>
      <c r="W3264">
        <v>196</v>
      </c>
      <c r="X3264">
        <v>6</v>
      </c>
      <c r="Y3264">
        <v>1251</v>
      </c>
      <c r="Z3264">
        <v>0</v>
      </c>
      <c r="AA3264">
        <v>0</v>
      </c>
      <c r="AB3264">
        <v>2</v>
      </c>
      <c r="AC3264">
        <v>34</v>
      </c>
      <c r="AD3264" t="s">
        <v>6018</v>
      </c>
    </row>
    <row r="3265" spans="1:30" x14ac:dyDescent="0.25">
      <c r="H3265">
        <v>1251</v>
      </c>
    </row>
    <row r="3266" spans="1:30" x14ac:dyDescent="0.25">
      <c r="A3266">
        <v>1630</v>
      </c>
      <c r="B3266">
        <v>3480</v>
      </c>
      <c r="C3266" t="s">
        <v>6019</v>
      </c>
      <c r="D3266" t="s">
        <v>6020</v>
      </c>
      <c r="E3266" t="s">
        <v>6021</v>
      </c>
      <c r="F3266" t="s">
        <v>6022</v>
      </c>
      <c r="G3266" t="str">
        <f>"201601000804"</f>
        <v>201601000804</v>
      </c>
      <c r="H3266" t="s">
        <v>3862</v>
      </c>
      <c r="I3266">
        <v>0</v>
      </c>
      <c r="J3266">
        <v>0</v>
      </c>
      <c r="K3266">
        <v>0</v>
      </c>
      <c r="L3266">
        <v>0</v>
      </c>
      <c r="M3266">
        <v>0</v>
      </c>
      <c r="N3266">
        <v>30</v>
      </c>
      <c r="O3266">
        <v>0</v>
      </c>
      <c r="P3266">
        <v>0</v>
      </c>
      <c r="Q3266">
        <v>0</v>
      </c>
      <c r="R3266">
        <v>0</v>
      </c>
      <c r="S3266">
        <v>0</v>
      </c>
      <c r="T3266">
        <v>0</v>
      </c>
      <c r="U3266">
        <v>0</v>
      </c>
      <c r="V3266">
        <v>32</v>
      </c>
      <c r="W3266">
        <v>224</v>
      </c>
      <c r="X3266">
        <v>0</v>
      </c>
      <c r="Z3266">
        <v>0</v>
      </c>
      <c r="AA3266">
        <v>0</v>
      </c>
      <c r="AB3266">
        <v>0</v>
      </c>
      <c r="AC3266">
        <v>0</v>
      </c>
      <c r="AD3266" t="s">
        <v>6023</v>
      </c>
    </row>
    <row r="3267" spans="1:30" x14ac:dyDescent="0.25">
      <c r="H3267" t="s">
        <v>6024</v>
      </c>
    </row>
    <row r="3268" spans="1:30" x14ac:dyDescent="0.25">
      <c r="A3268">
        <v>1631</v>
      </c>
      <c r="B3268">
        <v>4216</v>
      </c>
      <c r="C3268" t="s">
        <v>6025</v>
      </c>
      <c r="D3268" t="s">
        <v>47</v>
      </c>
      <c r="E3268" t="s">
        <v>39</v>
      </c>
      <c r="F3268" t="s">
        <v>6026</v>
      </c>
      <c r="G3268" t="str">
        <f>"201402007050"</f>
        <v>201402007050</v>
      </c>
      <c r="H3268" t="s">
        <v>1490</v>
      </c>
      <c r="I3268">
        <v>0</v>
      </c>
      <c r="J3268">
        <v>0</v>
      </c>
      <c r="K3268">
        <v>0</v>
      </c>
      <c r="L3268">
        <v>200</v>
      </c>
      <c r="M3268">
        <v>0</v>
      </c>
      <c r="N3268">
        <v>70</v>
      </c>
      <c r="O3268">
        <v>0</v>
      </c>
      <c r="P3268">
        <v>0</v>
      </c>
      <c r="Q3268">
        <v>0</v>
      </c>
      <c r="R3268">
        <v>0</v>
      </c>
      <c r="S3268">
        <v>0</v>
      </c>
      <c r="T3268">
        <v>0</v>
      </c>
      <c r="U3268">
        <v>0</v>
      </c>
      <c r="V3268">
        <v>0</v>
      </c>
      <c r="W3268">
        <v>0</v>
      </c>
      <c r="X3268">
        <v>0</v>
      </c>
      <c r="Z3268">
        <v>0</v>
      </c>
      <c r="AA3268">
        <v>0</v>
      </c>
      <c r="AB3268">
        <v>0</v>
      </c>
      <c r="AC3268">
        <v>0</v>
      </c>
      <c r="AD3268" t="s">
        <v>6027</v>
      </c>
    </row>
    <row r="3269" spans="1:30" x14ac:dyDescent="0.25">
      <c r="H3269" t="s">
        <v>6028</v>
      </c>
    </row>
    <row r="3270" spans="1:30" x14ac:dyDescent="0.25">
      <c r="A3270">
        <v>1632</v>
      </c>
      <c r="B3270">
        <v>620</v>
      </c>
      <c r="C3270" t="s">
        <v>6029</v>
      </c>
      <c r="D3270" t="s">
        <v>6030</v>
      </c>
      <c r="E3270" t="s">
        <v>162</v>
      </c>
      <c r="F3270" t="s">
        <v>6031</v>
      </c>
      <c r="G3270" t="str">
        <f>"201208000090"</f>
        <v>201208000090</v>
      </c>
      <c r="H3270">
        <v>737</v>
      </c>
      <c r="I3270">
        <v>0</v>
      </c>
      <c r="J3270">
        <v>0</v>
      </c>
      <c r="K3270">
        <v>0</v>
      </c>
      <c r="L3270">
        <v>0</v>
      </c>
      <c r="M3270">
        <v>0</v>
      </c>
      <c r="N3270">
        <v>30</v>
      </c>
      <c r="O3270">
        <v>0</v>
      </c>
      <c r="P3270">
        <v>0</v>
      </c>
      <c r="Q3270">
        <v>0</v>
      </c>
      <c r="R3270">
        <v>0</v>
      </c>
      <c r="S3270">
        <v>0</v>
      </c>
      <c r="T3270">
        <v>0</v>
      </c>
      <c r="U3270">
        <v>0</v>
      </c>
      <c r="V3270">
        <v>5</v>
      </c>
      <c r="W3270">
        <v>35</v>
      </c>
      <c r="X3270">
        <v>0</v>
      </c>
      <c r="Z3270">
        <v>0</v>
      </c>
      <c r="AA3270">
        <v>0</v>
      </c>
      <c r="AB3270">
        <v>8</v>
      </c>
      <c r="AC3270">
        <v>136</v>
      </c>
      <c r="AD3270">
        <v>938</v>
      </c>
    </row>
    <row r="3271" spans="1:30" x14ac:dyDescent="0.25">
      <c r="H3271" t="s">
        <v>6032</v>
      </c>
    </row>
    <row r="3272" spans="1:30" x14ac:dyDescent="0.25">
      <c r="A3272">
        <v>1633</v>
      </c>
      <c r="B3272">
        <v>5059</v>
      </c>
      <c r="C3272" t="s">
        <v>3369</v>
      </c>
      <c r="D3272" t="s">
        <v>3669</v>
      </c>
      <c r="E3272" t="s">
        <v>974</v>
      </c>
      <c r="F3272" t="s">
        <v>6033</v>
      </c>
      <c r="G3272" t="str">
        <f>"201511024837"</f>
        <v>201511024837</v>
      </c>
      <c r="H3272" t="s">
        <v>4333</v>
      </c>
      <c r="I3272">
        <v>0</v>
      </c>
      <c r="J3272">
        <v>0</v>
      </c>
      <c r="K3272">
        <v>0</v>
      </c>
      <c r="L3272">
        <v>0</v>
      </c>
      <c r="M3272">
        <v>0</v>
      </c>
      <c r="N3272">
        <v>50</v>
      </c>
      <c r="O3272">
        <v>0</v>
      </c>
      <c r="P3272">
        <v>0</v>
      </c>
      <c r="Q3272">
        <v>0</v>
      </c>
      <c r="R3272">
        <v>0</v>
      </c>
      <c r="S3272">
        <v>0</v>
      </c>
      <c r="T3272">
        <v>0</v>
      </c>
      <c r="U3272">
        <v>0</v>
      </c>
      <c r="V3272">
        <v>17</v>
      </c>
      <c r="W3272">
        <v>119</v>
      </c>
      <c r="X3272">
        <v>0</v>
      </c>
      <c r="Z3272">
        <v>0</v>
      </c>
      <c r="AA3272">
        <v>0</v>
      </c>
      <c r="AB3272">
        <v>0</v>
      </c>
      <c r="AC3272">
        <v>0</v>
      </c>
      <c r="AD3272" t="s">
        <v>6034</v>
      </c>
    </row>
    <row r="3273" spans="1:30" x14ac:dyDescent="0.25">
      <c r="H3273" t="s">
        <v>1432</v>
      </c>
    </row>
    <row r="3274" spans="1:30" x14ac:dyDescent="0.25">
      <c r="A3274">
        <v>1634</v>
      </c>
      <c r="B3274">
        <v>1153</v>
      </c>
      <c r="C3274" t="s">
        <v>6035</v>
      </c>
      <c r="D3274" t="s">
        <v>33</v>
      </c>
      <c r="E3274" t="s">
        <v>974</v>
      </c>
      <c r="F3274" t="s">
        <v>6036</v>
      </c>
      <c r="G3274" t="str">
        <f>"201406001394"</f>
        <v>201406001394</v>
      </c>
      <c r="H3274" t="s">
        <v>854</v>
      </c>
      <c r="I3274">
        <v>0</v>
      </c>
      <c r="J3274">
        <v>0</v>
      </c>
      <c r="K3274">
        <v>0</v>
      </c>
      <c r="L3274">
        <v>0</v>
      </c>
      <c r="M3274">
        <v>0</v>
      </c>
      <c r="N3274">
        <v>50</v>
      </c>
      <c r="O3274">
        <v>0</v>
      </c>
      <c r="P3274">
        <v>0</v>
      </c>
      <c r="Q3274">
        <v>0</v>
      </c>
      <c r="R3274">
        <v>0</v>
      </c>
      <c r="S3274">
        <v>0</v>
      </c>
      <c r="T3274">
        <v>0</v>
      </c>
      <c r="U3274">
        <v>0</v>
      </c>
      <c r="V3274">
        <v>25</v>
      </c>
      <c r="W3274">
        <v>175</v>
      </c>
      <c r="X3274">
        <v>0</v>
      </c>
      <c r="Z3274">
        <v>0</v>
      </c>
      <c r="AA3274">
        <v>0</v>
      </c>
      <c r="AB3274">
        <v>0</v>
      </c>
      <c r="AC3274">
        <v>0</v>
      </c>
      <c r="AD3274" t="s">
        <v>6037</v>
      </c>
    </row>
    <row r="3275" spans="1:30" x14ac:dyDescent="0.25">
      <c r="H3275" t="s">
        <v>6038</v>
      </c>
    </row>
    <row r="3276" spans="1:30" x14ac:dyDescent="0.25">
      <c r="A3276">
        <v>1635</v>
      </c>
      <c r="B3276">
        <v>2611</v>
      </c>
      <c r="C3276" t="s">
        <v>5153</v>
      </c>
      <c r="D3276" t="s">
        <v>98</v>
      </c>
      <c r="E3276" t="s">
        <v>3312</v>
      </c>
      <c r="F3276" t="s">
        <v>6039</v>
      </c>
      <c r="G3276" t="str">
        <f>"201511022413"</f>
        <v>201511022413</v>
      </c>
      <c r="H3276" t="s">
        <v>1294</v>
      </c>
      <c r="I3276">
        <v>0</v>
      </c>
      <c r="J3276">
        <v>0</v>
      </c>
      <c r="K3276">
        <v>0</v>
      </c>
      <c r="L3276">
        <v>0</v>
      </c>
      <c r="M3276">
        <v>0</v>
      </c>
      <c r="N3276">
        <v>30</v>
      </c>
      <c r="O3276">
        <v>0</v>
      </c>
      <c r="P3276">
        <v>0</v>
      </c>
      <c r="Q3276">
        <v>0</v>
      </c>
      <c r="R3276">
        <v>0</v>
      </c>
      <c r="S3276">
        <v>0</v>
      </c>
      <c r="T3276">
        <v>0</v>
      </c>
      <c r="U3276">
        <v>0</v>
      </c>
      <c r="V3276">
        <v>31</v>
      </c>
      <c r="W3276">
        <v>217</v>
      </c>
      <c r="X3276">
        <v>0</v>
      </c>
      <c r="Z3276">
        <v>0</v>
      </c>
      <c r="AA3276">
        <v>0</v>
      </c>
      <c r="AB3276">
        <v>0</v>
      </c>
      <c r="AC3276">
        <v>0</v>
      </c>
      <c r="AD3276" t="s">
        <v>6037</v>
      </c>
    </row>
    <row r="3277" spans="1:30" x14ac:dyDescent="0.25">
      <c r="H3277" t="s">
        <v>6040</v>
      </c>
    </row>
    <row r="3278" spans="1:30" x14ac:dyDescent="0.25">
      <c r="A3278">
        <v>1636</v>
      </c>
      <c r="B3278">
        <v>3352</v>
      </c>
      <c r="C3278" t="s">
        <v>6041</v>
      </c>
      <c r="D3278" t="s">
        <v>75</v>
      </c>
      <c r="E3278" t="s">
        <v>40</v>
      </c>
      <c r="F3278" t="s">
        <v>6042</v>
      </c>
      <c r="G3278" t="str">
        <f>"00367460"</f>
        <v>00367460</v>
      </c>
      <c r="H3278" t="s">
        <v>117</v>
      </c>
      <c r="I3278">
        <v>0</v>
      </c>
      <c r="J3278">
        <v>0</v>
      </c>
      <c r="K3278">
        <v>0</v>
      </c>
      <c r="L3278">
        <v>0</v>
      </c>
      <c r="M3278">
        <v>0</v>
      </c>
      <c r="N3278">
        <v>30</v>
      </c>
      <c r="O3278">
        <v>0</v>
      </c>
      <c r="P3278">
        <v>0</v>
      </c>
      <c r="Q3278">
        <v>0</v>
      </c>
      <c r="R3278">
        <v>0</v>
      </c>
      <c r="S3278">
        <v>0</v>
      </c>
      <c r="T3278">
        <v>0</v>
      </c>
      <c r="U3278">
        <v>0</v>
      </c>
      <c r="V3278">
        <v>25</v>
      </c>
      <c r="W3278">
        <v>175</v>
      </c>
      <c r="X3278">
        <v>0</v>
      </c>
      <c r="Z3278">
        <v>0</v>
      </c>
      <c r="AA3278">
        <v>0</v>
      </c>
      <c r="AB3278">
        <v>0</v>
      </c>
      <c r="AC3278">
        <v>0</v>
      </c>
      <c r="AD3278" t="s">
        <v>6043</v>
      </c>
    </row>
    <row r="3279" spans="1:30" x14ac:dyDescent="0.25">
      <c r="H3279" t="s">
        <v>6044</v>
      </c>
    </row>
    <row r="3280" spans="1:30" x14ac:dyDescent="0.25">
      <c r="A3280">
        <v>1637</v>
      </c>
      <c r="B3280">
        <v>299</v>
      </c>
      <c r="C3280" t="s">
        <v>6045</v>
      </c>
      <c r="D3280" t="s">
        <v>75</v>
      </c>
      <c r="E3280" t="s">
        <v>39</v>
      </c>
      <c r="F3280" t="s">
        <v>6046</v>
      </c>
      <c r="G3280" t="str">
        <f>"00276096"</f>
        <v>00276096</v>
      </c>
      <c r="H3280" t="s">
        <v>3774</v>
      </c>
      <c r="I3280">
        <v>0</v>
      </c>
      <c r="J3280">
        <v>0</v>
      </c>
      <c r="K3280">
        <v>0</v>
      </c>
      <c r="L3280">
        <v>0</v>
      </c>
      <c r="M3280">
        <v>0</v>
      </c>
      <c r="N3280">
        <v>30</v>
      </c>
      <c r="O3280">
        <v>0</v>
      </c>
      <c r="P3280">
        <v>0</v>
      </c>
      <c r="Q3280">
        <v>0</v>
      </c>
      <c r="R3280">
        <v>0</v>
      </c>
      <c r="S3280">
        <v>0</v>
      </c>
      <c r="T3280">
        <v>0</v>
      </c>
      <c r="U3280">
        <v>0</v>
      </c>
      <c r="V3280">
        <v>30</v>
      </c>
      <c r="W3280">
        <v>210</v>
      </c>
      <c r="X3280">
        <v>0</v>
      </c>
      <c r="Z3280">
        <v>0</v>
      </c>
      <c r="AA3280">
        <v>0</v>
      </c>
      <c r="AB3280">
        <v>0</v>
      </c>
      <c r="AC3280">
        <v>0</v>
      </c>
      <c r="AD3280" t="s">
        <v>6047</v>
      </c>
    </row>
    <row r="3281" spans="1:30" x14ac:dyDescent="0.25">
      <c r="H3281" t="s">
        <v>6048</v>
      </c>
    </row>
    <row r="3282" spans="1:30" x14ac:dyDescent="0.25">
      <c r="A3282">
        <v>1638</v>
      </c>
      <c r="B3282">
        <v>4219</v>
      </c>
      <c r="C3282" t="s">
        <v>6049</v>
      </c>
      <c r="D3282" t="s">
        <v>6050</v>
      </c>
      <c r="E3282" t="s">
        <v>968</v>
      </c>
      <c r="F3282" t="s">
        <v>6051</v>
      </c>
      <c r="G3282" t="str">
        <f>"00151946"</f>
        <v>00151946</v>
      </c>
      <c r="H3282" t="s">
        <v>1339</v>
      </c>
      <c r="I3282">
        <v>0</v>
      </c>
      <c r="J3282">
        <v>0</v>
      </c>
      <c r="K3282">
        <v>0</v>
      </c>
      <c r="L3282">
        <v>0</v>
      </c>
      <c r="M3282">
        <v>0</v>
      </c>
      <c r="N3282">
        <v>30</v>
      </c>
      <c r="O3282">
        <v>30</v>
      </c>
      <c r="P3282">
        <v>0</v>
      </c>
      <c r="Q3282">
        <v>0</v>
      </c>
      <c r="R3282">
        <v>0</v>
      </c>
      <c r="S3282">
        <v>0</v>
      </c>
      <c r="T3282">
        <v>0</v>
      </c>
      <c r="U3282">
        <v>0</v>
      </c>
      <c r="V3282">
        <v>29</v>
      </c>
      <c r="W3282">
        <v>203</v>
      </c>
      <c r="X3282">
        <v>0</v>
      </c>
      <c r="Z3282">
        <v>0</v>
      </c>
      <c r="AA3282">
        <v>0</v>
      </c>
      <c r="AB3282">
        <v>0</v>
      </c>
      <c r="AC3282">
        <v>0</v>
      </c>
      <c r="AD3282" t="s">
        <v>6052</v>
      </c>
    </row>
    <row r="3283" spans="1:30" x14ac:dyDescent="0.25">
      <c r="H3283" t="s">
        <v>6053</v>
      </c>
    </row>
    <row r="3284" spans="1:30" x14ac:dyDescent="0.25">
      <c r="A3284">
        <v>1639</v>
      </c>
      <c r="B3284">
        <v>4408</v>
      </c>
      <c r="C3284" t="s">
        <v>6054</v>
      </c>
      <c r="D3284" t="s">
        <v>5666</v>
      </c>
      <c r="E3284" t="s">
        <v>6055</v>
      </c>
      <c r="F3284" t="s">
        <v>6056</v>
      </c>
      <c r="G3284" t="str">
        <f>"00252310"</f>
        <v>00252310</v>
      </c>
      <c r="H3284" t="s">
        <v>3441</v>
      </c>
      <c r="I3284">
        <v>0</v>
      </c>
      <c r="J3284">
        <v>0</v>
      </c>
      <c r="K3284">
        <v>0</v>
      </c>
      <c r="L3284">
        <v>0</v>
      </c>
      <c r="M3284">
        <v>0</v>
      </c>
      <c r="N3284">
        <v>70</v>
      </c>
      <c r="O3284">
        <v>0</v>
      </c>
      <c r="P3284">
        <v>0</v>
      </c>
      <c r="Q3284">
        <v>0</v>
      </c>
      <c r="R3284">
        <v>0</v>
      </c>
      <c r="S3284">
        <v>0</v>
      </c>
      <c r="T3284">
        <v>0</v>
      </c>
      <c r="U3284">
        <v>0</v>
      </c>
      <c r="V3284">
        <v>25</v>
      </c>
      <c r="W3284">
        <v>175</v>
      </c>
      <c r="X3284">
        <v>6</v>
      </c>
      <c r="Y3284">
        <v>1251</v>
      </c>
      <c r="Z3284">
        <v>0</v>
      </c>
      <c r="AA3284">
        <v>0</v>
      </c>
      <c r="AB3284">
        <v>0</v>
      </c>
      <c r="AC3284">
        <v>0</v>
      </c>
      <c r="AD3284" t="s">
        <v>6057</v>
      </c>
    </row>
    <row r="3285" spans="1:30" x14ac:dyDescent="0.25">
      <c r="H3285" t="s">
        <v>6058</v>
      </c>
    </row>
    <row r="3286" spans="1:30" x14ac:dyDescent="0.25">
      <c r="A3286">
        <v>1640</v>
      </c>
      <c r="B3286">
        <v>4613</v>
      </c>
      <c r="C3286" t="s">
        <v>6059</v>
      </c>
      <c r="D3286" t="s">
        <v>239</v>
      </c>
      <c r="E3286" t="s">
        <v>290</v>
      </c>
      <c r="F3286" t="s">
        <v>6060</v>
      </c>
      <c r="G3286" t="str">
        <f>"00342922"</f>
        <v>00342922</v>
      </c>
      <c r="H3286" t="s">
        <v>1345</v>
      </c>
      <c r="I3286">
        <v>0</v>
      </c>
      <c r="J3286">
        <v>0</v>
      </c>
      <c r="K3286">
        <v>0</v>
      </c>
      <c r="L3286">
        <v>0</v>
      </c>
      <c r="M3286">
        <v>0</v>
      </c>
      <c r="N3286">
        <v>0</v>
      </c>
      <c r="O3286">
        <v>0</v>
      </c>
      <c r="P3286">
        <v>0</v>
      </c>
      <c r="Q3286">
        <v>0</v>
      </c>
      <c r="R3286">
        <v>0</v>
      </c>
      <c r="S3286">
        <v>0</v>
      </c>
      <c r="T3286">
        <v>0</v>
      </c>
      <c r="U3286">
        <v>0</v>
      </c>
      <c r="V3286">
        <v>27</v>
      </c>
      <c r="W3286">
        <v>189</v>
      </c>
      <c r="X3286">
        <v>0</v>
      </c>
      <c r="Z3286">
        <v>0</v>
      </c>
      <c r="AA3286">
        <v>0</v>
      </c>
      <c r="AB3286">
        <v>0</v>
      </c>
      <c r="AC3286">
        <v>0</v>
      </c>
      <c r="AD3286" t="s">
        <v>6061</v>
      </c>
    </row>
    <row r="3287" spans="1:30" x14ac:dyDescent="0.25">
      <c r="H3287" t="s">
        <v>864</v>
      </c>
    </row>
    <row r="3288" spans="1:30" x14ac:dyDescent="0.25">
      <c r="A3288">
        <v>1641</v>
      </c>
      <c r="B3288">
        <v>4690</v>
      </c>
      <c r="C3288" t="s">
        <v>1842</v>
      </c>
      <c r="D3288" t="s">
        <v>6062</v>
      </c>
      <c r="E3288" t="s">
        <v>40</v>
      </c>
      <c r="F3288" t="s">
        <v>6063</v>
      </c>
      <c r="G3288" t="str">
        <f>"201406013112"</f>
        <v>201406013112</v>
      </c>
      <c r="H3288" t="s">
        <v>456</v>
      </c>
      <c r="I3288">
        <v>0</v>
      </c>
      <c r="J3288">
        <v>0</v>
      </c>
      <c r="K3288">
        <v>0</v>
      </c>
      <c r="L3288">
        <v>0</v>
      </c>
      <c r="M3288">
        <v>0</v>
      </c>
      <c r="N3288">
        <v>30</v>
      </c>
      <c r="O3288">
        <v>0</v>
      </c>
      <c r="P3288">
        <v>0</v>
      </c>
      <c r="Q3288">
        <v>0</v>
      </c>
      <c r="R3288">
        <v>0</v>
      </c>
      <c r="S3288">
        <v>0</v>
      </c>
      <c r="T3288">
        <v>0</v>
      </c>
      <c r="U3288">
        <v>0</v>
      </c>
      <c r="V3288">
        <v>15</v>
      </c>
      <c r="W3288">
        <v>105</v>
      </c>
      <c r="X3288">
        <v>0</v>
      </c>
      <c r="Z3288">
        <v>0</v>
      </c>
      <c r="AA3288">
        <v>0</v>
      </c>
      <c r="AB3288">
        <v>0</v>
      </c>
      <c r="AC3288">
        <v>0</v>
      </c>
      <c r="AD3288" t="s">
        <v>6064</v>
      </c>
    </row>
    <row r="3289" spans="1:30" x14ac:dyDescent="0.25">
      <c r="H3289" t="s">
        <v>6065</v>
      </c>
    </row>
    <row r="3290" spans="1:30" x14ac:dyDescent="0.25">
      <c r="A3290">
        <v>1642</v>
      </c>
      <c r="B3290">
        <v>543</v>
      </c>
      <c r="C3290" t="s">
        <v>6066</v>
      </c>
      <c r="D3290" t="s">
        <v>239</v>
      </c>
      <c r="E3290" t="s">
        <v>162</v>
      </c>
      <c r="F3290" t="s">
        <v>6067</v>
      </c>
      <c r="G3290" t="str">
        <f>"201406000248"</f>
        <v>201406000248</v>
      </c>
      <c r="H3290">
        <v>704</v>
      </c>
      <c r="I3290">
        <v>0</v>
      </c>
      <c r="J3290">
        <v>0</v>
      </c>
      <c r="K3290">
        <v>0</v>
      </c>
      <c r="L3290">
        <v>200</v>
      </c>
      <c r="M3290">
        <v>0</v>
      </c>
      <c r="N3290">
        <v>30</v>
      </c>
      <c r="O3290">
        <v>0</v>
      </c>
      <c r="P3290">
        <v>0</v>
      </c>
      <c r="Q3290">
        <v>0</v>
      </c>
      <c r="R3290">
        <v>0</v>
      </c>
      <c r="S3290">
        <v>0</v>
      </c>
      <c r="T3290">
        <v>0</v>
      </c>
      <c r="U3290">
        <v>0</v>
      </c>
      <c r="V3290">
        <v>0</v>
      </c>
      <c r="W3290">
        <v>0</v>
      </c>
      <c r="X3290">
        <v>0</v>
      </c>
      <c r="Z3290">
        <v>0</v>
      </c>
      <c r="AA3290">
        <v>0</v>
      </c>
      <c r="AB3290">
        <v>0</v>
      </c>
      <c r="AC3290">
        <v>0</v>
      </c>
      <c r="AD3290">
        <v>934</v>
      </c>
    </row>
    <row r="3291" spans="1:30" x14ac:dyDescent="0.25">
      <c r="H3291" t="s">
        <v>6068</v>
      </c>
    </row>
    <row r="3292" spans="1:30" x14ac:dyDescent="0.25">
      <c r="A3292">
        <v>1643</v>
      </c>
      <c r="B3292">
        <v>1024</v>
      </c>
      <c r="C3292" t="s">
        <v>6069</v>
      </c>
      <c r="D3292" t="s">
        <v>869</v>
      </c>
      <c r="E3292" t="s">
        <v>4002</v>
      </c>
      <c r="F3292" t="s">
        <v>6070</v>
      </c>
      <c r="G3292" t="str">
        <f>"00017548"</f>
        <v>00017548</v>
      </c>
      <c r="H3292" t="s">
        <v>456</v>
      </c>
      <c r="I3292">
        <v>0</v>
      </c>
      <c r="J3292">
        <v>0</v>
      </c>
      <c r="K3292">
        <v>0</v>
      </c>
      <c r="L3292">
        <v>0</v>
      </c>
      <c r="M3292">
        <v>0</v>
      </c>
      <c r="N3292">
        <v>50</v>
      </c>
      <c r="O3292">
        <v>0</v>
      </c>
      <c r="P3292">
        <v>0</v>
      </c>
      <c r="Q3292">
        <v>0</v>
      </c>
      <c r="R3292">
        <v>0</v>
      </c>
      <c r="S3292">
        <v>0</v>
      </c>
      <c r="T3292">
        <v>0</v>
      </c>
      <c r="U3292">
        <v>0</v>
      </c>
      <c r="V3292">
        <v>12</v>
      </c>
      <c r="W3292">
        <v>84</v>
      </c>
      <c r="X3292">
        <v>0</v>
      </c>
      <c r="Z3292">
        <v>0</v>
      </c>
      <c r="AA3292">
        <v>0</v>
      </c>
      <c r="AB3292">
        <v>0</v>
      </c>
      <c r="AC3292">
        <v>0</v>
      </c>
      <c r="AD3292" t="s">
        <v>6071</v>
      </c>
    </row>
    <row r="3293" spans="1:30" x14ac:dyDescent="0.25">
      <c r="H3293" t="s">
        <v>273</v>
      </c>
    </row>
    <row r="3294" spans="1:30" x14ac:dyDescent="0.25">
      <c r="A3294">
        <v>1644</v>
      </c>
      <c r="B3294">
        <v>951</v>
      </c>
      <c r="C3294" t="s">
        <v>6072</v>
      </c>
      <c r="D3294" t="s">
        <v>39</v>
      </c>
      <c r="E3294" t="s">
        <v>40</v>
      </c>
      <c r="F3294" t="s">
        <v>6073</v>
      </c>
      <c r="G3294" t="str">
        <f>"201405000267"</f>
        <v>201405000267</v>
      </c>
      <c r="H3294" t="s">
        <v>293</v>
      </c>
      <c r="I3294">
        <v>0</v>
      </c>
      <c r="J3294">
        <v>0</v>
      </c>
      <c r="K3294">
        <v>0</v>
      </c>
      <c r="L3294">
        <v>0</v>
      </c>
      <c r="M3294">
        <v>100</v>
      </c>
      <c r="N3294">
        <v>50</v>
      </c>
      <c r="O3294">
        <v>0</v>
      </c>
      <c r="P3294">
        <v>50</v>
      </c>
      <c r="Q3294">
        <v>0</v>
      </c>
      <c r="R3294">
        <v>0</v>
      </c>
      <c r="S3294">
        <v>0</v>
      </c>
      <c r="T3294">
        <v>0</v>
      </c>
      <c r="U3294">
        <v>0</v>
      </c>
      <c r="V3294">
        <v>0</v>
      </c>
      <c r="W3294">
        <v>0</v>
      </c>
      <c r="X3294">
        <v>0</v>
      </c>
      <c r="Z3294">
        <v>0</v>
      </c>
      <c r="AA3294">
        <v>0</v>
      </c>
      <c r="AB3294">
        <v>0</v>
      </c>
      <c r="AC3294">
        <v>0</v>
      </c>
      <c r="AD3294" t="s">
        <v>6071</v>
      </c>
    </row>
    <row r="3295" spans="1:30" x14ac:dyDescent="0.25">
      <c r="H3295" t="s">
        <v>451</v>
      </c>
    </row>
    <row r="3296" spans="1:30" x14ac:dyDescent="0.25">
      <c r="A3296">
        <v>1645</v>
      </c>
      <c r="B3296">
        <v>3923</v>
      </c>
      <c r="C3296" t="s">
        <v>4275</v>
      </c>
      <c r="D3296" t="s">
        <v>534</v>
      </c>
      <c r="E3296" t="s">
        <v>290</v>
      </c>
      <c r="F3296" t="s">
        <v>6074</v>
      </c>
      <c r="G3296" t="str">
        <f>"00156836"</f>
        <v>00156836</v>
      </c>
      <c r="H3296" t="s">
        <v>2618</v>
      </c>
      <c r="I3296">
        <v>0</v>
      </c>
      <c r="J3296">
        <v>0</v>
      </c>
      <c r="K3296">
        <v>0</v>
      </c>
      <c r="L3296">
        <v>0</v>
      </c>
      <c r="M3296">
        <v>0</v>
      </c>
      <c r="N3296">
        <v>70</v>
      </c>
      <c r="O3296">
        <v>0</v>
      </c>
      <c r="P3296">
        <v>0</v>
      </c>
      <c r="Q3296">
        <v>0</v>
      </c>
      <c r="R3296">
        <v>0</v>
      </c>
      <c r="S3296">
        <v>0</v>
      </c>
      <c r="T3296">
        <v>0</v>
      </c>
      <c r="U3296">
        <v>0</v>
      </c>
      <c r="V3296">
        <v>22</v>
      </c>
      <c r="W3296">
        <v>154</v>
      </c>
      <c r="X3296">
        <v>0</v>
      </c>
      <c r="Z3296">
        <v>0</v>
      </c>
      <c r="AA3296">
        <v>0</v>
      </c>
      <c r="AB3296">
        <v>0</v>
      </c>
      <c r="AC3296">
        <v>0</v>
      </c>
      <c r="AD3296" t="s">
        <v>6075</v>
      </c>
    </row>
    <row r="3297" spans="1:30" x14ac:dyDescent="0.25">
      <c r="H3297" t="s">
        <v>6076</v>
      </c>
    </row>
    <row r="3298" spans="1:30" x14ac:dyDescent="0.25">
      <c r="A3298">
        <v>1646</v>
      </c>
      <c r="B3298">
        <v>2955</v>
      </c>
      <c r="C3298" t="s">
        <v>6077</v>
      </c>
      <c r="D3298" t="s">
        <v>40</v>
      </c>
      <c r="E3298" t="s">
        <v>400</v>
      </c>
      <c r="F3298" t="s">
        <v>6078</v>
      </c>
      <c r="G3298" t="str">
        <f>"00268816"</f>
        <v>00268816</v>
      </c>
      <c r="H3298" t="s">
        <v>6079</v>
      </c>
      <c r="I3298">
        <v>0</v>
      </c>
      <c r="J3298">
        <v>0</v>
      </c>
      <c r="K3298">
        <v>0</v>
      </c>
      <c r="L3298">
        <v>0</v>
      </c>
      <c r="M3298">
        <v>0</v>
      </c>
      <c r="N3298">
        <v>30</v>
      </c>
      <c r="O3298">
        <v>0</v>
      </c>
      <c r="P3298">
        <v>0</v>
      </c>
      <c r="Q3298">
        <v>0</v>
      </c>
      <c r="R3298">
        <v>0</v>
      </c>
      <c r="S3298">
        <v>0</v>
      </c>
      <c r="T3298">
        <v>0</v>
      </c>
      <c r="U3298">
        <v>0</v>
      </c>
      <c r="V3298">
        <v>1</v>
      </c>
      <c r="W3298">
        <v>7</v>
      </c>
      <c r="X3298">
        <v>0</v>
      </c>
      <c r="Z3298">
        <v>0</v>
      </c>
      <c r="AA3298">
        <v>0</v>
      </c>
      <c r="AB3298">
        <v>15</v>
      </c>
      <c r="AC3298">
        <v>255</v>
      </c>
      <c r="AD3298" t="s">
        <v>6080</v>
      </c>
    </row>
    <row r="3299" spans="1:30" x14ac:dyDescent="0.25">
      <c r="H3299" t="s">
        <v>6081</v>
      </c>
    </row>
    <row r="3300" spans="1:30" x14ac:dyDescent="0.25">
      <c r="A3300">
        <v>1647</v>
      </c>
      <c r="B3300">
        <v>2484</v>
      </c>
      <c r="C3300" t="s">
        <v>2388</v>
      </c>
      <c r="D3300" t="s">
        <v>1625</v>
      </c>
      <c r="E3300" t="s">
        <v>40</v>
      </c>
      <c r="F3300" t="s">
        <v>2389</v>
      </c>
      <c r="G3300" t="str">
        <f>"201406015682"</f>
        <v>201406015682</v>
      </c>
      <c r="H3300">
        <v>770</v>
      </c>
      <c r="I3300">
        <v>0</v>
      </c>
      <c r="J3300">
        <v>0</v>
      </c>
      <c r="K3300">
        <v>0</v>
      </c>
      <c r="L3300">
        <v>0</v>
      </c>
      <c r="M3300">
        <v>0</v>
      </c>
      <c r="N3300">
        <v>30</v>
      </c>
      <c r="O3300">
        <v>0</v>
      </c>
      <c r="P3300">
        <v>0</v>
      </c>
      <c r="Q3300">
        <v>0</v>
      </c>
      <c r="R3300">
        <v>0</v>
      </c>
      <c r="S3300">
        <v>0</v>
      </c>
      <c r="T3300">
        <v>0</v>
      </c>
      <c r="U3300">
        <v>0</v>
      </c>
      <c r="V3300">
        <v>19</v>
      </c>
      <c r="W3300">
        <v>133</v>
      </c>
      <c r="X3300">
        <v>0</v>
      </c>
      <c r="Z3300">
        <v>0</v>
      </c>
      <c r="AA3300">
        <v>0</v>
      </c>
      <c r="AB3300">
        <v>0</v>
      </c>
      <c r="AC3300">
        <v>0</v>
      </c>
      <c r="AD3300">
        <v>933</v>
      </c>
    </row>
    <row r="3301" spans="1:30" x14ac:dyDescent="0.25">
      <c r="H3301" t="s">
        <v>2390</v>
      </c>
    </row>
    <row r="3302" spans="1:30" x14ac:dyDescent="0.25">
      <c r="A3302">
        <v>1648</v>
      </c>
      <c r="B3302">
        <v>5317</v>
      </c>
      <c r="C3302" t="s">
        <v>6082</v>
      </c>
      <c r="D3302" t="s">
        <v>6083</v>
      </c>
      <c r="E3302" t="s">
        <v>449</v>
      </c>
      <c r="F3302" t="s">
        <v>6084</v>
      </c>
      <c r="G3302" t="str">
        <f>"00362181"</f>
        <v>00362181</v>
      </c>
      <c r="H3302" t="s">
        <v>789</v>
      </c>
      <c r="I3302">
        <v>0</v>
      </c>
      <c r="J3302">
        <v>0</v>
      </c>
      <c r="K3302">
        <v>0</v>
      </c>
      <c r="L3302">
        <v>0</v>
      </c>
      <c r="M3302">
        <v>0</v>
      </c>
      <c r="N3302">
        <v>30</v>
      </c>
      <c r="O3302">
        <v>0</v>
      </c>
      <c r="P3302">
        <v>0</v>
      </c>
      <c r="Q3302">
        <v>0</v>
      </c>
      <c r="R3302">
        <v>0</v>
      </c>
      <c r="S3302">
        <v>0</v>
      </c>
      <c r="T3302">
        <v>0</v>
      </c>
      <c r="U3302">
        <v>0</v>
      </c>
      <c r="V3302">
        <v>14</v>
      </c>
      <c r="W3302">
        <v>98</v>
      </c>
      <c r="X3302">
        <v>0</v>
      </c>
      <c r="Z3302">
        <v>0</v>
      </c>
      <c r="AA3302">
        <v>0</v>
      </c>
      <c r="AB3302">
        <v>0</v>
      </c>
      <c r="AC3302">
        <v>0</v>
      </c>
      <c r="AD3302" t="s">
        <v>6085</v>
      </c>
    </row>
    <row r="3303" spans="1:30" x14ac:dyDescent="0.25">
      <c r="H3303" t="s">
        <v>6086</v>
      </c>
    </row>
    <row r="3304" spans="1:30" x14ac:dyDescent="0.25">
      <c r="A3304">
        <v>1649</v>
      </c>
      <c r="B3304">
        <v>4956</v>
      </c>
      <c r="C3304" t="s">
        <v>6087</v>
      </c>
      <c r="D3304" t="s">
        <v>694</v>
      </c>
      <c r="E3304" t="s">
        <v>40</v>
      </c>
      <c r="F3304" t="s">
        <v>6088</v>
      </c>
      <c r="G3304" t="str">
        <f>"00347227"</f>
        <v>00347227</v>
      </c>
      <c r="H3304">
        <v>902</v>
      </c>
      <c r="I3304">
        <v>0</v>
      </c>
      <c r="J3304">
        <v>0</v>
      </c>
      <c r="K3304">
        <v>0</v>
      </c>
      <c r="L3304">
        <v>0</v>
      </c>
      <c r="M3304">
        <v>0</v>
      </c>
      <c r="N3304">
        <v>30</v>
      </c>
      <c r="O3304">
        <v>0</v>
      </c>
      <c r="P3304">
        <v>0</v>
      </c>
      <c r="Q3304">
        <v>0</v>
      </c>
      <c r="R3304">
        <v>0</v>
      </c>
      <c r="S3304">
        <v>0</v>
      </c>
      <c r="T3304">
        <v>0</v>
      </c>
      <c r="U3304">
        <v>0</v>
      </c>
      <c r="V3304">
        <v>0</v>
      </c>
      <c r="W3304">
        <v>0</v>
      </c>
      <c r="X3304">
        <v>0</v>
      </c>
      <c r="Z3304">
        <v>0</v>
      </c>
      <c r="AA3304">
        <v>0</v>
      </c>
      <c r="AB3304">
        <v>0</v>
      </c>
      <c r="AC3304">
        <v>0</v>
      </c>
      <c r="AD3304">
        <v>932</v>
      </c>
    </row>
    <row r="3305" spans="1:30" x14ac:dyDescent="0.25">
      <c r="H3305">
        <v>1248</v>
      </c>
    </row>
    <row r="3306" spans="1:30" x14ac:dyDescent="0.25">
      <c r="A3306">
        <v>1650</v>
      </c>
      <c r="B3306">
        <v>4717</v>
      </c>
      <c r="C3306" t="s">
        <v>6089</v>
      </c>
      <c r="D3306" t="s">
        <v>196</v>
      </c>
      <c r="E3306" t="s">
        <v>482</v>
      </c>
      <c r="F3306" t="s">
        <v>6090</v>
      </c>
      <c r="G3306" t="str">
        <f>"00361046"</f>
        <v>00361046</v>
      </c>
      <c r="H3306">
        <v>715</v>
      </c>
      <c r="I3306">
        <v>0</v>
      </c>
      <c r="J3306">
        <v>0</v>
      </c>
      <c r="K3306">
        <v>0</v>
      </c>
      <c r="L3306">
        <v>0</v>
      </c>
      <c r="M3306">
        <v>0</v>
      </c>
      <c r="N3306">
        <v>0</v>
      </c>
      <c r="O3306">
        <v>0</v>
      </c>
      <c r="P3306">
        <v>0</v>
      </c>
      <c r="Q3306">
        <v>0</v>
      </c>
      <c r="R3306">
        <v>0</v>
      </c>
      <c r="S3306">
        <v>0</v>
      </c>
      <c r="T3306">
        <v>0</v>
      </c>
      <c r="U3306">
        <v>0</v>
      </c>
      <c r="V3306">
        <v>31</v>
      </c>
      <c r="W3306">
        <v>217</v>
      </c>
      <c r="X3306">
        <v>0</v>
      </c>
      <c r="Z3306">
        <v>2</v>
      </c>
      <c r="AA3306">
        <v>0</v>
      </c>
      <c r="AB3306">
        <v>0</v>
      </c>
      <c r="AC3306">
        <v>0</v>
      </c>
      <c r="AD3306">
        <v>932</v>
      </c>
    </row>
    <row r="3307" spans="1:30" x14ac:dyDescent="0.25">
      <c r="H3307" t="s">
        <v>427</v>
      </c>
    </row>
    <row r="3308" spans="1:30" x14ac:dyDescent="0.25">
      <c r="A3308">
        <v>1651</v>
      </c>
      <c r="B3308">
        <v>2326</v>
      </c>
      <c r="C3308" t="s">
        <v>1628</v>
      </c>
      <c r="D3308" t="s">
        <v>335</v>
      </c>
      <c r="E3308" t="s">
        <v>547</v>
      </c>
      <c r="F3308" t="s">
        <v>6091</v>
      </c>
      <c r="G3308" t="str">
        <f>"00222885"</f>
        <v>00222885</v>
      </c>
      <c r="H3308">
        <v>715</v>
      </c>
      <c r="I3308">
        <v>0</v>
      </c>
      <c r="J3308">
        <v>0</v>
      </c>
      <c r="K3308">
        <v>0</v>
      </c>
      <c r="L3308">
        <v>0</v>
      </c>
      <c r="M3308">
        <v>0</v>
      </c>
      <c r="N3308">
        <v>0</v>
      </c>
      <c r="O3308">
        <v>0</v>
      </c>
      <c r="P3308">
        <v>70</v>
      </c>
      <c r="Q3308">
        <v>0</v>
      </c>
      <c r="R3308">
        <v>0</v>
      </c>
      <c r="S3308">
        <v>0</v>
      </c>
      <c r="T3308">
        <v>0</v>
      </c>
      <c r="U3308">
        <v>0</v>
      </c>
      <c r="V3308">
        <v>21</v>
      </c>
      <c r="W3308">
        <v>147</v>
      </c>
      <c r="X3308">
        <v>0</v>
      </c>
      <c r="Z3308">
        <v>0</v>
      </c>
      <c r="AA3308">
        <v>0</v>
      </c>
      <c r="AB3308">
        <v>0</v>
      </c>
      <c r="AC3308">
        <v>0</v>
      </c>
      <c r="AD3308">
        <v>932</v>
      </c>
    </row>
    <row r="3309" spans="1:30" x14ac:dyDescent="0.25">
      <c r="H3309" t="s">
        <v>404</v>
      </c>
    </row>
    <row r="3310" spans="1:30" x14ac:dyDescent="0.25">
      <c r="A3310">
        <v>1652</v>
      </c>
      <c r="B3310">
        <v>6215</v>
      </c>
      <c r="C3310" t="s">
        <v>6092</v>
      </c>
      <c r="D3310" t="s">
        <v>694</v>
      </c>
      <c r="E3310" t="s">
        <v>39</v>
      </c>
      <c r="F3310" t="s">
        <v>6093</v>
      </c>
      <c r="G3310" t="str">
        <f>"00160679"</f>
        <v>00160679</v>
      </c>
      <c r="H3310" t="s">
        <v>4801</v>
      </c>
      <c r="I3310">
        <v>150</v>
      </c>
      <c r="J3310">
        <v>0</v>
      </c>
      <c r="K3310">
        <v>0</v>
      </c>
      <c r="L3310">
        <v>0</v>
      </c>
      <c r="M3310">
        <v>0</v>
      </c>
      <c r="N3310">
        <v>30</v>
      </c>
      <c r="O3310">
        <v>0</v>
      </c>
      <c r="P3310">
        <v>0</v>
      </c>
      <c r="Q3310">
        <v>0</v>
      </c>
      <c r="R3310">
        <v>0</v>
      </c>
      <c r="S3310">
        <v>0</v>
      </c>
      <c r="T3310">
        <v>0</v>
      </c>
      <c r="U3310">
        <v>0</v>
      </c>
      <c r="V3310">
        <v>0</v>
      </c>
      <c r="W3310">
        <v>0</v>
      </c>
      <c r="X3310">
        <v>0</v>
      </c>
      <c r="Z3310">
        <v>2</v>
      </c>
      <c r="AA3310">
        <v>0</v>
      </c>
      <c r="AB3310">
        <v>0</v>
      </c>
      <c r="AC3310">
        <v>0</v>
      </c>
      <c r="AD3310" t="s">
        <v>6094</v>
      </c>
    </row>
    <row r="3311" spans="1:30" x14ac:dyDescent="0.25">
      <c r="H3311" t="s">
        <v>6095</v>
      </c>
    </row>
    <row r="3312" spans="1:30" x14ac:dyDescent="0.25">
      <c r="A3312">
        <v>1653</v>
      </c>
      <c r="B3312">
        <v>813</v>
      </c>
      <c r="C3312" t="s">
        <v>6096</v>
      </c>
      <c r="D3312" t="s">
        <v>6097</v>
      </c>
      <c r="E3312" t="s">
        <v>6098</v>
      </c>
      <c r="F3312" t="s">
        <v>6099</v>
      </c>
      <c r="G3312" t="str">
        <f>"00002141"</f>
        <v>00002141</v>
      </c>
      <c r="H3312" t="s">
        <v>970</v>
      </c>
      <c r="I3312">
        <v>0</v>
      </c>
      <c r="J3312">
        <v>0</v>
      </c>
      <c r="K3312">
        <v>0</v>
      </c>
      <c r="L3312">
        <v>0</v>
      </c>
      <c r="M3312">
        <v>0</v>
      </c>
      <c r="N3312">
        <v>30</v>
      </c>
      <c r="O3312">
        <v>0</v>
      </c>
      <c r="P3312">
        <v>0</v>
      </c>
      <c r="Q3312">
        <v>0</v>
      </c>
      <c r="R3312">
        <v>0</v>
      </c>
      <c r="S3312">
        <v>0</v>
      </c>
      <c r="T3312">
        <v>0</v>
      </c>
      <c r="U3312">
        <v>0</v>
      </c>
      <c r="V3312">
        <v>0</v>
      </c>
      <c r="W3312">
        <v>0</v>
      </c>
      <c r="X3312">
        <v>0</v>
      </c>
      <c r="Z3312">
        <v>0</v>
      </c>
      <c r="AA3312">
        <v>0</v>
      </c>
      <c r="AB3312">
        <v>0</v>
      </c>
      <c r="AC3312">
        <v>0</v>
      </c>
      <c r="AD3312" t="s">
        <v>6100</v>
      </c>
    </row>
    <row r="3313" spans="1:30" x14ac:dyDescent="0.25">
      <c r="H3313" t="s">
        <v>6101</v>
      </c>
    </row>
    <row r="3314" spans="1:30" x14ac:dyDescent="0.25">
      <c r="A3314">
        <v>1654</v>
      </c>
      <c r="B3314">
        <v>4203</v>
      </c>
      <c r="C3314" t="s">
        <v>6102</v>
      </c>
      <c r="D3314" t="s">
        <v>1570</v>
      </c>
      <c r="E3314" t="s">
        <v>6103</v>
      </c>
      <c r="F3314" t="s">
        <v>6104</v>
      </c>
      <c r="G3314" t="str">
        <f>"201410003930"</f>
        <v>201410003930</v>
      </c>
      <c r="H3314" t="s">
        <v>369</v>
      </c>
      <c r="I3314">
        <v>0</v>
      </c>
      <c r="J3314">
        <v>0</v>
      </c>
      <c r="K3314">
        <v>0</v>
      </c>
      <c r="L3314">
        <v>0</v>
      </c>
      <c r="M3314">
        <v>0</v>
      </c>
      <c r="N3314">
        <v>50</v>
      </c>
      <c r="O3314">
        <v>0</v>
      </c>
      <c r="P3314">
        <v>0</v>
      </c>
      <c r="Q3314">
        <v>0</v>
      </c>
      <c r="R3314">
        <v>0</v>
      </c>
      <c r="S3314">
        <v>0</v>
      </c>
      <c r="T3314">
        <v>0</v>
      </c>
      <c r="U3314">
        <v>0</v>
      </c>
      <c r="V3314">
        <v>32</v>
      </c>
      <c r="W3314">
        <v>224</v>
      </c>
      <c r="X3314">
        <v>0</v>
      </c>
      <c r="Z3314">
        <v>0</v>
      </c>
      <c r="AA3314">
        <v>0</v>
      </c>
      <c r="AB3314">
        <v>0</v>
      </c>
      <c r="AC3314">
        <v>0</v>
      </c>
      <c r="AD3314" t="s">
        <v>6105</v>
      </c>
    </row>
    <row r="3315" spans="1:30" x14ac:dyDescent="0.25">
      <c r="H3315" t="s">
        <v>6106</v>
      </c>
    </row>
    <row r="3316" spans="1:30" x14ac:dyDescent="0.25">
      <c r="A3316">
        <v>1655</v>
      </c>
      <c r="B3316">
        <v>4687</v>
      </c>
      <c r="C3316" t="s">
        <v>3320</v>
      </c>
      <c r="D3316" t="s">
        <v>420</v>
      </c>
      <c r="E3316" t="s">
        <v>40</v>
      </c>
      <c r="F3316" t="s">
        <v>6107</v>
      </c>
      <c r="G3316" t="str">
        <f>"00199060"</f>
        <v>00199060</v>
      </c>
      <c r="H3316" t="s">
        <v>2126</v>
      </c>
      <c r="I3316">
        <v>0</v>
      </c>
      <c r="J3316">
        <v>0</v>
      </c>
      <c r="K3316">
        <v>0</v>
      </c>
      <c r="L3316">
        <v>0</v>
      </c>
      <c r="M3316">
        <v>0</v>
      </c>
      <c r="N3316">
        <v>30</v>
      </c>
      <c r="O3316">
        <v>0</v>
      </c>
      <c r="P3316">
        <v>0</v>
      </c>
      <c r="Q3316">
        <v>0</v>
      </c>
      <c r="R3316">
        <v>0</v>
      </c>
      <c r="S3316">
        <v>0</v>
      </c>
      <c r="T3316">
        <v>0</v>
      </c>
      <c r="U3316">
        <v>0</v>
      </c>
      <c r="V3316">
        <v>32</v>
      </c>
      <c r="W3316">
        <v>224</v>
      </c>
      <c r="X3316">
        <v>0</v>
      </c>
      <c r="Z3316">
        <v>0</v>
      </c>
      <c r="AA3316">
        <v>0</v>
      </c>
      <c r="AB3316">
        <v>0</v>
      </c>
      <c r="AC3316">
        <v>0</v>
      </c>
      <c r="AD3316" t="s">
        <v>6108</v>
      </c>
    </row>
    <row r="3317" spans="1:30" x14ac:dyDescent="0.25">
      <c r="H3317" t="s">
        <v>6109</v>
      </c>
    </row>
    <row r="3318" spans="1:30" x14ac:dyDescent="0.25">
      <c r="A3318">
        <v>1656</v>
      </c>
      <c r="B3318">
        <v>391</v>
      </c>
      <c r="C3318" t="s">
        <v>4026</v>
      </c>
      <c r="D3318" t="s">
        <v>6110</v>
      </c>
      <c r="E3318" t="s">
        <v>595</v>
      </c>
      <c r="F3318" t="s">
        <v>6111</v>
      </c>
      <c r="G3318" t="str">
        <f>"00023383"</f>
        <v>00023383</v>
      </c>
      <c r="H3318" t="s">
        <v>192</v>
      </c>
      <c r="I3318">
        <v>0</v>
      </c>
      <c r="J3318">
        <v>0</v>
      </c>
      <c r="K3318">
        <v>0</v>
      </c>
      <c r="L3318">
        <v>0</v>
      </c>
      <c r="M3318">
        <v>0</v>
      </c>
      <c r="N3318">
        <v>0</v>
      </c>
      <c r="O3318">
        <v>0</v>
      </c>
      <c r="P3318">
        <v>0</v>
      </c>
      <c r="Q3318">
        <v>50</v>
      </c>
      <c r="R3318">
        <v>0</v>
      </c>
      <c r="S3318">
        <v>0</v>
      </c>
      <c r="T3318">
        <v>0</v>
      </c>
      <c r="U3318">
        <v>0</v>
      </c>
      <c r="V3318">
        <v>0</v>
      </c>
      <c r="W3318">
        <v>0</v>
      </c>
      <c r="X3318">
        <v>0</v>
      </c>
      <c r="Z3318">
        <v>0</v>
      </c>
      <c r="AA3318">
        <v>0</v>
      </c>
      <c r="AB3318">
        <v>5</v>
      </c>
      <c r="AC3318">
        <v>85</v>
      </c>
      <c r="AD3318" t="s">
        <v>6112</v>
      </c>
    </row>
    <row r="3319" spans="1:30" x14ac:dyDescent="0.25">
      <c r="H3319" t="s">
        <v>6113</v>
      </c>
    </row>
    <row r="3320" spans="1:30" x14ac:dyDescent="0.25">
      <c r="A3320">
        <v>1657</v>
      </c>
      <c r="B3320">
        <v>3250</v>
      </c>
      <c r="C3320" t="s">
        <v>6114</v>
      </c>
      <c r="D3320" t="s">
        <v>6115</v>
      </c>
      <c r="E3320" t="s">
        <v>950</v>
      </c>
      <c r="F3320" t="s">
        <v>6116</v>
      </c>
      <c r="G3320" t="str">
        <f>"00050741"</f>
        <v>00050741</v>
      </c>
      <c r="H3320" t="s">
        <v>1540</v>
      </c>
      <c r="I3320">
        <v>0</v>
      </c>
      <c r="J3320">
        <v>0</v>
      </c>
      <c r="K3320">
        <v>0</v>
      </c>
      <c r="L3320">
        <v>0</v>
      </c>
      <c r="M3320">
        <v>0</v>
      </c>
      <c r="N3320">
        <v>0</v>
      </c>
      <c r="O3320">
        <v>0</v>
      </c>
      <c r="P3320">
        <v>0</v>
      </c>
      <c r="Q3320">
        <v>0</v>
      </c>
      <c r="R3320">
        <v>0</v>
      </c>
      <c r="S3320">
        <v>0</v>
      </c>
      <c r="T3320">
        <v>0</v>
      </c>
      <c r="U3320">
        <v>0</v>
      </c>
      <c r="V3320">
        <v>36</v>
      </c>
      <c r="W3320">
        <v>252</v>
      </c>
      <c r="X3320">
        <v>0</v>
      </c>
      <c r="Z3320">
        <v>0</v>
      </c>
      <c r="AA3320">
        <v>0</v>
      </c>
      <c r="AB3320">
        <v>0</v>
      </c>
      <c r="AC3320">
        <v>0</v>
      </c>
      <c r="AD3320" t="s">
        <v>6117</v>
      </c>
    </row>
    <row r="3321" spans="1:30" x14ac:dyDescent="0.25">
      <c r="H3321" t="s">
        <v>6118</v>
      </c>
    </row>
    <row r="3322" spans="1:30" x14ac:dyDescent="0.25">
      <c r="A3322">
        <v>1658</v>
      </c>
      <c r="B3322">
        <v>490</v>
      </c>
      <c r="C3322" t="s">
        <v>6119</v>
      </c>
      <c r="D3322" t="s">
        <v>182</v>
      </c>
      <c r="E3322" t="s">
        <v>91</v>
      </c>
      <c r="F3322" t="s">
        <v>6120</v>
      </c>
      <c r="G3322" t="str">
        <f>"201406009755"</f>
        <v>201406009755</v>
      </c>
      <c r="H3322" t="s">
        <v>642</v>
      </c>
      <c r="I3322">
        <v>0</v>
      </c>
      <c r="J3322">
        <v>0</v>
      </c>
      <c r="K3322">
        <v>0</v>
      </c>
      <c r="L3322">
        <v>0</v>
      </c>
      <c r="M3322">
        <v>0</v>
      </c>
      <c r="N3322">
        <v>30</v>
      </c>
      <c r="O3322">
        <v>0</v>
      </c>
      <c r="P3322">
        <v>0</v>
      </c>
      <c r="Q3322">
        <v>0</v>
      </c>
      <c r="R3322">
        <v>0</v>
      </c>
      <c r="S3322">
        <v>0</v>
      </c>
      <c r="T3322">
        <v>0</v>
      </c>
      <c r="U3322">
        <v>0</v>
      </c>
      <c r="V3322">
        <v>0</v>
      </c>
      <c r="W3322">
        <v>0</v>
      </c>
      <c r="X3322">
        <v>0</v>
      </c>
      <c r="Z3322">
        <v>1</v>
      </c>
      <c r="AA3322">
        <v>0</v>
      </c>
      <c r="AB3322">
        <v>14</v>
      </c>
      <c r="AC3322">
        <v>238</v>
      </c>
      <c r="AD3322" t="s">
        <v>6121</v>
      </c>
    </row>
    <row r="3323" spans="1:30" x14ac:dyDescent="0.25">
      <c r="H3323">
        <v>1250</v>
      </c>
    </row>
    <row r="3324" spans="1:30" x14ac:dyDescent="0.25">
      <c r="A3324">
        <v>1659</v>
      </c>
      <c r="B3324">
        <v>2460</v>
      </c>
      <c r="C3324" t="s">
        <v>6122</v>
      </c>
      <c r="D3324" t="s">
        <v>373</v>
      </c>
      <c r="E3324" t="s">
        <v>1660</v>
      </c>
      <c r="F3324" t="s">
        <v>6123</v>
      </c>
      <c r="G3324" t="str">
        <f>"00329468"</f>
        <v>00329468</v>
      </c>
      <c r="H3324" t="s">
        <v>754</v>
      </c>
      <c r="I3324">
        <v>0</v>
      </c>
      <c r="J3324">
        <v>0</v>
      </c>
      <c r="K3324">
        <v>0</v>
      </c>
      <c r="L3324">
        <v>0</v>
      </c>
      <c r="M3324">
        <v>0</v>
      </c>
      <c r="N3324">
        <v>30</v>
      </c>
      <c r="O3324">
        <v>0</v>
      </c>
      <c r="P3324">
        <v>0</v>
      </c>
      <c r="Q3324">
        <v>0</v>
      </c>
      <c r="R3324">
        <v>0</v>
      </c>
      <c r="S3324">
        <v>0</v>
      </c>
      <c r="T3324">
        <v>0</v>
      </c>
      <c r="U3324">
        <v>0</v>
      </c>
      <c r="V3324">
        <v>25</v>
      </c>
      <c r="W3324">
        <v>175</v>
      </c>
      <c r="X3324">
        <v>0</v>
      </c>
      <c r="Z3324">
        <v>0</v>
      </c>
      <c r="AA3324">
        <v>0</v>
      </c>
      <c r="AB3324">
        <v>0</v>
      </c>
      <c r="AC3324">
        <v>0</v>
      </c>
      <c r="AD3324" t="s">
        <v>6124</v>
      </c>
    </row>
    <row r="3325" spans="1:30" x14ac:dyDescent="0.25">
      <c r="H3325">
        <v>1248</v>
      </c>
    </row>
    <row r="3326" spans="1:30" x14ac:dyDescent="0.25">
      <c r="A3326">
        <v>1660</v>
      </c>
      <c r="B3326">
        <v>1973</v>
      </c>
      <c r="C3326" t="s">
        <v>6125</v>
      </c>
      <c r="D3326" t="s">
        <v>162</v>
      </c>
      <c r="E3326" t="s">
        <v>107</v>
      </c>
      <c r="F3326" t="s">
        <v>6126</v>
      </c>
      <c r="G3326" t="str">
        <f>"00112947"</f>
        <v>00112947</v>
      </c>
      <c r="H3326" t="s">
        <v>2577</v>
      </c>
      <c r="I3326">
        <v>0</v>
      </c>
      <c r="J3326">
        <v>0</v>
      </c>
      <c r="K3326">
        <v>0</v>
      </c>
      <c r="L3326">
        <v>0</v>
      </c>
      <c r="M3326">
        <v>0</v>
      </c>
      <c r="N3326">
        <v>30</v>
      </c>
      <c r="O3326">
        <v>0</v>
      </c>
      <c r="P3326">
        <v>0</v>
      </c>
      <c r="Q3326">
        <v>0</v>
      </c>
      <c r="R3326">
        <v>0</v>
      </c>
      <c r="S3326">
        <v>0</v>
      </c>
      <c r="T3326">
        <v>0</v>
      </c>
      <c r="U3326">
        <v>0</v>
      </c>
      <c r="V3326">
        <v>33</v>
      </c>
      <c r="W3326">
        <v>231</v>
      </c>
      <c r="X3326">
        <v>0</v>
      </c>
      <c r="Z3326">
        <v>0</v>
      </c>
      <c r="AA3326">
        <v>0</v>
      </c>
      <c r="AB3326">
        <v>0</v>
      </c>
      <c r="AC3326">
        <v>0</v>
      </c>
      <c r="AD3326" t="s">
        <v>6127</v>
      </c>
    </row>
    <row r="3327" spans="1:30" x14ac:dyDescent="0.25">
      <c r="H3327">
        <v>1250</v>
      </c>
    </row>
    <row r="3328" spans="1:30" x14ac:dyDescent="0.25">
      <c r="A3328">
        <v>1661</v>
      </c>
      <c r="B3328">
        <v>2830</v>
      </c>
      <c r="C3328" t="s">
        <v>6128</v>
      </c>
      <c r="D3328" t="s">
        <v>6129</v>
      </c>
      <c r="E3328" t="s">
        <v>6130</v>
      </c>
      <c r="F3328" t="s">
        <v>6131</v>
      </c>
      <c r="G3328" t="str">
        <f>"00199053"</f>
        <v>00199053</v>
      </c>
      <c r="H3328" t="s">
        <v>2291</v>
      </c>
      <c r="I3328">
        <v>0</v>
      </c>
      <c r="J3328">
        <v>0</v>
      </c>
      <c r="K3328">
        <v>0</v>
      </c>
      <c r="L3328">
        <v>0</v>
      </c>
      <c r="M3328">
        <v>0</v>
      </c>
      <c r="N3328">
        <v>70</v>
      </c>
      <c r="O3328">
        <v>0</v>
      </c>
      <c r="P3328">
        <v>0</v>
      </c>
      <c r="Q3328">
        <v>0</v>
      </c>
      <c r="R3328">
        <v>50</v>
      </c>
      <c r="S3328">
        <v>0</v>
      </c>
      <c r="T3328">
        <v>0</v>
      </c>
      <c r="U3328">
        <v>0</v>
      </c>
      <c r="V3328">
        <v>0</v>
      </c>
      <c r="W3328">
        <v>0</v>
      </c>
      <c r="X3328">
        <v>0</v>
      </c>
      <c r="Z3328">
        <v>0</v>
      </c>
      <c r="AA3328">
        <v>0</v>
      </c>
      <c r="AB3328">
        <v>0</v>
      </c>
      <c r="AC3328">
        <v>0</v>
      </c>
      <c r="AD3328" t="s">
        <v>6132</v>
      </c>
    </row>
    <row r="3329" spans="1:30" x14ac:dyDescent="0.25">
      <c r="H3329" t="s">
        <v>451</v>
      </c>
    </row>
    <row r="3330" spans="1:30" x14ac:dyDescent="0.25">
      <c r="A3330">
        <v>1662</v>
      </c>
      <c r="B3330">
        <v>2349</v>
      </c>
      <c r="C3330" t="s">
        <v>6133</v>
      </c>
      <c r="D3330" t="s">
        <v>420</v>
      </c>
      <c r="E3330" t="s">
        <v>115</v>
      </c>
      <c r="F3330" t="s">
        <v>6134</v>
      </c>
      <c r="G3330" t="str">
        <f>"201402011195"</f>
        <v>201402011195</v>
      </c>
      <c r="H3330" t="s">
        <v>642</v>
      </c>
      <c r="I3330">
        <v>0</v>
      </c>
      <c r="J3330">
        <v>0</v>
      </c>
      <c r="K3330">
        <v>0</v>
      </c>
      <c r="L3330">
        <v>0</v>
      </c>
      <c r="M3330">
        <v>0</v>
      </c>
      <c r="N3330">
        <v>70</v>
      </c>
      <c r="O3330">
        <v>0</v>
      </c>
      <c r="P3330">
        <v>0</v>
      </c>
      <c r="Q3330">
        <v>0</v>
      </c>
      <c r="R3330">
        <v>0</v>
      </c>
      <c r="S3330">
        <v>0</v>
      </c>
      <c r="T3330">
        <v>0</v>
      </c>
      <c r="U3330">
        <v>0</v>
      </c>
      <c r="V3330">
        <v>28</v>
      </c>
      <c r="W3330">
        <v>196</v>
      </c>
      <c r="X3330">
        <v>0</v>
      </c>
      <c r="Z3330">
        <v>0</v>
      </c>
      <c r="AA3330">
        <v>0</v>
      </c>
      <c r="AB3330">
        <v>0</v>
      </c>
      <c r="AC3330">
        <v>0</v>
      </c>
      <c r="AD3330" t="s">
        <v>6135</v>
      </c>
    </row>
    <row r="3331" spans="1:30" x14ac:dyDescent="0.25">
      <c r="H3331" t="s">
        <v>6136</v>
      </c>
    </row>
    <row r="3332" spans="1:30" x14ac:dyDescent="0.25">
      <c r="A3332">
        <v>1663</v>
      </c>
      <c r="B3332">
        <v>3981</v>
      </c>
      <c r="C3332" t="s">
        <v>6137</v>
      </c>
      <c r="D3332" t="s">
        <v>1070</v>
      </c>
      <c r="E3332" t="s">
        <v>378</v>
      </c>
      <c r="F3332" t="s">
        <v>6138</v>
      </c>
      <c r="G3332" t="str">
        <f>"201406003755"</f>
        <v>201406003755</v>
      </c>
      <c r="H3332" t="s">
        <v>4801</v>
      </c>
      <c r="I3332">
        <v>0</v>
      </c>
      <c r="J3332">
        <v>0</v>
      </c>
      <c r="K3332">
        <v>0</v>
      </c>
      <c r="L3332">
        <v>0</v>
      </c>
      <c r="M3332">
        <v>0</v>
      </c>
      <c r="N3332">
        <v>70</v>
      </c>
      <c r="O3332">
        <v>0</v>
      </c>
      <c r="P3332">
        <v>0</v>
      </c>
      <c r="Q3332">
        <v>0</v>
      </c>
      <c r="R3332">
        <v>0</v>
      </c>
      <c r="S3332">
        <v>0</v>
      </c>
      <c r="T3332">
        <v>0</v>
      </c>
      <c r="U3332">
        <v>0</v>
      </c>
      <c r="V3332">
        <v>15</v>
      </c>
      <c r="W3332">
        <v>105</v>
      </c>
      <c r="X3332">
        <v>0</v>
      </c>
      <c r="Z3332">
        <v>0</v>
      </c>
      <c r="AA3332">
        <v>0</v>
      </c>
      <c r="AB3332">
        <v>0</v>
      </c>
      <c r="AC3332">
        <v>0</v>
      </c>
      <c r="AD3332" t="s">
        <v>6139</v>
      </c>
    </row>
    <row r="3333" spans="1:30" x14ac:dyDescent="0.25">
      <c r="H3333" t="s">
        <v>6140</v>
      </c>
    </row>
    <row r="3334" spans="1:30" x14ac:dyDescent="0.25">
      <c r="A3334">
        <v>1664</v>
      </c>
      <c r="B3334">
        <v>4488</v>
      </c>
      <c r="C3334" t="s">
        <v>6141</v>
      </c>
      <c r="D3334" t="s">
        <v>685</v>
      </c>
      <c r="E3334" t="s">
        <v>1070</v>
      </c>
      <c r="F3334" t="s">
        <v>6142</v>
      </c>
      <c r="G3334" t="str">
        <f>"00188336"</f>
        <v>00188336</v>
      </c>
      <c r="H3334" t="s">
        <v>4706</v>
      </c>
      <c r="I3334">
        <v>0</v>
      </c>
      <c r="J3334">
        <v>0</v>
      </c>
      <c r="K3334">
        <v>0</v>
      </c>
      <c r="L3334">
        <v>0</v>
      </c>
      <c r="M3334">
        <v>0</v>
      </c>
      <c r="N3334">
        <v>0</v>
      </c>
      <c r="O3334">
        <v>0</v>
      </c>
      <c r="P3334">
        <v>0</v>
      </c>
      <c r="Q3334">
        <v>0</v>
      </c>
      <c r="R3334">
        <v>0</v>
      </c>
      <c r="S3334">
        <v>0</v>
      </c>
      <c r="T3334">
        <v>0</v>
      </c>
      <c r="U3334">
        <v>0</v>
      </c>
      <c r="V3334">
        <v>41</v>
      </c>
      <c r="W3334">
        <v>287</v>
      </c>
      <c r="X3334">
        <v>0</v>
      </c>
      <c r="Z3334">
        <v>0</v>
      </c>
      <c r="AA3334">
        <v>0</v>
      </c>
      <c r="AB3334">
        <v>0</v>
      </c>
      <c r="AC3334">
        <v>0</v>
      </c>
      <c r="AD3334" t="s">
        <v>6143</v>
      </c>
    </row>
    <row r="3335" spans="1:30" x14ac:dyDescent="0.25">
      <c r="H3335" t="s">
        <v>6144</v>
      </c>
    </row>
    <row r="3336" spans="1:30" x14ac:dyDescent="0.25">
      <c r="A3336">
        <v>1665</v>
      </c>
      <c r="B3336">
        <v>509</v>
      </c>
      <c r="C3336" t="s">
        <v>6145</v>
      </c>
      <c r="D3336" t="s">
        <v>14</v>
      </c>
      <c r="E3336" t="s">
        <v>6146</v>
      </c>
      <c r="F3336" t="s">
        <v>6147</v>
      </c>
      <c r="G3336" t="str">
        <f>"201406012175"</f>
        <v>201406012175</v>
      </c>
      <c r="H3336" t="s">
        <v>2682</v>
      </c>
      <c r="I3336">
        <v>0</v>
      </c>
      <c r="J3336">
        <v>0</v>
      </c>
      <c r="K3336">
        <v>0</v>
      </c>
      <c r="L3336">
        <v>0</v>
      </c>
      <c r="M3336">
        <v>0</v>
      </c>
      <c r="N3336">
        <v>70</v>
      </c>
      <c r="O3336">
        <v>0</v>
      </c>
      <c r="P3336">
        <v>0</v>
      </c>
      <c r="Q3336">
        <v>0</v>
      </c>
      <c r="R3336">
        <v>0</v>
      </c>
      <c r="S3336">
        <v>0</v>
      </c>
      <c r="T3336">
        <v>0</v>
      </c>
      <c r="U3336">
        <v>0</v>
      </c>
      <c r="V3336">
        <v>16</v>
      </c>
      <c r="W3336">
        <v>112</v>
      </c>
      <c r="X3336">
        <v>0</v>
      </c>
      <c r="Z3336">
        <v>0</v>
      </c>
      <c r="AA3336">
        <v>0</v>
      </c>
      <c r="AB3336">
        <v>0</v>
      </c>
      <c r="AC3336">
        <v>0</v>
      </c>
      <c r="AD3336" t="s">
        <v>6148</v>
      </c>
    </row>
    <row r="3337" spans="1:30" x14ac:dyDescent="0.25">
      <c r="H3337" t="s">
        <v>6149</v>
      </c>
    </row>
    <row r="3338" spans="1:30" x14ac:dyDescent="0.25">
      <c r="A3338">
        <v>1666</v>
      </c>
      <c r="B3338">
        <v>3742</v>
      </c>
      <c r="C3338" t="s">
        <v>6150</v>
      </c>
      <c r="D3338" t="s">
        <v>1810</v>
      </c>
      <c r="E3338" t="s">
        <v>468</v>
      </c>
      <c r="F3338" t="s">
        <v>6151</v>
      </c>
      <c r="G3338" t="str">
        <f>"00361521"</f>
        <v>00361521</v>
      </c>
      <c r="H3338" t="s">
        <v>2937</v>
      </c>
      <c r="I3338">
        <v>0</v>
      </c>
      <c r="J3338">
        <v>0</v>
      </c>
      <c r="K3338">
        <v>0</v>
      </c>
      <c r="L3338">
        <v>0</v>
      </c>
      <c r="M3338">
        <v>0</v>
      </c>
      <c r="N3338">
        <v>30</v>
      </c>
      <c r="O3338">
        <v>0</v>
      </c>
      <c r="P3338">
        <v>0</v>
      </c>
      <c r="Q3338">
        <v>0</v>
      </c>
      <c r="R3338">
        <v>0</v>
      </c>
      <c r="S3338">
        <v>0</v>
      </c>
      <c r="T3338">
        <v>0</v>
      </c>
      <c r="U3338">
        <v>0</v>
      </c>
      <c r="V3338">
        <v>39</v>
      </c>
      <c r="W3338">
        <v>273</v>
      </c>
      <c r="X3338">
        <v>0</v>
      </c>
      <c r="Z3338">
        <v>0</v>
      </c>
      <c r="AA3338">
        <v>0</v>
      </c>
      <c r="AB3338">
        <v>0</v>
      </c>
      <c r="AC3338">
        <v>0</v>
      </c>
      <c r="AD3338" t="s">
        <v>6148</v>
      </c>
    </row>
    <row r="3339" spans="1:30" x14ac:dyDescent="0.25">
      <c r="H3339" t="s">
        <v>6152</v>
      </c>
    </row>
    <row r="3340" spans="1:30" x14ac:dyDescent="0.25">
      <c r="A3340">
        <v>1667</v>
      </c>
      <c r="B3340">
        <v>1569</v>
      </c>
      <c r="C3340" t="s">
        <v>6153</v>
      </c>
      <c r="D3340" t="s">
        <v>134</v>
      </c>
      <c r="E3340" t="s">
        <v>162</v>
      </c>
      <c r="F3340" t="s">
        <v>6154</v>
      </c>
      <c r="G3340" t="str">
        <f>"00309526"</f>
        <v>00309526</v>
      </c>
      <c r="H3340" t="s">
        <v>6155</v>
      </c>
      <c r="I3340">
        <v>0</v>
      </c>
      <c r="J3340">
        <v>0</v>
      </c>
      <c r="K3340">
        <v>0</v>
      </c>
      <c r="L3340">
        <v>0</v>
      </c>
      <c r="M3340">
        <v>0</v>
      </c>
      <c r="N3340">
        <v>30</v>
      </c>
      <c r="O3340">
        <v>0</v>
      </c>
      <c r="P3340">
        <v>0</v>
      </c>
      <c r="Q3340">
        <v>0</v>
      </c>
      <c r="R3340">
        <v>0</v>
      </c>
      <c r="S3340">
        <v>0</v>
      </c>
      <c r="T3340">
        <v>0</v>
      </c>
      <c r="U3340">
        <v>0</v>
      </c>
      <c r="V3340">
        <v>0</v>
      </c>
      <c r="W3340">
        <v>0</v>
      </c>
      <c r="X3340">
        <v>0</v>
      </c>
      <c r="Z3340">
        <v>0</v>
      </c>
      <c r="AA3340">
        <v>0</v>
      </c>
      <c r="AB3340">
        <v>0</v>
      </c>
      <c r="AC3340">
        <v>0</v>
      </c>
      <c r="AD3340" t="s">
        <v>6156</v>
      </c>
    </row>
    <row r="3341" spans="1:30" x14ac:dyDescent="0.25">
      <c r="H3341">
        <v>1250</v>
      </c>
    </row>
    <row r="3342" spans="1:30" x14ac:dyDescent="0.25">
      <c r="A3342">
        <v>1668</v>
      </c>
      <c r="B3342">
        <v>462</v>
      </c>
      <c r="C3342" t="s">
        <v>6157</v>
      </c>
      <c r="D3342" t="s">
        <v>482</v>
      </c>
      <c r="E3342" t="s">
        <v>40</v>
      </c>
      <c r="F3342" t="s">
        <v>6158</v>
      </c>
      <c r="G3342" t="str">
        <f>"201602000121"</f>
        <v>201602000121</v>
      </c>
      <c r="H3342" t="s">
        <v>311</v>
      </c>
      <c r="I3342">
        <v>0</v>
      </c>
      <c r="J3342">
        <v>0</v>
      </c>
      <c r="K3342">
        <v>0</v>
      </c>
      <c r="L3342">
        <v>0</v>
      </c>
      <c r="M3342">
        <v>0</v>
      </c>
      <c r="N3342">
        <v>0</v>
      </c>
      <c r="O3342">
        <v>0</v>
      </c>
      <c r="P3342">
        <v>0</v>
      </c>
      <c r="Q3342">
        <v>0</v>
      </c>
      <c r="R3342">
        <v>0</v>
      </c>
      <c r="S3342">
        <v>0</v>
      </c>
      <c r="T3342">
        <v>0</v>
      </c>
      <c r="U3342">
        <v>0</v>
      </c>
      <c r="V3342">
        <v>28</v>
      </c>
      <c r="W3342">
        <v>196</v>
      </c>
      <c r="X3342">
        <v>0</v>
      </c>
      <c r="Z3342">
        <v>1</v>
      </c>
      <c r="AA3342">
        <v>0</v>
      </c>
      <c r="AB3342">
        <v>0</v>
      </c>
      <c r="AC3342">
        <v>0</v>
      </c>
      <c r="AD3342" t="s">
        <v>6159</v>
      </c>
    </row>
    <row r="3343" spans="1:30" x14ac:dyDescent="0.25">
      <c r="H3343" t="s">
        <v>746</v>
      </c>
    </row>
    <row r="3344" spans="1:30" x14ac:dyDescent="0.25">
      <c r="A3344">
        <v>1669</v>
      </c>
      <c r="B3344">
        <v>2647</v>
      </c>
      <c r="C3344" t="s">
        <v>1379</v>
      </c>
      <c r="D3344" t="s">
        <v>3777</v>
      </c>
      <c r="E3344" t="s">
        <v>39</v>
      </c>
      <c r="F3344" t="s">
        <v>6160</v>
      </c>
      <c r="G3344" t="str">
        <f>"00323545"</f>
        <v>00323545</v>
      </c>
      <c r="H3344" t="s">
        <v>2928</v>
      </c>
      <c r="I3344">
        <v>0</v>
      </c>
      <c r="J3344">
        <v>0</v>
      </c>
      <c r="K3344">
        <v>0</v>
      </c>
      <c r="L3344">
        <v>0</v>
      </c>
      <c r="M3344">
        <v>0</v>
      </c>
      <c r="N3344">
        <v>30</v>
      </c>
      <c r="O3344">
        <v>0</v>
      </c>
      <c r="P3344">
        <v>0</v>
      </c>
      <c r="Q3344">
        <v>0</v>
      </c>
      <c r="R3344">
        <v>0</v>
      </c>
      <c r="S3344">
        <v>0</v>
      </c>
      <c r="T3344">
        <v>0</v>
      </c>
      <c r="U3344">
        <v>0</v>
      </c>
      <c r="V3344">
        <v>24</v>
      </c>
      <c r="W3344">
        <v>168</v>
      </c>
      <c r="X3344">
        <v>0</v>
      </c>
      <c r="Z3344">
        <v>2</v>
      </c>
      <c r="AA3344">
        <v>0</v>
      </c>
      <c r="AB3344">
        <v>0</v>
      </c>
      <c r="AC3344">
        <v>0</v>
      </c>
      <c r="AD3344" t="s">
        <v>4701</v>
      </c>
    </row>
    <row r="3345" spans="1:30" x14ac:dyDescent="0.25">
      <c r="H3345" t="s">
        <v>6161</v>
      </c>
    </row>
    <row r="3346" spans="1:30" x14ac:dyDescent="0.25">
      <c r="A3346">
        <v>1670</v>
      </c>
      <c r="B3346">
        <v>853</v>
      </c>
      <c r="C3346" t="s">
        <v>6162</v>
      </c>
      <c r="D3346" t="s">
        <v>6163</v>
      </c>
      <c r="E3346" t="s">
        <v>40</v>
      </c>
      <c r="F3346" t="s">
        <v>6164</v>
      </c>
      <c r="G3346" t="str">
        <f>"00278105"</f>
        <v>00278105</v>
      </c>
      <c r="H3346">
        <v>704</v>
      </c>
      <c r="I3346">
        <v>0</v>
      </c>
      <c r="J3346">
        <v>0</v>
      </c>
      <c r="K3346">
        <v>0</v>
      </c>
      <c r="L3346">
        <v>0</v>
      </c>
      <c r="M3346">
        <v>0</v>
      </c>
      <c r="N3346">
        <v>0</v>
      </c>
      <c r="O3346">
        <v>0</v>
      </c>
      <c r="P3346">
        <v>0</v>
      </c>
      <c r="Q3346">
        <v>0</v>
      </c>
      <c r="R3346">
        <v>0</v>
      </c>
      <c r="S3346">
        <v>0</v>
      </c>
      <c r="T3346">
        <v>0</v>
      </c>
      <c r="U3346">
        <v>0</v>
      </c>
      <c r="V3346">
        <v>0</v>
      </c>
      <c r="W3346">
        <v>0</v>
      </c>
      <c r="X3346">
        <v>0</v>
      </c>
      <c r="Z3346">
        <v>2</v>
      </c>
      <c r="AA3346">
        <v>0</v>
      </c>
      <c r="AB3346">
        <v>13</v>
      </c>
      <c r="AC3346">
        <v>221</v>
      </c>
      <c r="AD3346">
        <v>925</v>
      </c>
    </row>
    <row r="3347" spans="1:30" x14ac:dyDescent="0.25">
      <c r="H3347" t="s">
        <v>6165</v>
      </c>
    </row>
    <row r="3348" spans="1:30" x14ac:dyDescent="0.25">
      <c r="A3348">
        <v>1671</v>
      </c>
      <c r="B3348">
        <v>1492</v>
      </c>
      <c r="C3348" t="s">
        <v>6166</v>
      </c>
      <c r="D3348" t="s">
        <v>39</v>
      </c>
      <c r="E3348" t="s">
        <v>91</v>
      </c>
      <c r="F3348" t="s">
        <v>6167</v>
      </c>
      <c r="G3348" t="str">
        <f>"00234566"</f>
        <v>00234566</v>
      </c>
      <c r="H3348" t="s">
        <v>6168</v>
      </c>
      <c r="I3348">
        <v>0</v>
      </c>
      <c r="J3348">
        <v>0</v>
      </c>
      <c r="K3348">
        <v>0</v>
      </c>
      <c r="L3348">
        <v>0</v>
      </c>
      <c r="M3348">
        <v>0</v>
      </c>
      <c r="N3348">
        <v>70</v>
      </c>
      <c r="O3348">
        <v>0</v>
      </c>
      <c r="P3348">
        <v>0</v>
      </c>
      <c r="Q3348">
        <v>0</v>
      </c>
      <c r="R3348">
        <v>0</v>
      </c>
      <c r="S3348">
        <v>0</v>
      </c>
      <c r="T3348">
        <v>0</v>
      </c>
      <c r="U3348">
        <v>0</v>
      </c>
      <c r="V3348">
        <v>0</v>
      </c>
      <c r="W3348">
        <v>0</v>
      </c>
      <c r="X3348">
        <v>0</v>
      </c>
      <c r="Z3348">
        <v>2</v>
      </c>
      <c r="AA3348">
        <v>0</v>
      </c>
      <c r="AB3348">
        <v>0</v>
      </c>
      <c r="AC3348">
        <v>0</v>
      </c>
      <c r="AD3348" t="s">
        <v>6169</v>
      </c>
    </row>
    <row r="3349" spans="1:30" x14ac:dyDescent="0.25">
      <c r="H3349" t="s">
        <v>6170</v>
      </c>
    </row>
    <row r="3350" spans="1:30" x14ac:dyDescent="0.25">
      <c r="A3350">
        <v>1672</v>
      </c>
      <c r="B3350">
        <v>1617</v>
      </c>
      <c r="C3350" t="s">
        <v>6171</v>
      </c>
      <c r="D3350" t="s">
        <v>202</v>
      </c>
      <c r="E3350" t="s">
        <v>40</v>
      </c>
      <c r="F3350" t="s">
        <v>6172</v>
      </c>
      <c r="G3350" t="str">
        <f>"00308897"</f>
        <v>00308897</v>
      </c>
      <c r="H3350" t="s">
        <v>1540</v>
      </c>
      <c r="I3350">
        <v>0</v>
      </c>
      <c r="J3350">
        <v>0</v>
      </c>
      <c r="K3350">
        <v>0</v>
      </c>
      <c r="L3350">
        <v>0</v>
      </c>
      <c r="M3350">
        <v>0</v>
      </c>
      <c r="N3350">
        <v>30</v>
      </c>
      <c r="O3350">
        <v>0</v>
      </c>
      <c r="P3350">
        <v>0</v>
      </c>
      <c r="Q3350">
        <v>0</v>
      </c>
      <c r="R3350">
        <v>0</v>
      </c>
      <c r="S3350">
        <v>0</v>
      </c>
      <c r="T3350">
        <v>0</v>
      </c>
      <c r="U3350">
        <v>0</v>
      </c>
      <c r="V3350">
        <v>31</v>
      </c>
      <c r="W3350">
        <v>217</v>
      </c>
      <c r="X3350">
        <v>0</v>
      </c>
      <c r="Z3350">
        <v>0</v>
      </c>
      <c r="AA3350">
        <v>0</v>
      </c>
      <c r="AB3350">
        <v>0</v>
      </c>
      <c r="AC3350">
        <v>0</v>
      </c>
      <c r="AD3350" t="s">
        <v>6173</v>
      </c>
    </row>
    <row r="3351" spans="1:30" x14ac:dyDescent="0.25">
      <c r="H3351" t="s">
        <v>6174</v>
      </c>
    </row>
    <row r="3352" spans="1:30" x14ac:dyDescent="0.25">
      <c r="A3352">
        <v>1673</v>
      </c>
      <c r="B3352">
        <v>4407</v>
      </c>
      <c r="C3352" t="s">
        <v>6175</v>
      </c>
      <c r="D3352" t="s">
        <v>182</v>
      </c>
      <c r="E3352" t="s">
        <v>290</v>
      </c>
      <c r="F3352" t="s">
        <v>6176</v>
      </c>
      <c r="G3352" t="str">
        <f>"00151841"</f>
        <v>00151841</v>
      </c>
      <c r="H3352" t="s">
        <v>1315</v>
      </c>
      <c r="I3352">
        <v>0</v>
      </c>
      <c r="J3352">
        <v>0</v>
      </c>
      <c r="K3352">
        <v>0</v>
      </c>
      <c r="L3352">
        <v>0</v>
      </c>
      <c r="M3352">
        <v>0</v>
      </c>
      <c r="N3352">
        <v>30</v>
      </c>
      <c r="O3352">
        <v>0</v>
      </c>
      <c r="P3352">
        <v>0</v>
      </c>
      <c r="Q3352">
        <v>0</v>
      </c>
      <c r="R3352">
        <v>0</v>
      </c>
      <c r="S3352">
        <v>0</v>
      </c>
      <c r="T3352">
        <v>0</v>
      </c>
      <c r="U3352">
        <v>0</v>
      </c>
      <c r="V3352">
        <v>28</v>
      </c>
      <c r="W3352">
        <v>196</v>
      </c>
      <c r="X3352">
        <v>0</v>
      </c>
      <c r="Z3352">
        <v>0</v>
      </c>
      <c r="AA3352">
        <v>0</v>
      </c>
      <c r="AB3352">
        <v>0</v>
      </c>
      <c r="AC3352">
        <v>0</v>
      </c>
      <c r="AD3352" t="s">
        <v>6177</v>
      </c>
    </row>
    <row r="3353" spans="1:30" x14ac:dyDescent="0.25">
      <c r="H3353" t="s">
        <v>6178</v>
      </c>
    </row>
    <row r="3354" spans="1:30" x14ac:dyDescent="0.25">
      <c r="A3354">
        <v>1674</v>
      </c>
      <c r="B3354">
        <v>6134</v>
      </c>
      <c r="C3354" t="s">
        <v>6179</v>
      </c>
      <c r="D3354" t="s">
        <v>346</v>
      </c>
      <c r="E3354" t="s">
        <v>140</v>
      </c>
      <c r="F3354" t="s">
        <v>6180</v>
      </c>
      <c r="G3354" t="str">
        <f>"00368936"</f>
        <v>00368936</v>
      </c>
      <c r="H3354" t="s">
        <v>4301</v>
      </c>
      <c r="I3354">
        <v>0</v>
      </c>
      <c r="J3354">
        <v>0</v>
      </c>
      <c r="K3354">
        <v>0</v>
      </c>
      <c r="L3354">
        <v>0</v>
      </c>
      <c r="M3354">
        <v>0</v>
      </c>
      <c r="N3354">
        <v>30</v>
      </c>
      <c r="O3354">
        <v>0</v>
      </c>
      <c r="P3354">
        <v>0</v>
      </c>
      <c r="Q3354">
        <v>0</v>
      </c>
      <c r="R3354">
        <v>0</v>
      </c>
      <c r="S3354">
        <v>0</v>
      </c>
      <c r="T3354">
        <v>0</v>
      </c>
      <c r="U3354">
        <v>0</v>
      </c>
      <c r="V3354">
        <v>0</v>
      </c>
      <c r="W3354">
        <v>0</v>
      </c>
      <c r="X3354">
        <v>0</v>
      </c>
      <c r="Z3354">
        <v>0</v>
      </c>
      <c r="AA3354">
        <v>0</v>
      </c>
      <c r="AB3354">
        <v>0</v>
      </c>
      <c r="AC3354">
        <v>0</v>
      </c>
      <c r="AD3354" t="s">
        <v>6181</v>
      </c>
    </row>
    <row r="3355" spans="1:30" x14ac:dyDescent="0.25">
      <c r="H3355" t="s">
        <v>6182</v>
      </c>
    </row>
    <row r="3356" spans="1:30" x14ac:dyDescent="0.25">
      <c r="A3356">
        <v>1675</v>
      </c>
      <c r="B3356">
        <v>1418</v>
      </c>
      <c r="C3356" t="s">
        <v>2169</v>
      </c>
      <c r="D3356" t="s">
        <v>494</v>
      </c>
      <c r="E3356" t="s">
        <v>2426</v>
      </c>
      <c r="F3356" t="s">
        <v>6183</v>
      </c>
      <c r="G3356" t="str">
        <f>"00169230"</f>
        <v>00169230</v>
      </c>
      <c r="H3356">
        <v>726</v>
      </c>
      <c r="I3356">
        <v>0</v>
      </c>
      <c r="J3356">
        <v>0</v>
      </c>
      <c r="K3356">
        <v>0</v>
      </c>
      <c r="L3356">
        <v>0</v>
      </c>
      <c r="M3356">
        <v>0</v>
      </c>
      <c r="N3356">
        <v>30</v>
      </c>
      <c r="O3356">
        <v>0</v>
      </c>
      <c r="P3356">
        <v>0</v>
      </c>
      <c r="Q3356">
        <v>0</v>
      </c>
      <c r="R3356">
        <v>0</v>
      </c>
      <c r="S3356">
        <v>0</v>
      </c>
      <c r="T3356">
        <v>0</v>
      </c>
      <c r="U3356">
        <v>0</v>
      </c>
      <c r="V3356">
        <v>24</v>
      </c>
      <c r="W3356">
        <v>168</v>
      </c>
      <c r="X3356">
        <v>0</v>
      </c>
      <c r="Z3356">
        <v>0</v>
      </c>
      <c r="AA3356">
        <v>0</v>
      </c>
      <c r="AB3356">
        <v>0</v>
      </c>
      <c r="AC3356">
        <v>0</v>
      </c>
      <c r="AD3356">
        <v>924</v>
      </c>
    </row>
    <row r="3357" spans="1:30" x14ac:dyDescent="0.25">
      <c r="H3357" t="s">
        <v>521</v>
      </c>
    </row>
    <row r="3358" spans="1:30" x14ac:dyDescent="0.25">
      <c r="A3358">
        <v>1676</v>
      </c>
      <c r="B3358">
        <v>4546</v>
      </c>
      <c r="C3358" t="s">
        <v>6184</v>
      </c>
      <c r="D3358" t="s">
        <v>6185</v>
      </c>
      <c r="E3358" t="s">
        <v>183</v>
      </c>
      <c r="F3358" t="s">
        <v>6186</v>
      </c>
      <c r="G3358" t="str">
        <f>"201402006922"</f>
        <v>201402006922</v>
      </c>
      <c r="H3358" t="s">
        <v>1768</v>
      </c>
      <c r="I3358">
        <v>0</v>
      </c>
      <c r="J3358">
        <v>0</v>
      </c>
      <c r="K3358">
        <v>0</v>
      </c>
      <c r="L3358">
        <v>0</v>
      </c>
      <c r="M3358">
        <v>0</v>
      </c>
      <c r="N3358">
        <v>70</v>
      </c>
      <c r="O3358">
        <v>30</v>
      </c>
      <c r="P3358">
        <v>0</v>
      </c>
      <c r="Q3358">
        <v>0</v>
      </c>
      <c r="R3358">
        <v>0</v>
      </c>
      <c r="S3358">
        <v>0</v>
      </c>
      <c r="T3358">
        <v>0</v>
      </c>
      <c r="U3358">
        <v>0</v>
      </c>
      <c r="V3358">
        <v>0</v>
      </c>
      <c r="W3358">
        <v>0</v>
      </c>
      <c r="X3358">
        <v>0</v>
      </c>
      <c r="Z3358">
        <v>0</v>
      </c>
      <c r="AA3358">
        <v>0</v>
      </c>
      <c r="AB3358">
        <v>0</v>
      </c>
      <c r="AC3358">
        <v>0</v>
      </c>
      <c r="AD3358" t="s">
        <v>6187</v>
      </c>
    </row>
    <row r="3359" spans="1:30" x14ac:dyDescent="0.25">
      <c r="H3359" t="s">
        <v>6188</v>
      </c>
    </row>
    <row r="3360" spans="1:30" x14ac:dyDescent="0.25">
      <c r="A3360">
        <v>1677</v>
      </c>
      <c r="B3360">
        <v>5147</v>
      </c>
      <c r="C3360" t="s">
        <v>6189</v>
      </c>
      <c r="D3360" t="s">
        <v>107</v>
      </c>
      <c r="E3360" t="s">
        <v>140</v>
      </c>
      <c r="F3360" t="s">
        <v>6190</v>
      </c>
      <c r="G3360" t="str">
        <f>"201511007446"</f>
        <v>201511007446</v>
      </c>
      <c r="H3360" t="s">
        <v>1256</v>
      </c>
      <c r="I3360">
        <v>0</v>
      </c>
      <c r="J3360">
        <v>0</v>
      </c>
      <c r="K3360">
        <v>0</v>
      </c>
      <c r="L3360">
        <v>0</v>
      </c>
      <c r="M3360">
        <v>0</v>
      </c>
      <c r="N3360">
        <v>0</v>
      </c>
      <c r="O3360">
        <v>0</v>
      </c>
      <c r="P3360">
        <v>0</v>
      </c>
      <c r="Q3360">
        <v>0</v>
      </c>
      <c r="R3360">
        <v>0</v>
      </c>
      <c r="S3360">
        <v>0</v>
      </c>
      <c r="T3360">
        <v>0</v>
      </c>
      <c r="U3360">
        <v>0</v>
      </c>
      <c r="V3360">
        <v>37</v>
      </c>
      <c r="W3360">
        <v>259</v>
      </c>
      <c r="X3360">
        <v>0</v>
      </c>
      <c r="Z3360">
        <v>0</v>
      </c>
      <c r="AA3360">
        <v>0</v>
      </c>
      <c r="AB3360">
        <v>0</v>
      </c>
      <c r="AC3360">
        <v>0</v>
      </c>
      <c r="AD3360" t="s">
        <v>6191</v>
      </c>
    </row>
    <row r="3361" spans="1:30" x14ac:dyDescent="0.25">
      <c r="H3361" t="s">
        <v>6192</v>
      </c>
    </row>
    <row r="3362" spans="1:30" x14ac:dyDescent="0.25">
      <c r="A3362">
        <v>1678</v>
      </c>
      <c r="B3362">
        <v>1837</v>
      </c>
      <c r="C3362" t="s">
        <v>6193</v>
      </c>
      <c r="D3362" t="s">
        <v>223</v>
      </c>
      <c r="E3362" t="s">
        <v>291</v>
      </c>
      <c r="F3362" t="s">
        <v>6194</v>
      </c>
      <c r="G3362" t="str">
        <f>"201406012961"</f>
        <v>201406012961</v>
      </c>
      <c r="H3362">
        <v>803</v>
      </c>
      <c r="I3362">
        <v>0</v>
      </c>
      <c r="J3362">
        <v>0</v>
      </c>
      <c r="K3362">
        <v>0</v>
      </c>
      <c r="L3362">
        <v>0</v>
      </c>
      <c r="M3362">
        <v>0</v>
      </c>
      <c r="N3362">
        <v>50</v>
      </c>
      <c r="O3362">
        <v>0</v>
      </c>
      <c r="P3362">
        <v>0</v>
      </c>
      <c r="Q3362">
        <v>0</v>
      </c>
      <c r="R3362">
        <v>0</v>
      </c>
      <c r="S3362">
        <v>0</v>
      </c>
      <c r="T3362">
        <v>0</v>
      </c>
      <c r="U3362">
        <v>0</v>
      </c>
      <c r="V3362">
        <v>10</v>
      </c>
      <c r="W3362">
        <v>70</v>
      </c>
      <c r="X3362">
        <v>0</v>
      </c>
      <c r="Z3362">
        <v>0</v>
      </c>
      <c r="AA3362">
        <v>0</v>
      </c>
      <c r="AB3362">
        <v>0</v>
      </c>
      <c r="AC3362">
        <v>0</v>
      </c>
      <c r="AD3362">
        <v>923</v>
      </c>
    </row>
    <row r="3363" spans="1:30" x14ac:dyDescent="0.25">
      <c r="H3363" t="s">
        <v>6195</v>
      </c>
    </row>
    <row r="3364" spans="1:30" x14ac:dyDescent="0.25">
      <c r="A3364">
        <v>1679</v>
      </c>
      <c r="B3364">
        <v>2699</v>
      </c>
      <c r="C3364" t="s">
        <v>6196</v>
      </c>
      <c r="D3364" t="s">
        <v>40</v>
      </c>
      <c r="E3364" t="s">
        <v>290</v>
      </c>
      <c r="F3364" t="s">
        <v>6197</v>
      </c>
      <c r="G3364" t="str">
        <f>"201511032994"</f>
        <v>201511032994</v>
      </c>
      <c r="H3364" t="s">
        <v>6198</v>
      </c>
      <c r="I3364">
        <v>0</v>
      </c>
      <c r="J3364">
        <v>0</v>
      </c>
      <c r="K3364">
        <v>0</v>
      </c>
      <c r="L3364">
        <v>0</v>
      </c>
      <c r="M3364">
        <v>0</v>
      </c>
      <c r="N3364">
        <v>0</v>
      </c>
      <c r="O3364">
        <v>0</v>
      </c>
      <c r="P3364">
        <v>0</v>
      </c>
      <c r="Q3364">
        <v>0</v>
      </c>
      <c r="R3364">
        <v>0</v>
      </c>
      <c r="S3364">
        <v>0</v>
      </c>
      <c r="T3364">
        <v>0</v>
      </c>
      <c r="U3364">
        <v>0</v>
      </c>
      <c r="V3364">
        <v>0</v>
      </c>
      <c r="W3364">
        <v>0</v>
      </c>
      <c r="X3364">
        <v>0</v>
      </c>
      <c r="Z3364">
        <v>0</v>
      </c>
      <c r="AA3364">
        <v>0</v>
      </c>
      <c r="AB3364">
        <v>0</v>
      </c>
      <c r="AC3364">
        <v>0</v>
      </c>
      <c r="AD3364" t="s">
        <v>6198</v>
      </c>
    </row>
    <row r="3365" spans="1:30" x14ac:dyDescent="0.25">
      <c r="H3365" t="s">
        <v>712</v>
      </c>
    </row>
    <row r="3366" spans="1:30" x14ac:dyDescent="0.25">
      <c r="A3366">
        <v>1680</v>
      </c>
      <c r="B3366">
        <v>118</v>
      </c>
      <c r="C3366" t="s">
        <v>6199</v>
      </c>
      <c r="D3366" t="s">
        <v>420</v>
      </c>
      <c r="E3366" t="s">
        <v>39</v>
      </c>
      <c r="F3366" t="s">
        <v>6200</v>
      </c>
      <c r="G3366" t="str">
        <f>"200904000149"</f>
        <v>200904000149</v>
      </c>
      <c r="H3366" t="s">
        <v>71</v>
      </c>
      <c r="I3366">
        <v>0</v>
      </c>
      <c r="J3366">
        <v>0</v>
      </c>
      <c r="K3366">
        <v>0</v>
      </c>
      <c r="L3366">
        <v>0</v>
      </c>
      <c r="M3366">
        <v>0</v>
      </c>
      <c r="N3366">
        <v>30</v>
      </c>
      <c r="O3366">
        <v>0</v>
      </c>
      <c r="P3366">
        <v>0</v>
      </c>
      <c r="Q3366">
        <v>0</v>
      </c>
      <c r="R3366">
        <v>0</v>
      </c>
      <c r="S3366">
        <v>0</v>
      </c>
      <c r="T3366">
        <v>0</v>
      </c>
      <c r="U3366">
        <v>0</v>
      </c>
      <c r="V3366">
        <v>9</v>
      </c>
      <c r="W3366">
        <v>63</v>
      </c>
      <c r="X3366">
        <v>0</v>
      </c>
      <c r="Z3366">
        <v>0</v>
      </c>
      <c r="AA3366">
        <v>0</v>
      </c>
      <c r="AB3366">
        <v>0</v>
      </c>
      <c r="AC3366">
        <v>0</v>
      </c>
      <c r="AD3366" t="s">
        <v>6201</v>
      </c>
    </row>
    <row r="3367" spans="1:30" x14ac:dyDescent="0.25">
      <c r="H3367" t="s">
        <v>6202</v>
      </c>
    </row>
    <row r="3368" spans="1:30" x14ac:dyDescent="0.25">
      <c r="A3368">
        <v>1681</v>
      </c>
      <c r="B3368">
        <v>3030</v>
      </c>
      <c r="C3368" t="s">
        <v>6203</v>
      </c>
      <c r="D3368" t="s">
        <v>107</v>
      </c>
      <c r="E3368" t="s">
        <v>183</v>
      </c>
      <c r="F3368" t="s">
        <v>6204</v>
      </c>
      <c r="G3368" t="str">
        <f>"00346798"</f>
        <v>00346798</v>
      </c>
      <c r="H3368" t="s">
        <v>4333</v>
      </c>
      <c r="I3368">
        <v>0</v>
      </c>
      <c r="J3368">
        <v>0</v>
      </c>
      <c r="K3368">
        <v>0</v>
      </c>
      <c r="L3368">
        <v>0</v>
      </c>
      <c r="M3368">
        <v>0</v>
      </c>
      <c r="N3368">
        <v>70</v>
      </c>
      <c r="O3368">
        <v>0</v>
      </c>
      <c r="P3368">
        <v>0</v>
      </c>
      <c r="Q3368">
        <v>0</v>
      </c>
      <c r="R3368">
        <v>0</v>
      </c>
      <c r="S3368">
        <v>0</v>
      </c>
      <c r="T3368">
        <v>0</v>
      </c>
      <c r="U3368">
        <v>0</v>
      </c>
      <c r="V3368">
        <v>12</v>
      </c>
      <c r="W3368">
        <v>84</v>
      </c>
      <c r="X3368">
        <v>0</v>
      </c>
      <c r="Z3368">
        <v>0</v>
      </c>
      <c r="AA3368">
        <v>0</v>
      </c>
      <c r="AB3368">
        <v>0</v>
      </c>
      <c r="AC3368">
        <v>0</v>
      </c>
      <c r="AD3368" t="s">
        <v>6205</v>
      </c>
    </row>
    <row r="3369" spans="1:30" x14ac:dyDescent="0.25">
      <c r="H3369" t="s">
        <v>6206</v>
      </c>
    </row>
    <row r="3370" spans="1:30" x14ac:dyDescent="0.25">
      <c r="A3370">
        <v>1682</v>
      </c>
      <c r="B3370">
        <v>5905</v>
      </c>
      <c r="C3370" t="s">
        <v>4668</v>
      </c>
      <c r="D3370" t="s">
        <v>262</v>
      </c>
      <c r="E3370" t="s">
        <v>107</v>
      </c>
      <c r="F3370" t="s">
        <v>6207</v>
      </c>
      <c r="G3370" t="str">
        <f>"00108357"</f>
        <v>00108357</v>
      </c>
      <c r="H3370" t="s">
        <v>357</v>
      </c>
      <c r="I3370">
        <v>0</v>
      </c>
      <c r="J3370">
        <v>0</v>
      </c>
      <c r="K3370">
        <v>0</v>
      </c>
      <c r="L3370">
        <v>0</v>
      </c>
      <c r="M3370">
        <v>0</v>
      </c>
      <c r="N3370">
        <v>30</v>
      </c>
      <c r="O3370">
        <v>0</v>
      </c>
      <c r="P3370">
        <v>0</v>
      </c>
      <c r="Q3370">
        <v>0</v>
      </c>
      <c r="R3370">
        <v>0</v>
      </c>
      <c r="S3370">
        <v>0</v>
      </c>
      <c r="T3370">
        <v>0</v>
      </c>
      <c r="U3370">
        <v>0</v>
      </c>
      <c r="V3370">
        <v>4</v>
      </c>
      <c r="W3370">
        <v>28</v>
      </c>
      <c r="X3370">
        <v>0</v>
      </c>
      <c r="Z3370">
        <v>2</v>
      </c>
      <c r="AA3370">
        <v>0</v>
      </c>
      <c r="AB3370">
        <v>0</v>
      </c>
      <c r="AC3370">
        <v>0</v>
      </c>
      <c r="AD3370" t="s">
        <v>6208</v>
      </c>
    </row>
    <row r="3371" spans="1:30" x14ac:dyDescent="0.25">
      <c r="H3371" t="s">
        <v>6209</v>
      </c>
    </row>
    <row r="3372" spans="1:30" x14ac:dyDescent="0.25">
      <c r="A3372">
        <v>1683</v>
      </c>
      <c r="B3372">
        <v>5816</v>
      </c>
      <c r="C3372" t="s">
        <v>6210</v>
      </c>
      <c r="D3372" t="s">
        <v>39</v>
      </c>
      <c r="E3372" t="s">
        <v>87</v>
      </c>
      <c r="F3372" t="s">
        <v>6211</v>
      </c>
      <c r="G3372" t="str">
        <f>"201603000504"</f>
        <v>201603000504</v>
      </c>
      <c r="H3372" t="s">
        <v>94</v>
      </c>
      <c r="I3372">
        <v>0</v>
      </c>
      <c r="J3372">
        <v>0</v>
      </c>
      <c r="K3372">
        <v>0</v>
      </c>
      <c r="L3372">
        <v>0</v>
      </c>
      <c r="M3372">
        <v>0</v>
      </c>
      <c r="N3372">
        <v>70</v>
      </c>
      <c r="O3372">
        <v>0</v>
      </c>
      <c r="P3372">
        <v>0</v>
      </c>
      <c r="Q3372">
        <v>0</v>
      </c>
      <c r="R3372">
        <v>0</v>
      </c>
      <c r="S3372">
        <v>0</v>
      </c>
      <c r="T3372">
        <v>0</v>
      </c>
      <c r="U3372">
        <v>0</v>
      </c>
      <c r="V3372">
        <v>0</v>
      </c>
      <c r="W3372">
        <v>0</v>
      </c>
      <c r="X3372">
        <v>0</v>
      </c>
      <c r="Z3372">
        <v>0</v>
      </c>
      <c r="AA3372">
        <v>100</v>
      </c>
      <c r="AB3372">
        <v>0</v>
      </c>
      <c r="AC3372">
        <v>0</v>
      </c>
      <c r="AD3372" t="s">
        <v>6212</v>
      </c>
    </row>
    <row r="3373" spans="1:30" x14ac:dyDescent="0.25">
      <c r="H3373" t="s">
        <v>6213</v>
      </c>
    </row>
    <row r="3374" spans="1:30" x14ac:dyDescent="0.25">
      <c r="A3374">
        <v>1684</v>
      </c>
      <c r="B3374">
        <v>4836</v>
      </c>
      <c r="C3374" t="s">
        <v>6214</v>
      </c>
      <c r="D3374" t="s">
        <v>6215</v>
      </c>
      <c r="E3374" t="s">
        <v>92</v>
      </c>
      <c r="F3374" t="s">
        <v>6216</v>
      </c>
      <c r="G3374" t="str">
        <f>"00303845"</f>
        <v>00303845</v>
      </c>
      <c r="H3374">
        <v>682</v>
      </c>
      <c r="I3374">
        <v>0</v>
      </c>
      <c r="J3374">
        <v>0</v>
      </c>
      <c r="K3374">
        <v>0</v>
      </c>
      <c r="L3374">
        <v>0</v>
      </c>
      <c r="M3374">
        <v>0</v>
      </c>
      <c r="N3374">
        <v>0</v>
      </c>
      <c r="O3374">
        <v>0</v>
      </c>
      <c r="P3374">
        <v>0</v>
      </c>
      <c r="Q3374">
        <v>0</v>
      </c>
      <c r="R3374">
        <v>0</v>
      </c>
      <c r="S3374">
        <v>0</v>
      </c>
      <c r="T3374">
        <v>0</v>
      </c>
      <c r="U3374">
        <v>0</v>
      </c>
      <c r="V3374">
        <v>0</v>
      </c>
      <c r="W3374">
        <v>0</v>
      </c>
      <c r="X3374">
        <v>0</v>
      </c>
      <c r="Z3374">
        <v>0</v>
      </c>
      <c r="AA3374">
        <v>0</v>
      </c>
      <c r="AB3374">
        <v>14</v>
      </c>
      <c r="AC3374">
        <v>238</v>
      </c>
      <c r="AD3374">
        <v>920</v>
      </c>
    </row>
    <row r="3375" spans="1:30" x14ac:dyDescent="0.25">
      <c r="H3375" t="s">
        <v>3046</v>
      </c>
    </row>
    <row r="3376" spans="1:30" x14ac:dyDescent="0.25">
      <c r="A3376">
        <v>1685</v>
      </c>
      <c r="B3376">
        <v>1908</v>
      </c>
      <c r="C3376" t="s">
        <v>6217</v>
      </c>
      <c r="D3376" t="s">
        <v>166</v>
      </c>
      <c r="E3376" t="s">
        <v>468</v>
      </c>
      <c r="F3376" t="s">
        <v>6218</v>
      </c>
      <c r="G3376" t="str">
        <f>"201406001204"</f>
        <v>201406001204</v>
      </c>
      <c r="H3376" t="s">
        <v>6219</v>
      </c>
      <c r="I3376">
        <v>0</v>
      </c>
      <c r="J3376">
        <v>0</v>
      </c>
      <c r="K3376">
        <v>0</v>
      </c>
      <c r="L3376">
        <v>0</v>
      </c>
      <c r="M3376">
        <v>0</v>
      </c>
      <c r="N3376">
        <v>30</v>
      </c>
      <c r="O3376">
        <v>0</v>
      </c>
      <c r="P3376">
        <v>0</v>
      </c>
      <c r="Q3376">
        <v>0</v>
      </c>
      <c r="R3376">
        <v>0</v>
      </c>
      <c r="S3376">
        <v>0</v>
      </c>
      <c r="T3376">
        <v>0</v>
      </c>
      <c r="U3376">
        <v>0</v>
      </c>
      <c r="V3376">
        <v>10</v>
      </c>
      <c r="W3376">
        <v>70</v>
      </c>
      <c r="X3376">
        <v>0</v>
      </c>
      <c r="Z3376">
        <v>0</v>
      </c>
      <c r="AA3376">
        <v>0</v>
      </c>
      <c r="AB3376">
        <v>0</v>
      </c>
      <c r="AC3376">
        <v>0</v>
      </c>
      <c r="AD3376" t="s">
        <v>6220</v>
      </c>
    </row>
    <row r="3377" spans="1:30" x14ac:dyDescent="0.25">
      <c r="H3377" t="s">
        <v>6221</v>
      </c>
    </row>
    <row r="3378" spans="1:30" x14ac:dyDescent="0.25">
      <c r="A3378">
        <v>1686</v>
      </c>
      <c r="B3378">
        <v>2956</v>
      </c>
      <c r="C3378" t="s">
        <v>4509</v>
      </c>
      <c r="D3378" t="s">
        <v>3484</v>
      </c>
      <c r="E3378" t="s">
        <v>79</v>
      </c>
      <c r="F3378" t="s">
        <v>6222</v>
      </c>
      <c r="G3378" t="str">
        <f>"00228802"</f>
        <v>00228802</v>
      </c>
      <c r="H3378">
        <v>869</v>
      </c>
      <c r="I3378">
        <v>0</v>
      </c>
      <c r="J3378">
        <v>0</v>
      </c>
      <c r="K3378">
        <v>0</v>
      </c>
      <c r="L3378">
        <v>0</v>
      </c>
      <c r="M3378">
        <v>0</v>
      </c>
      <c r="N3378">
        <v>50</v>
      </c>
      <c r="O3378">
        <v>0</v>
      </c>
      <c r="P3378">
        <v>0</v>
      </c>
      <c r="Q3378">
        <v>0</v>
      </c>
      <c r="R3378">
        <v>0</v>
      </c>
      <c r="S3378">
        <v>0</v>
      </c>
      <c r="T3378">
        <v>0</v>
      </c>
      <c r="U3378">
        <v>0</v>
      </c>
      <c r="V3378">
        <v>0</v>
      </c>
      <c r="W3378">
        <v>0</v>
      </c>
      <c r="X3378">
        <v>0</v>
      </c>
      <c r="Z3378">
        <v>0</v>
      </c>
      <c r="AA3378">
        <v>0</v>
      </c>
      <c r="AB3378">
        <v>0</v>
      </c>
      <c r="AC3378">
        <v>0</v>
      </c>
      <c r="AD3378">
        <v>919</v>
      </c>
    </row>
    <row r="3379" spans="1:30" x14ac:dyDescent="0.25">
      <c r="H3379" t="s">
        <v>6223</v>
      </c>
    </row>
    <row r="3380" spans="1:30" x14ac:dyDescent="0.25">
      <c r="A3380">
        <v>1687</v>
      </c>
      <c r="B3380">
        <v>2376</v>
      </c>
      <c r="C3380" t="s">
        <v>6224</v>
      </c>
      <c r="D3380" t="s">
        <v>1867</v>
      </c>
      <c r="E3380" t="s">
        <v>87</v>
      </c>
      <c r="F3380" t="s">
        <v>6225</v>
      </c>
      <c r="G3380" t="str">
        <f>"201412005028"</f>
        <v>201412005028</v>
      </c>
      <c r="H3380" t="s">
        <v>1527</v>
      </c>
      <c r="I3380">
        <v>0</v>
      </c>
      <c r="J3380">
        <v>0</v>
      </c>
      <c r="K3380">
        <v>0</v>
      </c>
      <c r="L3380">
        <v>0</v>
      </c>
      <c r="M3380">
        <v>0</v>
      </c>
      <c r="N3380">
        <v>50</v>
      </c>
      <c r="O3380">
        <v>0</v>
      </c>
      <c r="P3380">
        <v>0</v>
      </c>
      <c r="Q3380">
        <v>0</v>
      </c>
      <c r="R3380">
        <v>0</v>
      </c>
      <c r="S3380">
        <v>0</v>
      </c>
      <c r="T3380">
        <v>0</v>
      </c>
      <c r="U3380">
        <v>0</v>
      </c>
      <c r="V3380">
        <v>35</v>
      </c>
      <c r="W3380">
        <v>245</v>
      </c>
      <c r="X3380">
        <v>0</v>
      </c>
      <c r="Z3380">
        <v>0</v>
      </c>
      <c r="AA3380">
        <v>0</v>
      </c>
      <c r="AB3380">
        <v>0</v>
      </c>
      <c r="AC3380">
        <v>0</v>
      </c>
      <c r="AD3380" t="s">
        <v>6226</v>
      </c>
    </row>
    <row r="3381" spans="1:30" x14ac:dyDescent="0.25">
      <c r="H3381" t="s">
        <v>6227</v>
      </c>
    </row>
    <row r="3382" spans="1:30" x14ac:dyDescent="0.25">
      <c r="A3382">
        <v>1688</v>
      </c>
      <c r="B3382">
        <v>5302</v>
      </c>
      <c r="C3382" t="s">
        <v>6228</v>
      </c>
      <c r="D3382" t="s">
        <v>335</v>
      </c>
      <c r="E3382" t="s">
        <v>239</v>
      </c>
      <c r="F3382" t="s">
        <v>6229</v>
      </c>
      <c r="G3382" t="str">
        <f>"00333899"</f>
        <v>00333899</v>
      </c>
      <c r="H3382" t="s">
        <v>293</v>
      </c>
      <c r="I3382">
        <v>0</v>
      </c>
      <c r="J3382">
        <v>0</v>
      </c>
      <c r="K3382">
        <v>0</v>
      </c>
      <c r="L3382">
        <v>0</v>
      </c>
      <c r="M3382">
        <v>0</v>
      </c>
      <c r="N3382">
        <v>30</v>
      </c>
      <c r="O3382">
        <v>0</v>
      </c>
      <c r="P3382">
        <v>0</v>
      </c>
      <c r="Q3382">
        <v>0</v>
      </c>
      <c r="R3382">
        <v>0</v>
      </c>
      <c r="S3382">
        <v>0</v>
      </c>
      <c r="T3382">
        <v>0</v>
      </c>
      <c r="U3382">
        <v>0</v>
      </c>
      <c r="V3382">
        <v>22</v>
      </c>
      <c r="W3382">
        <v>154</v>
      </c>
      <c r="X3382">
        <v>0</v>
      </c>
      <c r="Z3382">
        <v>0</v>
      </c>
      <c r="AA3382">
        <v>0</v>
      </c>
      <c r="AB3382">
        <v>0</v>
      </c>
      <c r="AC3382">
        <v>0</v>
      </c>
      <c r="AD3382" t="s">
        <v>6230</v>
      </c>
    </row>
    <row r="3383" spans="1:30" x14ac:dyDescent="0.25">
      <c r="H3383" t="s">
        <v>3912</v>
      </c>
    </row>
    <row r="3384" spans="1:30" x14ac:dyDescent="0.25">
      <c r="A3384">
        <v>1689</v>
      </c>
      <c r="B3384">
        <v>2793</v>
      </c>
      <c r="C3384" t="s">
        <v>5513</v>
      </c>
      <c r="D3384" t="s">
        <v>166</v>
      </c>
      <c r="E3384" t="s">
        <v>176</v>
      </c>
      <c r="F3384" t="s">
        <v>6231</v>
      </c>
      <c r="G3384" t="str">
        <f>"00339815"</f>
        <v>00339815</v>
      </c>
      <c r="H3384" t="s">
        <v>1101</v>
      </c>
      <c r="I3384">
        <v>150</v>
      </c>
      <c r="J3384">
        <v>0</v>
      </c>
      <c r="K3384">
        <v>0</v>
      </c>
      <c r="L3384">
        <v>0</v>
      </c>
      <c r="M3384">
        <v>0</v>
      </c>
      <c r="N3384">
        <v>50</v>
      </c>
      <c r="O3384">
        <v>0</v>
      </c>
      <c r="P3384">
        <v>0</v>
      </c>
      <c r="Q3384">
        <v>0</v>
      </c>
      <c r="R3384">
        <v>0</v>
      </c>
      <c r="S3384">
        <v>30</v>
      </c>
      <c r="T3384">
        <v>0</v>
      </c>
      <c r="U3384">
        <v>0</v>
      </c>
      <c r="V3384">
        <v>0</v>
      </c>
      <c r="W3384">
        <v>0</v>
      </c>
      <c r="X3384">
        <v>0</v>
      </c>
      <c r="Z3384">
        <v>0</v>
      </c>
      <c r="AA3384">
        <v>0</v>
      </c>
      <c r="AB3384">
        <v>0</v>
      </c>
      <c r="AC3384">
        <v>0</v>
      </c>
      <c r="AD3384" t="s">
        <v>6232</v>
      </c>
    </row>
    <row r="3385" spans="1:30" x14ac:dyDescent="0.25">
      <c r="H3385" t="s">
        <v>6233</v>
      </c>
    </row>
    <row r="3386" spans="1:30" x14ac:dyDescent="0.25">
      <c r="A3386">
        <v>1690</v>
      </c>
      <c r="B3386">
        <v>4072</v>
      </c>
      <c r="C3386" t="s">
        <v>6234</v>
      </c>
      <c r="D3386" t="s">
        <v>335</v>
      </c>
      <c r="E3386" t="s">
        <v>40</v>
      </c>
      <c r="F3386" t="s">
        <v>6235</v>
      </c>
      <c r="G3386" t="str">
        <f>"00270979"</f>
        <v>00270979</v>
      </c>
      <c r="H3386" t="s">
        <v>1825</v>
      </c>
      <c r="I3386">
        <v>0</v>
      </c>
      <c r="J3386">
        <v>0</v>
      </c>
      <c r="K3386">
        <v>0</v>
      </c>
      <c r="L3386">
        <v>0</v>
      </c>
      <c r="M3386">
        <v>0</v>
      </c>
      <c r="N3386">
        <v>30</v>
      </c>
      <c r="O3386">
        <v>0</v>
      </c>
      <c r="P3386">
        <v>0</v>
      </c>
      <c r="Q3386">
        <v>0</v>
      </c>
      <c r="R3386">
        <v>0</v>
      </c>
      <c r="S3386">
        <v>0</v>
      </c>
      <c r="T3386">
        <v>0</v>
      </c>
      <c r="U3386">
        <v>0</v>
      </c>
      <c r="V3386">
        <v>21</v>
      </c>
      <c r="W3386">
        <v>147</v>
      </c>
      <c r="X3386">
        <v>0</v>
      </c>
      <c r="Z3386">
        <v>0</v>
      </c>
      <c r="AA3386">
        <v>0</v>
      </c>
      <c r="AB3386">
        <v>0</v>
      </c>
      <c r="AC3386">
        <v>0</v>
      </c>
      <c r="AD3386" t="s">
        <v>6236</v>
      </c>
    </row>
    <row r="3387" spans="1:30" x14ac:dyDescent="0.25">
      <c r="H3387">
        <v>1247</v>
      </c>
    </row>
    <row r="3388" spans="1:30" x14ac:dyDescent="0.25">
      <c r="A3388">
        <v>1691</v>
      </c>
      <c r="B3388">
        <v>3237</v>
      </c>
      <c r="C3388" t="s">
        <v>6237</v>
      </c>
      <c r="D3388" t="s">
        <v>59</v>
      </c>
      <c r="E3388" t="s">
        <v>151</v>
      </c>
      <c r="F3388" t="s">
        <v>6238</v>
      </c>
      <c r="G3388" t="str">
        <f>"201604002994"</f>
        <v>201604002994</v>
      </c>
      <c r="H3388" t="s">
        <v>1404</v>
      </c>
      <c r="I3388">
        <v>0</v>
      </c>
      <c r="J3388">
        <v>0</v>
      </c>
      <c r="K3388">
        <v>0</v>
      </c>
      <c r="L3388">
        <v>0</v>
      </c>
      <c r="M3388">
        <v>0</v>
      </c>
      <c r="N3388">
        <v>30</v>
      </c>
      <c r="O3388">
        <v>0</v>
      </c>
      <c r="P3388">
        <v>70</v>
      </c>
      <c r="Q3388">
        <v>0</v>
      </c>
      <c r="R3388">
        <v>0</v>
      </c>
      <c r="S3388">
        <v>0</v>
      </c>
      <c r="T3388">
        <v>0</v>
      </c>
      <c r="U3388">
        <v>0</v>
      </c>
      <c r="V3388">
        <v>0</v>
      </c>
      <c r="W3388">
        <v>0</v>
      </c>
      <c r="X3388">
        <v>0</v>
      </c>
      <c r="Z3388">
        <v>0</v>
      </c>
      <c r="AA3388">
        <v>0</v>
      </c>
      <c r="AB3388">
        <v>0</v>
      </c>
      <c r="AC3388">
        <v>0</v>
      </c>
      <c r="AD3388" t="s">
        <v>6239</v>
      </c>
    </row>
    <row r="3389" spans="1:30" x14ac:dyDescent="0.25">
      <c r="H3389" t="s">
        <v>6240</v>
      </c>
    </row>
    <row r="3390" spans="1:30" x14ac:dyDescent="0.25">
      <c r="A3390">
        <v>1692</v>
      </c>
      <c r="B3390">
        <v>12</v>
      </c>
      <c r="C3390" t="s">
        <v>4182</v>
      </c>
      <c r="D3390" t="s">
        <v>6185</v>
      </c>
      <c r="E3390" t="s">
        <v>2426</v>
      </c>
      <c r="F3390" t="s">
        <v>6241</v>
      </c>
      <c r="G3390" t="str">
        <f>"00183746"</f>
        <v>00183746</v>
      </c>
      <c r="H3390" t="s">
        <v>622</v>
      </c>
      <c r="I3390">
        <v>0</v>
      </c>
      <c r="J3390">
        <v>0</v>
      </c>
      <c r="K3390">
        <v>0</v>
      </c>
      <c r="L3390">
        <v>0</v>
      </c>
      <c r="M3390">
        <v>0</v>
      </c>
      <c r="N3390">
        <v>50</v>
      </c>
      <c r="O3390">
        <v>0</v>
      </c>
      <c r="P3390">
        <v>0</v>
      </c>
      <c r="Q3390">
        <v>0</v>
      </c>
      <c r="R3390">
        <v>0</v>
      </c>
      <c r="S3390">
        <v>0</v>
      </c>
      <c r="T3390">
        <v>0</v>
      </c>
      <c r="U3390">
        <v>0</v>
      </c>
      <c r="V3390">
        <v>-8</v>
      </c>
      <c r="W3390">
        <v>-56</v>
      </c>
      <c r="X3390">
        <v>0</v>
      </c>
      <c r="Z3390">
        <v>0</v>
      </c>
      <c r="AA3390">
        <v>0</v>
      </c>
      <c r="AB3390">
        <v>8</v>
      </c>
      <c r="AC3390">
        <v>136</v>
      </c>
      <c r="AD3390" t="s">
        <v>6242</v>
      </c>
    </row>
    <row r="3391" spans="1:30" x14ac:dyDescent="0.25">
      <c r="H3391" t="s">
        <v>6243</v>
      </c>
    </row>
    <row r="3392" spans="1:30" x14ac:dyDescent="0.25">
      <c r="A3392">
        <v>1693</v>
      </c>
      <c r="B3392">
        <v>1556</v>
      </c>
      <c r="C3392" t="s">
        <v>5445</v>
      </c>
      <c r="D3392" t="s">
        <v>346</v>
      </c>
      <c r="E3392" t="s">
        <v>509</v>
      </c>
      <c r="F3392" t="s">
        <v>6244</v>
      </c>
      <c r="G3392" t="str">
        <f>"201406009580"</f>
        <v>201406009580</v>
      </c>
      <c r="H3392" t="s">
        <v>3994</v>
      </c>
      <c r="I3392">
        <v>0</v>
      </c>
      <c r="J3392">
        <v>0</v>
      </c>
      <c r="K3392">
        <v>0</v>
      </c>
      <c r="L3392">
        <v>0</v>
      </c>
      <c r="M3392">
        <v>0</v>
      </c>
      <c r="N3392">
        <v>0</v>
      </c>
      <c r="O3392">
        <v>0</v>
      </c>
      <c r="P3392">
        <v>0</v>
      </c>
      <c r="Q3392">
        <v>0</v>
      </c>
      <c r="R3392">
        <v>0</v>
      </c>
      <c r="S3392">
        <v>0</v>
      </c>
      <c r="T3392">
        <v>0</v>
      </c>
      <c r="U3392">
        <v>0</v>
      </c>
      <c r="V3392">
        <v>39</v>
      </c>
      <c r="W3392">
        <v>273</v>
      </c>
      <c r="X3392">
        <v>0</v>
      </c>
      <c r="Z3392">
        <v>0</v>
      </c>
      <c r="AA3392">
        <v>0</v>
      </c>
      <c r="AB3392">
        <v>0</v>
      </c>
      <c r="AC3392">
        <v>0</v>
      </c>
      <c r="AD3392" t="s">
        <v>6242</v>
      </c>
    </row>
    <row r="3393" spans="1:30" x14ac:dyDescent="0.25">
      <c r="H3393" t="s">
        <v>6245</v>
      </c>
    </row>
    <row r="3394" spans="1:30" x14ac:dyDescent="0.25">
      <c r="A3394">
        <v>1694</v>
      </c>
      <c r="B3394">
        <v>3926</v>
      </c>
      <c r="C3394" t="s">
        <v>6246</v>
      </c>
      <c r="D3394" t="s">
        <v>47</v>
      </c>
      <c r="E3394" t="s">
        <v>482</v>
      </c>
      <c r="F3394" t="s">
        <v>6247</v>
      </c>
      <c r="G3394" t="str">
        <f>"00128083"</f>
        <v>00128083</v>
      </c>
      <c r="H3394" t="s">
        <v>4033</v>
      </c>
      <c r="I3394">
        <v>0</v>
      </c>
      <c r="J3394">
        <v>0</v>
      </c>
      <c r="K3394">
        <v>0</v>
      </c>
      <c r="L3394">
        <v>0</v>
      </c>
      <c r="M3394">
        <v>0</v>
      </c>
      <c r="N3394">
        <v>70</v>
      </c>
      <c r="O3394">
        <v>0</v>
      </c>
      <c r="P3394">
        <v>0</v>
      </c>
      <c r="Q3394">
        <v>0</v>
      </c>
      <c r="R3394">
        <v>0</v>
      </c>
      <c r="S3394">
        <v>0</v>
      </c>
      <c r="T3394">
        <v>0</v>
      </c>
      <c r="U3394">
        <v>0</v>
      </c>
      <c r="V3394">
        <v>0</v>
      </c>
      <c r="W3394">
        <v>0</v>
      </c>
      <c r="X3394">
        <v>0</v>
      </c>
      <c r="Z3394">
        <v>0</v>
      </c>
      <c r="AA3394">
        <v>0</v>
      </c>
      <c r="AB3394">
        <v>0</v>
      </c>
      <c r="AC3394">
        <v>0</v>
      </c>
      <c r="AD3394" t="s">
        <v>6248</v>
      </c>
    </row>
    <row r="3395" spans="1:30" x14ac:dyDescent="0.25">
      <c r="H3395" t="s">
        <v>6249</v>
      </c>
    </row>
    <row r="3396" spans="1:30" x14ac:dyDescent="0.25">
      <c r="A3396">
        <v>1695</v>
      </c>
      <c r="B3396">
        <v>4817</v>
      </c>
      <c r="C3396" t="s">
        <v>6250</v>
      </c>
      <c r="D3396" t="s">
        <v>143</v>
      </c>
      <c r="E3396" t="s">
        <v>33</v>
      </c>
      <c r="F3396" t="s">
        <v>6251</v>
      </c>
      <c r="G3396" t="str">
        <f>"00229424"</f>
        <v>00229424</v>
      </c>
      <c r="H3396" t="s">
        <v>6252</v>
      </c>
      <c r="I3396">
        <v>0</v>
      </c>
      <c r="J3396">
        <v>0</v>
      </c>
      <c r="K3396">
        <v>0</v>
      </c>
      <c r="L3396">
        <v>0</v>
      </c>
      <c r="M3396">
        <v>0</v>
      </c>
      <c r="N3396">
        <v>30</v>
      </c>
      <c r="O3396">
        <v>0</v>
      </c>
      <c r="P3396">
        <v>0</v>
      </c>
      <c r="Q3396">
        <v>0</v>
      </c>
      <c r="R3396">
        <v>0</v>
      </c>
      <c r="S3396">
        <v>0</v>
      </c>
      <c r="T3396">
        <v>0</v>
      </c>
      <c r="U3396">
        <v>0</v>
      </c>
      <c r="V3396">
        <v>0</v>
      </c>
      <c r="W3396">
        <v>0</v>
      </c>
      <c r="X3396">
        <v>0</v>
      </c>
      <c r="Z3396">
        <v>0</v>
      </c>
      <c r="AA3396">
        <v>0</v>
      </c>
      <c r="AB3396">
        <v>0</v>
      </c>
      <c r="AC3396">
        <v>0</v>
      </c>
      <c r="AD3396" t="s">
        <v>6253</v>
      </c>
    </row>
    <row r="3397" spans="1:30" x14ac:dyDescent="0.25">
      <c r="H3397" t="s">
        <v>6254</v>
      </c>
    </row>
    <row r="3398" spans="1:30" x14ac:dyDescent="0.25">
      <c r="A3398">
        <v>1696</v>
      </c>
      <c r="B3398">
        <v>1598</v>
      </c>
      <c r="C3398" t="s">
        <v>6255</v>
      </c>
      <c r="D3398" t="s">
        <v>1186</v>
      </c>
      <c r="E3398" t="s">
        <v>39</v>
      </c>
      <c r="F3398" t="s">
        <v>6256</v>
      </c>
      <c r="G3398" t="str">
        <f>"00310578"</f>
        <v>00310578</v>
      </c>
      <c r="H3398" t="s">
        <v>311</v>
      </c>
      <c r="I3398">
        <v>0</v>
      </c>
      <c r="J3398">
        <v>0</v>
      </c>
      <c r="K3398">
        <v>0</v>
      </c>
      <c r="L3398">
        <v>0</v>
      </c>
      <c r="M3398">
        <v>0</v>
      </c>
      <c r="N3398">
        <v>30</v>
      </c>
      <c r="O3398">
        <v>0</v>
      </c>
      <c r="P3398">
        <v>0</v>
      </c>
      <c r="Q3398">
        <v>0</v>
      </c>
      <c r="R3398">
        <v>0</v>
      </c>
      <c r="S3398">
        <v>0</v>
      </c>
      <c r="T3398">
        <v>0</v>
      </c>
      <c r="U3398">
        <v>0</v>
      </c>
      <c r="V3398">
        <v>22</v>
      </c>
      <c r="W3398">
        <v>154</v>
      </c>
      <c r="X3398">
        <v>0</v>
      </c>
      <c r="Z3398">
        <v>0</v>
      </c>
      <c r="AA3398">
        <v>0</v>
      </c>
      <c r="AB3398">
        <v>0</v>
      </c>
      <c r="AC3398">
        <v>0</v>
      </c>
      <c r="AD3398" t="s">
        <v>6257</v>
      </c>
    </row>
    <row r="3399" spans="1:30" x14ac:dyDescent="0.25">
      <c r="H3399" t="s">
        <v>6258</v>
      </c>
    </row>
    <row r="3400" spans="1:30" x14ac:dyDescent="0.25">
      <c r="A3400">
        <v>1697</v>
      </c>
      <c r="B3400">
        <v>1454</v>
      </c>
      <c r="C3400" t="s">
        <v>6259</v>
      </c>
      <c r="D3400" t="s">
        <v>183</v>
      </c>
      <c r="E3400" t="s">
        <v>1070</v>
      </c>
      <c r="F3400" t="s">
        <v>6260</v>
      </c>
      <c r="G3400" t="str">
        <f>"00215491"</f>
        <v>00215491</v>
      </c>
      <c r="H3400" t="s">
        <v>1303</v>
      </c>
      <c r="I3400">
        <v>0</v>
      </c>
      <c r="J3400">
        <v>0</v>
      </c>
      <c r="K3400">
        <v>0</v>
      </c>
      <c r="L3400">
        <v>0</v>
      </c>
      <c r="M3400">
        <v>0</v>
      </c>
      <c r="N3400">
        <v>70</v>
      </c>
      <c r="O3400">
        <v>0</v>
      </c>
      <c r="P3400">
        <v>0</v>
      </c>
      <c r="Q3400">
        <v>0</v>
      </c>
      <c r="R3400">
        <v>0</v>
      </c>
      <c r="S3400">
        <v>0</v>
      </c>
      <c r="T3400">
        <v>0</v>
      </c>
      <c r="U3400">
        <v>0</v>
      </c>
      <c r="V3400">
        <v>5</v>
      </c>
      <c r="W3400">
        <v>35</v>
      </c>
      <c r="X3400">
        <v>0</v>
      </c>
      <c r="Z3400">
        <v>0</v>
      </c>
      <c r="AA3400">
        <v>0</v>
      </c>
      <c r="AB3400">
        <v>6</v>
      </c>
      <c r="AC3400">
        <v>102</v>
      </c>
      <c r="AD3400" t="s">
        <v>6261</v>
      </c>
    </row>
    <row r="3401" spans="1:30" x14ac:dyDescent="0.25">
      <c r="H3401" t="s">
        <v>6262</v>
      </c>
    </row>
    <row r="3402" spans="1:30" x14ac:dyDescent="0.25">
      <c r="A3402">
        <v>1698</v>
      </c>
      <c r="B3402">
        <v>5967</v>
      </c>
      <c r="C3402" t="s">
        <v>6263</v>
      </c>
      <c r="D3402" t="s">
        <v>335</v>
      </c>
      <c r="E3402" t="s">
        <v>99</v>
      </c>
      <c r="F3402" t="s">
        <v>6264</v>
      </c>
      <c r="G3402" t="str">
        <f>"201502000328"</f>
        <v>201502000328</v>
      </c>
      <c r="H3402" t="s">
        <v>2609</v>
      </c>
      <c r="I3402">
        <v>0</v>
      </c>
      <c r="J3402">
        <v>0</v>
      </c>
      <c r="K3402">
        <v>0</v>
      </c>
      <c r="L3402">
        <v>0</v>
      </c>
      <c r="M3402">
        <v>0</v>
      </c>
      <c r="N3402">
        <v>0</v>
      </c>
      <c r="O3402">
        <v>0</v>
      </c>
      <c r="P3402">
        <v>0</v>
      </c>
      <c r="Q3402">
        <v>0</v>
      </c>
      <c r="R3402">
        <v>0</v>
      </c>
      <c r="S3402">
        <v>0</v>
      </c>
      <c r="T3402">
        <v>0</v>
      </c>
      <c r="U3402">
        <v>0</v>
      </c>
      <c r="V3402">
        <v>37</v>
      </c>
      <c r="W3402">
        <v>259</v>
      </c>
      <c r="X3402">
        <v>0</v>
      </c>
      <c r="Z3402">
        <v>0</v>
      </c>
      <c r="AA3402">
        <v>0</v>
      </c>
      <c r="AB3402">
        <v>0</v>
      </c>
      <c r="AC3402">
        <v>0</v>
      </c>
      <c r="AD3402" t="s">
        <v>6265</v>
      </c>
    </row>
    <row r="3403" spans="1:30" x14ac:dyDescent="0.25">
      <c r="H3403" t="s">
        <v>6266</v>
      </c>
    </row>
    <row r="3404" spans="1:30" x14ac:dyDescent="0.25">
      <c r="A3404">
        <v>1699</v>
      </c>
      <c r="B3404">
        <v>551</v>
      </c>
      <c r="C3404" t="s">
        <v>6267</v>
      </c>
      <c r="D3404" t="s">
        <v>107</v>
      </c>
      <c r="E3404" t="s">
        <v>40</v>
      </c>
      <c r="F3404" t="s">
        <v>6268</v>
      </c>
      <c r="G3404" t="str">
        <f>"201604000693"</f>
        <v>201604000693</v>
      </c>
      <c r="H3404" t="s">
        <v>1345</v>
      </c>
      <c r="I3404">
        <v>0</v>
      </c>
      <c r="J3404">
        <v>0</v>
      </c>
      <c r="K3404">
        <v>0</v>
      </c>
      <c r="L3404">
        <v>0</v>
      </c>
      <c r="M3404">
        <v>0</v>
      </c>
      <c r="N3404">
        <v>30</v>
      </c>
      <c r="O3404">
        <v>0</v>
      </c>
      <c r="P3404">
        <v>0</v>
      </c>
      <c r="Q3404">
        <v>0</v>
      </c>
      <c r="R3404">
        <v>0</v>
      </c>
      <c r="S3404">
        <v>0</v>
      </c>
      <c r="T3404">
        <v>0</v>
      </c>
      <c r="U3404">
        <v>0</v>
      </c>
      <c r="V3404">
        <v>0</v>
      </c>
      <c r="W3404">
        <v>0</v>
      </c>
      <c r="X3404">
        <v>0</v>
      </c>
      <c r="Z3404">
        <v>0</v>
      </c>
      <c r="AA3404">
        <v>0</v>
      </c>
      <c r="AB3404">
        <v>8</v>
      </c>
      <c r="AC3404">
        <v>136</v>
      </c>
      <c r="AD3404" t="s">
        <v>6269</v>
      </c>
    </row>
    <row r="3405" spans="1:30" x14ac:dyDescent="0.25">
      <c r="H3405" t="s">
        <v>6270</v>
      </c>
    </row>
    <row r="3406" spans="1:30" x14ac:dyDescent="0.25">
      <c r="A3406">
        <v>1700</v>
      </c>
      <c r="B3406">
        <v>4298</v>
      </c>
      <c r="C3406" t="s">
        <v>6271</v>
      </c>
      <c r="D3406" t="s">
        <v>99</v>
      </c>
      <c r="E3406" t="s">
        <v>183</v>
      </c>
      <c r="F3406" t="s">
        <v>6272</v>
      </c>
      <c r="G3406" t="str">
        <f>"201604005044"</f>
        <v>201604005044</v>
      </c>
      <c r="H3406" t="s">
        <v>5946</v>
      </c>
      <c r="I3406">
        <v>0</v>
      </c>
      <c r="J3406">
        <v>0</v>
      </c>
      <c r="K3406">
        <v>0</v>
      </c>
      <c r="L3406">
        <v>0</v>
      </c>
      <c r="M3406">
        <v>0</v>
      </c>
      <c r="N3406">
        <v>30</v>
      </c>
      <c r="O3406">
        <v>0</v>
      </c>
      <c r="P3406">
        <v>0</v>
      </c>
      <c r="Q3406">
        <v>0</v>
      </c>
      <c r="R3406">
        <v>0</v>
      </c>
      <c r="S3406">
        <v>0</v>
      </c>
      <c r="T3406">
        <v>0</v>
      </c>
      <c r="U3406">
        <v>0</v>
      </c>
      <c r="V3406">
        <v>36</v>
      </c>
      <c r="W3406">
        <v>252</v>
      </c>
      <c r="X3406">
        <v>0</v>
      </c>
      <c r="Z3406">
        <v>0</v>
      </c>
      <c r="AA3406">
        <v>0</v>
      </c>
      <c r="AB3406">
        <v>0</v>
      </c>
      <c r="AC3406">
        <v>0</v>
      </c>
      <c r="AD3406" t="s">
        <v>6273</v>
      </c>
    </row>
    <row r="3407" spans="1:30" x14ac:dyDescent="0.25">
      <c r="H3407" t="s">
        <v>6274</v>
      </c>
    </row>
    <row r="3408" spans="1:30" x14ac:dyDescent="0.25">
      <c r="A3408">
        <v>1701</v>
      </c>
      <c r="B3408">
        <v>5151</v>
      </c>
      <c r="C3408" t="s">
        <v>6275</v>
      </c>
      <c r="D3408" t="s">
        <v>143</v>
      </c>
      <c r="E3408" t="s">
        <v>40</v>
      </c>
      <c r="F3408" t="s">
        <v>6276</v>
      </c>
      <c r="G3408" t="str">
        <f>"00186714"</f>
        <v>00186714</v>
      </c>
      <c r="H3408">
        <v>825</v>
      </c>
      <c r="I3408">
        <v>0</v>
      </c>
      <c r="J3408">
        <v>0</v>
      </c>
      <c r="K3408">
        <v>0</v>
      </c>
      <c r="L3408">
        <v>0</v>
      </c>
      <c r="M3408">
        <v>0</v>
      </c>
      <c r="N3408">
        <v>30</v>
      </c>
      <c r="O3408">
        <v>0</v>
      </c>
      <c r="P3408">
        <v>0</v>
      </c>
      <c r="Q3408">
        <v>0</v>
      </c>
      <c r="R3408">
        <v>0</v>
      </c>
      <c r="S3408">
        <v>0</v>
      </c>
      <c r="T3408">
        <v>0</v>
      </c>
      <c r="U3408">
        <v>0</v>
      </c>
      <c r="V3408">
        <v>8</v>
      </c>
      <c r="W3408">
        <v>56</v>
      </c>
      <c r="X3408">
        <v>0</v>
      </c>
      <c r="Z3408">
        <v>2</v>
      </c>
      <c r="AA3408">
        <v>0</v>
      </c>
      <c r="AB3408">
        <v>0</v>
      </c>
      <c r="AC3408">
        <v>0</v>
      </c>
      <c r="AD3408">
        <v>911</v>
      </c>
    </row>
    <row r="3409" spans="1:30" x14ac:dyDescent="0.25">
      <c r="H3409">
        <v>1247</v>
      </c>
    </row>
    <row r="3410" spans="1:30" x14ac:dyDescent="0.25">
      <c r="A3410">
        <v>1702</v>
      </c>
      <c r="B3410">
        <v>3688</v>
      </c>
      <c r="C3410" t="s">
        <v>6277</v>
      </c>
      <c r="D3410" t="s">
        <v>1507</v>
      </c>
      <c r="E3410" t="s">
        <v>40</v>
      </c>
      <c r="F3410" t="s">
        <v>6278</v>
      </c>
      <c r="G3410" t="str">
        <f>"00366507"</f>
        <v>00366507</v>
      </c>
      <c r="H3410" t="s">
        <v>2451</v>
      </c>
      <c r="I3410">
        <v>0</v>
      </c>
      <c r="J3410">
        <v>0</v>
      </c>
      <c r="K3410">
        <v>0</v>
      </c>
      <c r="L3410">
        <v>0</v>
      </c>
      <c r="M3410">
        <v>0</v>
      </c>
      <c r="N3410">
        <v>0</v>
      </c>
      <c r="O3410">
        <v>0</v>
      </c>
      <c r="P3410">
        <v>0</v>
      </c>
      <c r="Q3410">
        <v>0</v>
      </c>
      <c r="R3410">
        <v>0</v>
      </c>
      <c r="S3410">
        <v>0</v>
      </c>
      <c r="T3410">
        <v>0</v>
      </c>
      <c r="U3410">
        <v>0</v>
      </c>
      <c r="V3410">
        <v>37</v>
      </c>
      <c r="W3410">
        <v>259</v>
      </c>
      <c r="X3410">
        <v>0</v>
      </c>
      <c r="Z3410">
        <v>0</v>
      </c>
      <c r="AA3410">
        <v>0</v>
      </c>
      <c r="AB3410">
        <v>0</v>
      </c>
      <c r="AC3410">
        <v>0</v>
      </c>
      <c r="AD3410" t="s">
        <v>6279</v>
      </c>
    </row>
    <row r="3411" spans="1:30" x14ac:dyDescent="0.25">
      <c r="H3411" t="s">
        <v>6280</v>
      </c>
    </row>
    <row r="3412" spans="1:30" x14ac:dyDescent="0.25">
      <c r="A3412">
        <v>1703</v>
      </c>
      <c r="B3412">
        <v>6179</v>
      </c>
      <c r="C3412" t="s">
        <v>6281</v>
      </c>
      <c r="D3412" t="s">
        <v>544</v>
      </c>
      <c r="E3412" t="s">
        <v>650</v>
      </c>
      <c r="F3412" t="s">
        <v>6282</v>
      </c>
      <c r="G3412" t="str">
        <f>"201512000751"</f>
        <v>201512000751</v>
      </c>
      <c r="H3412">
        <v>649</v>
      </c>
      <c r="I3412">
        <v>0</v>
      </c>
      <c r="J3412">
        <v>0</v>
      </c>
      <c r="K3412">
        <v>0</v>
      </c>
      <c r="L3412">
        <v>0</v>
      </c>
      <c r="M3412">
        <v>0</v>
      </c>
      <c r="N3412">
        <v>30</v>
      </c>
      <c r="O3412">
        <v>0</v>
      </c>
      <c r="P3412">
        <v>0</v>
      </c>
      <c r="Q3412">
        <v>0</v>
      </c>
      <c r="R3412">
        <v>0</v>
      </c>
      <c r="S3412">
        <v>0</v>
      </c>
      <c r="T3412">
        <v>0</v>
      </c>
      <c r="U3412">
        <v>0</v>
      </c>
      <c r="V3412">
        <v>33</v>
      </c>
      <c r="W3412">
        <v>231</v>
      </c>
      <c r="X3412">
        <v>0</v>
      </c>
      <c r="Z3412">
        <v>1</v>
      </c>
      <c r="AA3412">
        <v>0</v>
      </c>
      <c r="AB3412">
        <v>0</v>
      </c>
      <c r="AC3412">
        <v>0</v>
      </c>
      <c r="AD3412">
        <v>910</v>
      </c>
    </row>
    <row r="3413" spans="1:30" x14ac:dyDescent="0.25">
      <c r="H3413" t="s">
        <v>6283</v>
      </c>
    </row>
    <row r="3414" spans="1:30" x14ac:dyDescent="0.25">
      <c r="A3414">
        <v>1704</v>
      </c>
      <c r="B3414">
        <v>4930</v>
      </c>
      <c r="C3414" t="s">
        <v>6284</v>
      </c>
      <c r="D3414" t="s">
        <v>1186</v>
      </c>
      <c r="E3414" t="s">
        <v>290</v>
      </c>
      <c r="F3414" t="s">
        <v>6285</v>
      </c>
      <c r="G3414" t="str">
        <f>"200810000016"</f>
        <v>200810000016</v>
      </c>
      <c r="H3414" t="s">
        <v>2116</v>
      </c>
      <c r="I3414">
        <v>0</v>
      </c>
      <c r="J3414">
        <v>0</v>
      </c>
      <c r="K3414">
        <v>0</v>
      </c>
      <c r="L3414">
        <v>0</v>
      </c>
      <c r="M3414">
        <v>0</v>
      </c>
      <c r="N3414">
        <v>70</v>
      </c>
      <c r="O3414">
        <v>0</v>
      </c>
      <c r="P3414">
        <v>0</v>
      </c>
      <c r="Q3414">
        <v>0</v>
      </c>
      <c r="R3414">
        <v>0</v>
      </c>
      <c r="S3414">
        <v>0</v>
      </c>
      <c r="T3414">
        <v>0</v>
      </c>
      <c r="U3414">
        <v>0</v>
      </c>
      <c r="V3414">
        <v>23</v>
      </c>
      <c r="W3414">
        <v>161</v>
      </c>
      <c r="X3414">
        <v>0</v>
      </c>
      <c r="Z3414">
        <v>0</v>
      </c>
      <c r="AA3414">
        <v>0</v>
      </c>
      <c r="AB3414">
        <v>0</v>
      </c>
      <c r="AC3414">
        <v>0</v>
      </c>
      <c r="AD3414" t="s">
        <v>911</v>
      </c>
    </row>
    <row r="3415" spans="1:30" x14ac:dyDescent="0.25">
      <c r="H3415" t="s">
        <v>6286</v>
      </c>
    </row>
    <row r="3416" spans="1:30" x14ac:dyDescent="0.25">
      <c r="A3416">
        <v>1705</v>
      </c>
      <c r="B3416">
        <v>3270</v>
      </c>
      <c r="C3416" t="s">
        <v>6287</v>
      </c>
      <c r="D3416" t="s">
        <v>526</v>
      </c>
      <c r="E3416" t="s">
        <v>140</v>
      </c>
      <c r="F3416" t="s">
        <v>6288</v>
      </c>
      <c r="G3416" t="str">
        <f>"201406012892"</f>
        <v>201406012892</v>
      </c>
      <c r="H3416" t="s">
        <v>2116</v>
      </c>
      <c r="I3416">
        <v>0</v>
      </c>
      <c r="J3416">
        <v>0</v>
      </c>
      <c r="K3416">
        <v>0</v>
      </c>
      <c r="L3416">
        <v>200</v>
      </c>
      <c r="M3416">
        <v>0</v>
      </c>
      <c r="N3416">
        <v>30</v>
      </c>
      <c r="O3416">
        <v>0</v>
      </c>
      <c r="P3416">
        <v>0</v>
      </c>
      <c r="Q3416">
        <v>0</v>
      </c>
      <c r="R3416">
        <v>0</v>
      </c>
      <c r="S3416">
        <v>0</v>
      </c>
      <c r="T3416">
        <v>0</v>
      </c>
      <c r="U3416">
        <v>0</v>
      </c>
      <c r="V3416">
        <v>0</v>
      </c>
      <c r="W3416">
        <v>0</v>
      </c>
      <c r="X3416">
        <v>0</v>
      </c>
      <c r="Z3416">
        <v>0</v>
      </c>
      <c r="AA3416">
        <v>0</v>
      </c>
      <c r="AB3416">
        <v>0</v>
      </c>
      <c r="AC3416">
        <v>0</v>
      </c>
      <c r="AD3416" t="s">
        <v>6289</v>
      </c>
    </row>
    <row r="3417" spans="1:30" x14ac:dyDescent="0.25">
      <c r="H3417" t="s">
        <v>6290</v>
      </c>
    </row>
    <row r="3418" spans="1:30" x14ac:dyDescent="0.25">
      <c r="A3418">
        <v>1706</v>
      </c>
      <c r="B3418">
        <v>1127</v>
      </c>
      <c r="C3418" t="s">
        <v>394</v>
      </c>
      <c r="D3418" t="s">
        <v>378</v>
      </c>
      <c r="E3418" t="s">
        <v>69</v>
      </c>
      <c r="F3418" t="s">
        <v>6291</v>
      </c>
      <c r="G3418" t="str">
        <f>"200903000202"</f>
        <v>200903000202</v>
      </c>
      <c r="H3418" t="s">
        <v>3714</v>
      </c>
      <c r="I3418">
        <v>0</v>
      </c>
      <c r="J3418">
        <v>0</v>
      </c>
      <c r="K3418">
        <v>0</v>
      </c>
      <c r="L3418">
        <v>0</v>
      </c>
      <c r="M3418">
        <v>0</v>
      </c>
      <c r="N3418">
        <v>30</v>
      </c>
      <c r="O3418">
        <v>0</v>
      </c>
      <c r="P3418">
        <v>0</v>
      </c>
      <c r="Q3418">
        <v>0</v>
      </c>
      <c r="R3418">
        <v>0</v>
      </c>
      <c r="S3418">
        <v>0</v>
      </c>
      <c r="T3418">
        <v>0</v>
      </c>
      <c r="U3418">
        <v>0</v>
      </c>
      <c r="V3418">
        <v>14</v>
      </c>
      <c r="W3418">
        <v>98</v>
      </c>
      <c r="X3418">
        <v>0</v>
      </c>
      <c r="Z3418">
        <v>1</v>
      </c>
      <c r="AA3418">
        <v>0</v>
      </c>
      <c r="AB3418">
        <v>8</v>
      </c>
      <c r="AC3418">
        <v>136</v>
      </c>
      <c r="AD3418" t="s">
        <v>6292</v>
      </c>
    </row>
    <row r="3419" spans="1:30" x14ac:dyDescent="0.25">
      <c r="H3419" t="s">
        <v>6293</v>
      </c>
    </row>
    <row r="3420" spans="1:30" x14ac:dyDescent="0.25">
      <c r="A3420">
        <v>1707</v>
      </c>
      <c r="B3420">
        <v>417</v>
      </c>
      <c r="C3420" t="s">
        <v>6294</v>
      </c>
      <c r="D3420" t="s">
        <v>151</v>
      </c>
      <c r="E3420" t="s">
        <v>2438</v>
      </c>
      <c r="F3420" t="s">
        <v>6295</v>
      </c>
      <c r="G3420" t="str">
        <f>"00025019"</f>
        <v>00025019</v>
      </c>
      <c r="H3420" t="s">
        <v>1806</v>
      </c>
      <c r="I3420">
        <v>0</v>
      </c>
      <c r="J3420">
        <v>0</v>
      </c>
      <c r="K3420">
        <v>0</v>
      </c>
      <c r="L3420">
        <v>0</v>
      </c>
      <c r="M3420">
        <v>0</v>
      </c>
      <c r="N3420">
        <v>30</v>
      </c>
      <c r="O3420">
        <v>0</v>
      </c>
      <c r="P3420">
        <v>0</v>
      </c>
      <c r="Q3420">
        <v>0</v>
      </c>
      <c r="R3420">
        <v>0</v>
      </c>
      <c r="S3420">
        <v>0</v>
      </c>
      <c r="T3420">
        <v>0</v>
      </c>
      <c r="U3420">
        <v>0</v>
      </c>
      <c r="V3420">
        <v>0</v>
      </c>
      <c r="W3420">
        <v>0</v>
      </c>
      <c r="X3420">
        <v>0</v>
      </c>
      <c r="Z3420">
        <v>1</v>
      </c>
      <c r="AA3420">
        <v>0</v>
      </c>
      <c r="AB3420">
        <v>8</v>
      </c>
      <c r="AC3420">
        <v>136</v>
      </c>
      <c r="AD3420" t="s">
        <v>6296</v>
      </c>
    </row>
    <row r="3421" spans="1:30" x14ac:dyDescent="0.25">
      <c r="H3421" t="s">
        <v>6297</v>
      </c>
    </row>
    <row r="3422" spans="1:30" x14ac:dyDescent="0.25">
      <c r="A3422">
        <v>1708</v>
      </c>
      <c r="B3422">
        <v>5634</v>
      </c>
      <c r="C3422" t="s">
        <v>3035</v>
      </c>
      <c r="D3422" t="s">
        <v>143</v>
      </c>
      <c r="E3422" t="s">
        <v>162</v>
      </c>
      <c r="F3422" t="s">
        <v>6298</v>
      </c>
      <c r="G3422" t="str">
        <f>"201406010234"</f>
        <v>201406010234</v>
      </c>
      <c r="H3422" t="s">
        <v>1101</v>
      </c>
      <c r="I3422">
        <v>0</v>
      </c>
      <c r="J3422">
        <v>0</v>
      </c>
      <c r="K3422">
        <v>0</v>
      </c>
      <c r="L3422">
        <v>0</v>
      </c>
      <c r="M3422">
        <v>0</v>
      </c>
      <c r="N3422">
        <v>30</v>
      </c>
      <c r="O3422">
        <v>0</v>
      </c>
      <c r="P3422">
        <v>0</v>
      </c>
      <c r="Q3422">
        <v>0</v>
      </c>
      <c r="R3422">
        <v>0</v>
      </c>
      <c r="S3422">
        <v>0</v>
      </c>
      <c r="T3422">
        <v>0</v>
      </c>
      <c r="U3422">
        <v>0</v>
      </c>
      <c r="V3422">
        <v>27</v>
      </c>
      <c r="W3422">
        <v>189</v>
      </c>
      <c r="X3422">
        <v>0</v>
      </c>
      <c r="Z3422">
        <v>1</v>
      </c>
      <c r="AA3422">
        <v>0</v>
      </c>
      <c r="AB3422">
        <v>0</v>
      </c>
      <c r="AC3422">
        <v>0</v>
      </c>
      <c r="AD3422" t="s">
        <v>6299</v>
      </c>
    </row>
    <row r="3423" spans="1:30" x14ac:dyDescent="0.25">
      <c r="H3423" t="s">
        <v>6300</v>
      </c>
    </row>
    <row r="3424" spans="1:30" x14ac:dyDescent="0.25">
      <c r="A3424">
        <v>1709</v>
      </c>
      <c r="B3424">
        <v>301</v>
      </c>
      <c r="C3424" t="s">
        <v>6301</v>
      </c>
      <c r="D3424" t="s">
        <v>346</v>
      </c>
      <c r="E3424" t="s">
        <v>15</v>
      </c>
      <c r="F3424" t="s">
        <v>6302</v>
      </c>
      <c r="G3424" t="str">
        <f>"00176502"</f>
        <v>00176502</v>
      </c>
      <c r="H3424" t="s">
        <v>204</v>
      </c>
      <c r="I3424">
        <v>0</v>
      </c>
      <c r="J3424">
        <v>0</v>
      </c>
      <c r="K3424">
        <v>0</v>
      </c>
      <c r="L3424">
        <v>0</v>
      </c>
      <c r="M3424">
        <v>0</v>
      </c>
      <c r="N3424">
        <v>50</v>
      </c>
      <c r="O3424">
        <v>0</v>
      </c>
      <c r="P3424">
        <v>0</v>
      </c>
      <c r="Q3424">
        <v>0</v>
      </c>
      <c r="R3424">
        <v>0</v>
      </c>
      <c r="S3424">
        <v>0</v>
      </c>
      <c r="T3424">
        <v>0</v>
      </c>
      <c r="U3424">
        <v>0</v>
      </c>
      <c r="V3424">
        <v>18</v>
      </c>
      <c r="W3424">
        <v>126</v>
      </c>
      <c r="X3424">
        <v>0</v>
      </c>
      <c r="Z3424">
        <v>0</v>
      </c>
      <c r="AA3424">
        <v>0</v>
      </c>
      <c r="AB3424">
        <v>0</v>
      </c>
      <c r="AC3424">
        <v>0</v>
      </c>
      <c r="AD3424" t="s">
        <v>976</v>
      </c>
    </row>
    <row r="3425" spans="1:30" x14ac:dyDescent="0.25">
      <c r="H3425">
        <v>1247</v>
      </c>
    </row>
    <row r="3426" spans="1:30" x14ac:dyDescent="0.25">
      <c r="A3426">
        <v>1710</v>
      </c>
      <c r="B3426">
        <v>4342</v>
      </c>
      <c r="C3426" t="s">
        <v>6303</v>
      </c>
      <c r="D3426" t="s">
        <v>40</v>
      </c>
      <c r="E3426" t="s">
        <v>140</v>
      </c>
      <c r="F3426" t="s">
        <v>6304</v>
      </c>
      <c r="G3426" t="str">
        <f>"00368281"</f>
        <v>00368281</v>
      </c>
      <c r="H3426">
        <v>682</v>
      </c>
      <c r="I3426">
        <v>0</v>
      </c>
      <c r="J3426">
        <v>0</v>
      </c>
      <c r="K3426">
        <v>0</v>
      </c>
      <c r="L3426">
        <v>0</v>
      </c>
      <c r="M3426">
        <v>0</v>
      </c>
      <c r="N3426">
        <v>0</v>
      </c>
      <c r="O3426">
        <v>0</v>
      </c>
      <c r="P3426">
        <v>0</v>
      </c>
      <c r="Q3426">
        <v>0</v>
      </c>
      <c r="R3426">
        <v>0</v>
      </c>
      <c r="S3426">
        <v>0</v>
      </c>
      <c r="T3426">
        <v>0</v>
      </c>
      <c r="U3426">
        <v>0</v>
      </c>
      <c r="V3426">
        <v>32</v>
      </c>
      <c r="W3426">
        <v>224</v>
      </c>
      <c r="X3426">
        <v>0</v>
      </c>
      <c r="Z3426">
        <v>0</v>
      </c>
      <c r="AA3426">
        <v>0</v>
      </c>
      <c r="AB3426">
        <v>0</v>
      </c>
      <c r="AC3426">
        <v>0</v>
      </c>
      <c r="AD3426">
        <v>906</v>
      </c>
    </row>
    <row r="3427" spans="1:30" x14ac:dyDescent="0.25">
      <c r="H3427" t="s">
        <v>6305</v>
      </c>
    </row>
    <row r="3428" spans="1:30" x14ac:dyDescent="0.25">
      <c r="A3428">
        <v>1711</v>
      </c>
      <c r="B3428">
        <v>3494</v>
      </c>
      <c r="C3428" t="s">
        <v>6306</v>
      </c>
      <c r="D3428" t="s">
        <v>6307</v>
      </c>
      <c r="E3428" t="s">
        <v>162</v>
      </c>
      <c r="F3428" t="s">
        <v>6308</v>
      </c>
      <c r="G3428" t="str">
        <f>"00357818"</f>
        <v>00357818</v>
      </c>
      <c r="H3428" t="s">
        <v>574</v>
      </c>
      <c r="I3428">
        <v>0</v>
      </c>
      <c r="J3428">
        <v>0</v>
      </c>
      <c r="K3428">
        <v>0</v>
      </c>
      <c r="L3428">
        <v>0</v>
      </c>
      <c r="M3428">
        <v>0</v>
      </c>
      <c r="N3428">
        <v>30</v>
      </c>
      <c r="O3428">
        <v>0</v>
      </c>
      <c r="P3428">
        <v>0</v>
      </c>
      <c r="Q3428">
        <v>0</v>
      </c>
      <c r="R3428">
        <v>0</v>
      </c>
      <c r="S3428">
        <v>0</v>
      </c>
      <c r="T3428">
        <v>0</v>
      </c>
      <c r="U3428">
        <v>0</v>
      </c>
      <c r="V3428">
        <v>21</v>
      </c>
      <c r="W3428">
        <v>147</v>
      </c>
      <c r="X3428">
        <v>0</v>
      </c>
      <c r="Z3428">
        <v>2</v>
      </c>
      <c r="AA3428">
        <v>0</v>
      </c>
      <c r="AB3428">
        <v>0</v>
      </c>
      <c r="AC3428">
        <v>0</v>
      </c>
      <c r="AD3428" t="s">
        <v>6309</v>
      </c>
    </row>
    <row r="3429" spans="1:30" x14ac:dyDescent="0.25">
      <c r="H3429" t="s">
        <v>6310</v>
      </c>
    </row>
    <row r="3430" spans="1:30" x14ac:dyDescent="0.25">
      <c r="A3430">
        <v>1712</v>
      </c>
      <c r="B3430">
        <v>6183</v>
      </c>
      <c r="C3430" t="s">
        <v>467</v>
      </c>
      <c r="D3430" t="s">
        <v>6311</v>
      </c>
      <c r="E3430" t="s">
        <v>140</v>
      </c>
      <c r="F3430" t="s">
        <v>6312</v>
      </c>
      <c r="G3430" t="str">
        <f>"201406002893"</f>
        <v>201406002893</v>
      </c>
      <c r="H3430" t="s">
        <v>1136</v>
      </c>
      <c r="I3430">
        <v>0</v>
      </c>
      <c r="J3430">
        <v>0</v>
      </c>
      <c r="K3430">
        <v>0</v>
      </c>
      <c r="L3430">
        <v>0</v>
      </c>
      <c r="M3430">
        <v>0</v>
      </c>
      <c r="N3430">
        <v>70</v>
      </c>
      <c r="O3430">
        <v>0</v>
      </c>
      <c r="P3430">
        <v>0</v>
      </c>
      <c r="Q3430">
        <v>0</v>
      </c>
      <c r="R3430">
        <v>0</v>
      </c>
      <c r="S3430">
        <v>0</v>
      </c>
      <c r="T3430">
        <v>0</v>
      </c>
      <c r="U3430">
        <v>0</v>
      </c>
      <c r="V3430">
        <v>8</v>
      </c>
      <c r="W3430">
        <v>56</v>
      </c>
      <c r="X3430">
        <v>0</v>
      </c>
      <c r="Z3430">
        <v>3</v>
      </c>
      <c r="AA3430">
        <v>0</v>
      </c>
      <c r="AB3430">
        <v>0</v>
      </c>
      <c r="AC3430">
        <v>0</v>
      </c>
      <c r="AD3430" t="s">
        <v>6313</v>
      </c>
    </row>
    <row r="3431" spans="1:30" x14ac:dyDescent="0.25">
      <c r="H3431" t="s">
        <v>6314</v>
      </c>
    </row>
    <row r="3432" spans="1:30" x14ac:dyDescent="0.25">
      <c r="A3432">
        <v>1713</v>
      </c>
      <c r="B3432">
        <v>2950</v>
      </c>
      <c r="C3432" t="s">
        <v>91</v>
      </c>
      <c r="D3432" t="s">
        <v>816</v>
      </c>
      <c r="E3432" t="s">
        <v>40</v>
      </c>
      <c r="F3432" t="s">
        <v>6315</v>
      </c>
      <c r="G3432" t="str">
        <f>"00205500"</f>
        <v>00205500</v>
      </c>
      <c r="H3432" t="s">
        <v>6316</v>
      </c>
      <c r="I3432">
        <v>0</v>
      </c>
      <c r="J3432">
        <v>0</v>
      </c>
      <c r="K3432">
        <v>0</v>
      </c>
      <c r="L3432">
        <v>0</v>
      </c>
      <c r="M3432">
        <v>0</v>
      </c>
      <c r="N3432">
        <v>70</v>
      </c>
      <c r="O3432">
        <v>0</v>
      </c>
      <c r="P3432">
        <v>0</v>
      </c>
      <c r="Q3432">
        <v>0</v>
      </c>
      <c r="R3432">
        <v>0</v>
      </c>
      <c r="S3432">
        <v>0</v>
      </c>
      <c r="T3432">
        <v>0</v>
      </c>
      <c r="U3432">
        <v>0</v>
      </c>
      <c r="V3432">
        <v>0</v>
      </c>
      <c r="W3432">
        <v>0</v>
      </c>
      <c r="X3432">
        <v>0</v>
      </c>
      <c r="Z3432">
        <v>0</v>
      </c>
      <c r="AA3432">
        <v>0</v>
      </c>
      <c r="AB3432">
        <v>0</v>
      </c>
      <c r="AC3432">
        <v>0</v>
      </c>
      <c r="AD3432" t="s">
        <v>6317</v>
      </c>
    </row>
    <row r="3433" spans="1:30" x14ac:dyDescent="0.25">
      <c r="H3433" t="s">
        <v>6318</v>
      </c>
    </row>
    <row r="3434" spans="1:30" x14ac:dyDescent="0.25">
      <c r="A3434">
        <v>1714</v>
      </c>
      <c r="B3434">
        <v>292</v>
      </c>
      <c r="C3434" t="s">
        <v>6319</v>
      </c>
      <c r="D3434" t="s">
        <v>183</v>
      </c>
      <c r="E3434" t="s">
        <v>964</v>
      </c>
      <c r="F3434" t="s">
        <v>6320</v>
      </c>
      <c r="G3434" t="str">
        <f>"201406016170"</f>
        <v>201406016170</v>
      </c>
      <c r="H3434" t="s">
        <v>1540</v>
      </c>
      <c r="I3434">
        <v>0</v>
      </c>
      <c r="J3434">
        <v>0</v>
      </c>
      <c r="K3434">
        <v>0</v>
      </c>
      <c r="L3434">
        <v>0</v>
      </c>
      <c r="M3434">
        <v>0</v>
      </c>
      <c r="N3434">
        <v>30</v>
      </c>
      <c r="O3434">
        <v>0</v>
      </c>
      <c r="P3434">
        <v>0</v>
      </c>
      <c r="Q3434">
        <v>0</v>
      </c>
      <c r="R3434">
        <v>0</v>
      </c>
      <c r="S3434">
        <v>0</v>
      </c>
      <c r="T3434">
        <v>0</v>
      </c>
      <c r="U3434">
        <v>0</v>
      </c>
      <c r="V3434">
        <v>28</v>
      </c>
      <c r="W3434">
        <v>196</v>
      </c>
      <c r="X3434">
        <v>0</v>
      </c>
      <c r="Z3434">
        <v>0</v>
      </c>
      <c r="AA3434">
        <v>0</v>
      </c>
      <c r="AB3434">
        <v>0</v>
      </c>
      <c r="AC3434">
        <v>0</v>
      </c>
      <c r="AD3434" t="s">
        <v>6321</v>
      </c>
    </row>
    <row r="3435" spans="1:30" x14ac:dyDescent="0.25">
      <c r="H3435" t="s">
        <v>6322</v>
      </c>
    </row>
    <row r="3436" spans="1:30" x14ac:dyDescent="0.25">
      <c r="A3436">
        <v>1715</v>
      </c>
      <c r="B3436">
        <v>366</v>
      </c>
      <c r="C3436" t="s">
        <v>6323</v>
      </c>
      <c r="D3436" t="s">
        <v>75</v>
      </c>
      <c r="E3436" t="s">
        <v>47</v>
      </c>
      <c r="F3436" t="s">
        <v>6324</v>
      </c>
      <c r="G3436" t="str">
        <f>"00299365"</f>
        <v>00299365</v>
      </c>
      <c r="H3436">
        <v>693</v>
      </c>
      <c r="I3436">
        <v>0</v>
      </c>
      <c r="J3436">
        <v>0</v>
      </c>
      <c r="K3436">
        <v>0</v>
      </c>
      <c r="L3436">
        <v>0</v>
      </c>
      <c r="M3436">
        <v>0</v>
      </c>
      <c r="N3436">
        <v>0</v>
      </c>
      <c r="O3436">
        <v>0</v>
      </c>
      <c r="P3436">
        <v>0</v>
      </c>
      <c r="Q3436">
        <v>0</v>
      </c>
      <c r="R3436">
        <v>0</v>
      </c>
      <c r="S3436">
        <v>0</v>
      </c>
      <c r="T3436">
        <v>0</v>
      </c>
      <c r="U3436">
        <v>0</v>
      </c>
      <c r="V3436">
        <v>30</v>
      </c>
      <c r="W3436">
        <v>210</v>
      </c>
      <c r="X3436">
        <v>0</v>
      </c>
      <c r="Z3436">
        <v>0</v>
      </c>
      <c r="AA3436">
        <v>0</v>
      </c>
      <c r="AB3436">
        <v>0</v>
      </c>
      <c r="AC3436">
        <v>0</v>
      </c>
      <c r="AD3436">
        <v>903</v>
      </c>
    </row>
    <row r="3437" spans="1:30" x14ac:dyDescent="0.25">
      <c r="H3437" t="s">
        <v>6325</v>
      </c>
    </row>
    <row r="3438" spans="1:30" x14ac:dyDescent="0.25">
      <c r="A3438">
        <v>1716</v>
      </c>
      <c r="B3438">
        <v>5621</v>
      </c>
      <c r="C3438" t="s">
        <v>717</v>
      </c>
      <c r="D3438" t="s">
        <v>335</v>
      </c>
      <c r="E3438" t="s">
        <v>6326</v>
      </c>
      <c r="F3438" t="s">
        <v>6327</v>
      </c>
      <c r="G3438" t="str">
        <f>"00335601"</f>
        <v>00335601</v>
      </c>
      <c r="H3438" t="s">
        <v>1726</v>
      </c>
      <c r="I3438">
        <v>0</v>
      </c>
      <c r="J3438">
        <v>0</v>
      </c>
      <c r="K3438">
        <v>0</v>
      </c>
      <c r="L3438">
        <v>0</v>
      </c>
      <c r="M3438">
        <v>0</v>
      </c>
      <c r="N3438">
        <v>70</v>
      </c>
      <c r="O3438">
        <v>0</v>
      </c>
      <c r="P3438">
        <v>30</v>
      </c>
      <c r="Q3438">
        <v>0</v>
      </c>
      <c r="R3438">
        <v>0</v>
      </c>
      <c r="S3438">
        <v>0</v>
      </c>
      <c r="T3438">
        <v>0</v>
      </c>
      <c r="U3438">
        <v>0</v>
      </c>
      <c r="V3438">
        <v>0</v>
      </c>
      <c r="W3438">
        <v>0</v>
      </c>
      <c r="X3438">
        <v>0</v>
      </c>
      <c r="Z3438">
        <v>0</v>
      </c>
      <c r="AA3438">
        <v>0</v>
      </c>
      <c r="AB3438">
        <v>0</v>
      </c>
      <c r="AC3438">
        <v>0</v>
      </c>
      <c r="AD3438" t="s">
        <v>6328</v>
      </c>
    </row>
    <row r="3439" spans="1:30" x14ac:dyDescent="0.25">
      <c r="H3439" t="s">
        <v>6329</v>
      </c>
    </row>
    <row r="3440" spans="1:30" x14ac:dyDescent="0.25">
      <c r="A3440">
        <v>1717</v>
      </c>
      <c r="B3440">
        <v>5898</v>
      </c>
      <c r="C3440" t="s">
        <v>6330</v>
      </c>
      <c r="D3440" t="s">
        <v>335</v>
      </c>
      <c r="E3440" t="s">
        <v>39</v>
      </c>
      <c r="F3440" t="s">
        <v>6331</v>
      </c>
      <c r="G3440" t="str">
        <f>"00257507"</f>
        <v>00257507</v>
      </c>
      <c r="H3440" t="s">
        <v>696</v>
      </c>
      <c r="I3440">
        <v>0</v>
      </c>
      <c r="J3440">
        <v>0</v>
      </c>
      <c r="K3440">
        <v>0</v>
      </c>
      <c r="L3440">
        <v>0</v>
      </c>
      <c r="M3440">
        <v>0</v>
      </c>
      <c r="N3440">
        <v>0</v>
      </c>
      <c r="O3440">
        <v>0</v>
      </c>
      <c r="P3440">
        <v>0</v>
      </c>
      <c r="Q3440">
        <v>0</v>
      </c>
      <c r="R3440">
        <v>0</v>
      </c>
      <c r="S3440">
        <v>0</v>
      </c>
      <c r="T3440">
        <v>0</v>
      </c>
      <c r="U3440">
        <v>0</v>
      </c>
      <c r="V3440">
        <v>18</v>
      </c>
      <c r="W3440">
        <v>126</v>
      </c>
      <c r="X3440">
        <v>0</v>
      </c>
      <c r="Z3440">
        <v>0</v>
      </c>
      <c r="AA3440">
        <v>0</v>
      </c>
      <c r="AB3440">
        <v>0</v>
      </c>
      <c r="AC3440">
        <v>0</v>
      </c>
      <c r="AD3440" t="s">
        <v>6332</v>
      </c>
    </row>
    <row r="3441" spans="1:30" x14ac:dyDescent="0.25">
      <c r="H3441" t="s">
        <v>6333</v>
      </c>
    </row>
    <row r="3442" spans="1:30" x14ac:dyDescent="0.25">
      <c r="A3442">
        <v>1718</v>
      </c>
      <c r="B3442">
        <v>5577</v>
      </c>
      <c r="C3442" t="s">
        <v>6334</v>
      </c>
      <c r="D3442" t="s">
        <v>1576</v>
      </c>
      <c r="E3442" t="s">
        <v>190</v>
      </c>
      <c r="F3442" t="s">
        <v>6335</v>
      </c>
      <c r="G3442" t="str">
        <f>"00334019"</f>
        <v>00334019</v>
      </c>
      <c r="H3442">
        <v>715</v>
      </c>
      <c r="I3442">
        <v>0</v>
      </c>
      <c r="J3442">
        <v>0</v>
      </c>
      <c r="K3442">
        <v>0</v>
      </c>
      <c r="L3442">
        <v>0</v>
      </c>
      <c r="M3442">
        <v>0</v>
      </c>
      <c r="N3442">
        <v>50</v>
      </c>
      <c r="O3442">
        <v>0</v>
      </c>
      <c r="P3442">
        <v>0</v>
      </c>
      <c r="Q3442">
        <v>0</v>
      </c>
      <c r="R3442">
        <v>0</v>
      </c>
      <c r="S3442">
        <v>0</v>
      </c>
      <c r="T3442">
        <v>0</v>
      </c>
      <c r="U3442">
        <v>0</v>
      </c>
      <c r="V3442">
        <v>0</v>
      </c>
      <c r="W3442">
        <v>0</v>
      </c>
      <c r="X3442">
        <v>6</v>
      </c>
      <c r="Y3442">
        <v>1251</v>
      </c>
      <c r="Z3442">
        <v>0</v>
      </c>
      <c r="AA3442">
        <v>0</v>
      </c>
      <c r="AB3442">
        <v>8</v>
      </c>
      <c r="AC3442">
        <v>136</v>
      </c>
      <c r="AD3442">
        <v>901</v>
      </c>
    </row>
    <row r="3443" spans="1:30" x14ac:dyDescent="0.25">
      <c r="H3443">
        <v>1251</v>
      </c>
    </row>
    <row r="3444" spans="1:30" x14ac:dyDescent="0.25">
      <c r="A3444">
        <v>1719</v>
      </c>
      <c r="B3444">
        <v>1120</v>
      </c>
      <c r="C3444" t="s">
        <v>6336</v>
      </c>
      <c r="D3444" t="s">
        <v>162</v>
      </c>
      <c r="E3444" t="s">
        <v>1039</v>
      </c>
      <c r="F3444" t="s">
        <v>6337</v>
      </c>
      <c r="G3444" t="str">
        <f>"200801001337"</f>
        <v>200801001337</v>
      </c>
      <c r="H3444">
        <v>682</v>
      </c>
      <c r="I3444">
        <v>0</v>
      </c>
      <c r="J3444">
        <v>0</v>
      </c>
      <c r="K3444">
        <v>0</v>
      </c>
      <c r="L3444">
        <v>0</v>
      </c>
      <c r="M3444">
        <v>0</v>
      </c>
      <c r="N3444">
        <v>30</v>
      </c>
      <c r="O3444">
        <v>0</v>
      </c>
      <c r="P3444">
        <v>0</v>
      </c>
      <c r="Q3444">
        <v>0</v>
      </c>
      <c r="R3444">
        <v>0</v>
      </c>
      <c r="S3444">
        <v>0</v>
      </c>
      <c r="T3444">
        <v>0</v>
      </c>
      <c r="U3444">
        <v>0</v>
      </c>
      <c r="V3444">
        <v>27</v>
      </c>
      <c r="W3444">
        <v>189</v>
      </c>
      <c r="X3444">
        <v>0</v>
      </c>
      <c r="Z3444">
        <v>0</v>
      </c>
      <c r="AA3444">
        <v>0</v>
      </c>
      <c r="AB3444">
        <v>0</v>
      </c>
      <c r="AC3444">
        <v>0</v>
      </c>
      <c r="AD3444">
        <v>901</v>
      </c>
    </row>
    <row r="3445" spans="1:30" x14ac:dyDescent="0.25">
      <c r="H3445" t="s">
        <v>5173</v>
      </c>
    </row>
    <row r="3446" spans="1:30" x14ac:dyDescent="0.25">
      <c r="A3446">
        <v>1720</v>
      </c>
      <c r="B3446">
        <v>771</v>
      </c>
      <c r="C3446" t="s">
        <v>6338</v>
      </c>
      <c r="D3446" t="s">
        <v>869</v>
      </c>
      <c r="E3446" t="s">
        <v>51</v>
      </c>
      <c r="F3446" t="s">
        <v>6339</v>
      </c>
      <c r="G3446" t="str">
        <f>"201412000231"</f>
        <v>201412000231</v>
      </c>
      <c r="H3446" t="s">
        <v>383</v>
      </c>
      <c r="I3446">
        <v>0</v>
      </c>
      <c r="J3446">
        <v>0</v>
      </c>
      <c r="K3446">
        <v>0</v>
      </c>
      <c r="L3446">
        <v>0</v>
      </c>
      <c r="M3446">
        <v>0</v>
      </c>
      <c r="N3446">
        <v>50</v>
      </c>
      <c r="O3446">
        <v>0</v>
      </c>
      <c r="P3446">
        <v>0</v>
      </c>
      <c r="Q3446">
        <v>0</v>
      </c>
      <c r="R3446">
        <v>0</v>
      </c>
      <c r="S3446">
        <v>0</v>
      </c>
      <c r="T3446">
        <v>0</v>
      </c>
      <c r="U3446">
        <v>0</v>
      </c>
      <c r="V3446">
        <v>0</v>
      </c>
      <c r="W3446">
        <v>0</v>
      </c>
      <c r="X3446">
        <v>0</v>
      </c>
      <c r="Z3446">
        <v>0</v>
      </c>
      <c r="AA3446">
        <v>0</v>
      </c>
      <c r="AB3446">
        <v>0</v>
      </c>
      <c r="AC3446">
        <v>0</v>
      </c>
      <c r="AD3446" t="s">
        <v>6340</v>
      </c>
    </row>
    <row r="3447" spans="1:30" x14ac:dyDescent="0.25">
      <c r="H3447" t="s">
        <v>6341</v>
      </c>
    </row>
    <row r="3448" spans="1:30" x14ac:dyDescent="0.25">
      <c r="A3448">
        <v>1721</v>
      </c>
      <c r="B3448">
        <v>1030</v>
      </c>
      <c r="C3448" t="s">
        <v>6342</v>
      </c>
      <c r="D3448" t="s">
        <v>46</v>
      </c>
      <c r="E3448" t="s">
        <v>6343</v>
      </c>
      <c r="F3448" t="s">
        <v>6344</v>
      </c>
      <c r="G3448" t="str">
        <f>"201412003121"</f>
        <v>201412003121</v>
      </c>
      <c r="H3448" t="s">
        <v>1150</v>
      </c>
      <c r="I3448">
        <v>0</v>
      </c>
      <c r="J3448">
        <v>0</v>
      </c>
      <c r="K3448">
        <v>0</v>
      </c>
      <c r="L3448">
        <v>0</v>
      </c>
      <c r="M3448">
        <v>0</v>
      </c>
      <c r="N3448">
        <v>30</v>
      </c>
      <c r="O3448">
        <v>0</v>
      </c>
      <c r="P3448">
        <v>0</v>
      </c>
      <c r="Q3448">
        <v>0</v>
      </c>
      <c r="R3448">
        <v>0</v>
      </c>
      <c r="S3448">
        <v>0</v>
      </c>
      <c r="T3448">
        <v>0</v>
      </c>
      <c r="U3448">
        <v>0</v>
      </c>
      <c r="V3448">
        <v>24</v>
      </c>
      <c r="W3448">
        <v>168</v>
      </c>
      <c r="X3448">
        <v>0</v>
      </c>
      <c r="Z3448">
        <v>1</v>
      </c>
      <c r="AA3448">
        <v>0</v>
      </c>
      <c r="AB3448">
        <v>0</v>
      </c>
      <c r="AC3448">
        <v>0</v>
      </c>
      <c r="AD3448" t="s">
        <v>178</v>
      </c>
    </row>
    <row r="3449" spans="1:30" x14ac:dyDescent="0.25">
      <c r="H3449" t="s">
        <v>6345</v>
      </c>
    </row>
    <row r="3450" spans="1:30" x14ac:dyDescent="0.25">
      <c r="A3450">
        <v>1722</v>
      </c>
      <c r="B3450">
        <v>2079</v>
      </c>
      <c r="C3450" t="s">
        <v>6346</v>
      </c>
      <c r="D3450" t="s">
        <v>39</v>
      </c>
      <c r="E3450" t="s">
        <v>183</v>
      </c>
      <c r="F3450" t="s">
        <v>6347</v>
      </c>
      <c r="G3450" t="str">
        <f>"201512002246"</f>
        <v>201512002246</v>
      </c>
      <c r="H3450" t="s">
        <v>1251</v>
      </c>
      <c r="I3450">
        <v>0</v>
      </c>
      <c r="J3450">
        <v>0</v>
      </c>
      <c r="K3450">
        <v>0</v>
      </c>
      <c r="L3450">
        <v>0</v>
      </c>
      <c r="M3450">
        <v>0</v>
      </c>
      <c r="N3450">
        <v>50</v>
      </c>
      <c r="O3450">
        <v>0</v>
      </c>
      <c r="P3450">
        <v>0</v>
      </c>
      <c r="Q3450">
        <v>0</v>
      </c>
      <c r="R3450">
        <v>0</v>
      </c>
      <c r="S3450">
        <v>0</v>
      </c>
      <c r="T3450">
        <v>0</v>
      </c>
      <c r="U3450">
        <v>0</v>
      </c>
      <c r="V3450">
        <v>22</v>
      </c>
      <c r="W3450">
        <v>154</v>
      </c>
      <c r="X3450">
        <v>0</v>
      </c>
      <c r="Z3450">
        <v>0</v>
      </c>
      <c r="AA3450">
        <v>0</v>
      </c>
      <c r="AB3450">
        <v>0</v>
      </c>
      <c r="AC3450">
        <v>0</v>
      </c>
      <c r="AD3450" t="s">
        <v>6348</v>
      </c>
    </row>
    <row r="3451" spans="1:30" x14ac:dyDescent="0.25">
      <c r="H3451" t="s">
        <v>6349</v>
      </c>
    </row>
    <row r="3452" spans="1:30" x14ac:dyDescent="0.25">
      <c r="A3452">
        <v>1723</v>
      </c>
      <c r="B3452">
        <v>4757</v>
      </c>
      <c r="C3452" t="s">
        <v>6350</v>
      </c>
      <c r="D3452" t="s">
        <v>59</v>
      </c>
      <c r="E3452" t="s">
        <v>162</v>
      </c>
      <c r="F3452" t="s">
        <v>6351</v>
      </c>
      <c r="G3452" t="str">
        <f>"201512003515"</f>
        <v>201512003515</v>
      </c>
      <c r="H3452">
        <v>759</v>
      </c>
      <c r="I3452">
        <v>0</v>
      </c>
      <c r="J3452">
        <v>0</v>
      </c>
      <c r="K3452">
        <v>0</v>
      </c>
      <c r="L3452">
        <v>0</v>
      </c>
      <c r="M3452">
        <v>0</v>
      </c>
      <c r="N3452">
        <v>0</v>
      </c>
      <c r="O3452">
        <v>0</v>
      </c>
      <c r="P3452">
        <v>0</v>
      </c>
      <c r="Q3452">
        <v>0</v>
      </c>
      <c r="R3452">
        <v>0</v>
      </c>
      <c r="S3452">
        <v>0</v>
      </c>
      <c r="T3452">
        <v>0</v>
      </c>
      <c r="U3452">
        <v>0</v>
      </c>
      <c r="V3452">
        <v>20</v>
      </c>
      <c r="W3452">
        <v>140</v>
      </c>
      <c r="X3452">
        <v>0</v>
      </c>
      <c r="Z3452">
        <v>0</v>
      </c>
      <c r="AA3452">
        <v>0</v>
      </c>
      <c r="AB3452">
        <v>0</v>
      </c>
      <c r="AC3452">
        <v>0</v>
      </c>
      <c r="AD3452">
        <v>899</v>
      </c>
    </row>
    <row r="3453" spans="1:30" x14ac:dyDescent="0.25">
      <c r="H3453" t="s">
        <v>6352</v>
      </c>
    </row>
    <row r="3454" spans="1:30" x14ac:dyDescent="0.25">
      <c r="A3454">
        <v>1724</v>
      </c>
      <c r="B3454">
        <v>5146</v>
      </c>
      <c r="C3454" t="s">
        <v>6353</v>
      </c>
      <c r="D3454" t="s">
        <v>223</v>
      </c>
      <c r="E3454" t="s">
        <v>151</v>
      </c>
      <c r="F3454" t="s">
        <v>6354</v>
      </c>
      <c r="G3454" t="str">
        <f>"201511042848"</f>
        <v>201511042848</v>
      </c>
      <c r="H3454" t="s">
        <v>6316</v>
      </c>
      <c r="I3454">
        <v>0</v>
      </c>
      <c r="J3454">
        <v>0</v>
      </c>
      <c r="K3454">
        <v>0</v>
      </c>
      <c r="L3454">
        <v>0</v>
      </c>
      <c r="M3454">
        <v>0</v>
      </c>
      <c r="N3454">
        <v>30</v>
      </c>
      <c r="O3454">
        <v>0</v>
      </c>
      <c r="P3454">
        <v>0</v>
      </c>
      <c r="Q3454">
        <v>0</v>
      </c>
      <c r="R3454">
        <v>0</v>
      </c>
      <c r="S3454">
        <v>0</v>
      </c>
      <c r="T3454">
        <v>0</v>
      </c>
      <c r="U3454">
        <v>0</v>
      </c>
      <c r="V3454">
        <v>5</v>
      </c>
      <c r="W3454">
        <v>35</v>
      </c>
      <c r="X3454">
        <v>0</v>
      </c>
      <c r="Z3454">
        <v>0</v>
      </c>
      <c r="AA3454">
        <v>0</v>
      </c>
      <c r="AB3454">
        <v>0</v>
      </c>
      <c r="AC3454">
        <v>0</v>
      </c>
      <c r="AD3454" t="s">
        <v>6355</v>
      </c>
    </row>
    <row r="3455" spans="1:30" x14ac:dyDescent="0.25">
      <c r="H3455" t="s">
        <v>6356</v>
      </c>
    </row>
    <row r="3456" spans="1:30" x14ac:dyDescent="0.25">
      <c r="A3456">
        <v>1725</v>
      </c>
      <c r="B3456">
        <v>4167</v>
      </c>
      <c r="C3456" t="s">
        <v>6357</v>
      </c>
      <c r="D3456" t="s">
        <v>636</v>
      </c>
      <c r="E3456" t="s">
        <v>2405</v>
      </c>
      <c r="F3456" t="s">
        <v>6358</v>
      </c>
      <c r="G3456" t="str">
        <f>"00360685"</f>
        <v>00360685</v>
      </c>
      <c r="H3456" t="s">
        <v>1930</v>
      </c>
      <c r="I3456">
        <v>0</v>
      </c>
      <c r="J3456">
        <v>0</v>
      </c>
      <c r="K3456">
        <v>0</v>
      </c>
      <c r="L3456">
        <v>0</v>
      </c>
      <c r="M3456">
        <v>0</v>
      </c>
      <c r="N3456">
        <v>30</v>
      </c>
      <c r="O3456">
        <v>0</v>
      </c>
      <c r="P3456">
        <v>0</v>
      </c>
      <c r="Q3456">
        <v>0</v>
      </c>
      <c r="R3456">
        <v>0</v>
      </c>
      <c r="S3456">
        <v>0</v>
      </c>
      <c r="T3456">
        <v>0</v>
      </c>
      <c r="U3456">
        <v>0</v>
      </c>
      <c r="V3456">
        <v>24</v>
      </c>
      <c r="W3456">
        <v>168</v>
      </c>
      <c r="X3456">
        <v>0</v>
      </c>
      <c r="Z3456">
        <v>0</v>
      </c>
      <c r="AA3456">
        <v>0</v>
      </c>
      <c r="AB3456">
        <v>0</v>
      </c>
      <c r="AC3456">
        <v>0</v>
      </c>
      <c r="AD3456" t="s">
        <v>1155</v>
      </c>
    </row>
    <row r="3457" spans="1:30" x14ac:dyDescent="0.25">
      <c r="H3457" t="s">
        <v>6359</v>
      </c>
    </row>
    <row r="3458" spans="1:30" x14ac:dyDescent="0.25">
      <c r="A3458">
        <v>1726</v>
      </c>
      <c r="B3458">
        <v>4153</v>
      </c>
      <c r="C3458" t="s">
        <v>6360</v>
      </c>
      <c r="D3458" t="s">
        <v>3669</v>
      </c>
      <c r="E3458" t="s">
        <v>190</v>
      </c>
      <c r="F3458" t="s">
        <v>6361</v>
      </c>
      <c r="G3458" t="str">
        <f>"200802007455"</f>
        <v>200802007455</v>
      </c>
      <c r="H3458">
        <v>814</v>
      </c>
      <c r="I3458">
        <v>0</v>
      </c>
      <c r="J3458">
        <v>0</v>
      </c>
      <c r="K3458">
        <v>0</v>
      </c>
      <c r="L3458">
        <v>0</v>
      </c>
      <c r="M3458">
        <v>0</v>
      </c>
      <c r="N3458">
        <v>0</v>
      </c>
      <c r="O3458">
        <v>0</v>
      </c>
      <c r="P3458">
        <v>0</v>
      </c>
      <c r="Q3458">
        <v>0</v>
      </c>
      <c r="R3458">
        <v>0</v>
      </c>
      <c r="S3458">
        <v>0</v>
      </c>
      <c r="T3458">
        <v>0</v>
      </c>
      <c r="U3458">
        <v>0</v>
      </c>
      <c r="V3458">
        <v>12</v>
      </c>
      <c r="W3458">
        <v>84</v>
      </c>
      <c r="X3458">
        <v>0</v>
      </c>
      <c r="Z3458">
        <v>2</v>
      </c>
      <c r="AA3458">
        <v>0</v>
      </c>
      <c r="AB3458">
        <v>0</v>
      </c>
      <c r="AC3458">
        <v>0</v>
      </c>
      <c r="AD3458">
        <v>898</v>
      </c>
    </row>
    <row r="3459" spans="1:30" x14ac:dyDescent="0.25">
      <c r="H3459" t="s">
        <v>6362</v>
      </c>
    </row>
    <row r="3460" spans="1:30" x14ac:dyDescent="0.25">
      <c r="A3460">
        <v>1727</v>
      </c>
      <c r="B3460">
        <v>3513</v>
      </c>
      <c r="C3460" t="s">
        <v>6363</v>
      </c>
      <c r="D3460" t="s">
        <v>6364</v>
      </c>
      <c r="E3460" t="s">
        <v>107</v>
      </c>
      <c r="F3460" t="s">
        <v>6365</v>
      </c>
      <c r="G3460" t="str">
        <f>"00348630"</f>
        <v>00348630</v>
      </c>
      <c r="H3460" t="s">
        <v>369</v>
      </c>
      <c r="I3460">
        <v>0</v>
      </c>
      <c r="J3460">
        <v>0</v>
      </c>
      <c r="K3460">
        <v>0</v>
      </c>
      <c r="L3460">
        <v>0</v>
      </c>
      <c r="M3460">
        <v>0</v>
      </c>
      <c r="N3460">
        <v>0</v>
      </c>
      <c r="O3460">
        <v>0</v>
      </c>
      <c r="P3460">
        <v>0</v>
      </c>
      <c r="Q3460">
        <v>0</v>
      </c>
      <c r="R3460">
        <v>0</v>
      </c>
      <c r="S3460">
        <v>0</v>
      </c>
      <c r="T3460">
        <v>0</v>
      </c>
      <c r="U3460">
        <v>0</v>
      </c>
      <c r="V3460">
        <v>-24</v>
      </c>
      <c r="W3460">
        <v>-168</v>
      </c>
      <c r="X3460">
        <v>0</v>
      </c>
      <c r="Z3460">
        <v>0</v>
      </c>
      <c r="AA3460">
        <v>0</v>
      </c>
      <c r="AB3460">
        <v>24</v>
      </c>
      <c r="AC3460">
        <v>408</v>
      </c>
      <c r="AD3460" t="s">
        <v>6366</v>
      </c>
    </row>
    <row r="3461" spans="1:30" x14ac:dyDescent="0.25">
      <c r="H3461" t="s">
        <v>6367</v>
      </c>
    </row>
    <row r="3462" spans="1:30" x14ac:dyDescent="0.25">
      <c r="A3462">
        <v>1728</v>
      </c>
      <c r="B3462">
        <v>1048</v>
      </c>
      <c r="C3462" t="s">
        <v>6368</v>
      </c>
      <c r="D3462" t="s">
        <v>107</v>
      </c>
      <c r="E3462" t="s">
        <v>509</v>
      </c>
      <c r="F3462" t="s">
        <v>6369</v>
      </c>
      <c r="G3462" t="str">
        <f>"201412002181"</f>
        <v>201412002181</v>
      </c>
      <c r="H3462" t="s">
        <v>2534</v>
      </c>
      <c r="I3462">
        <v>0</v>
      </c>
      <c r="J3462">
        <v>0</v>
      </c>
      <c r="K3462">
        <v>0</v>
      </c>
      <c r="L3462">
        <v>0</v>
      </c>
      <c r="M3462">
        <v>0</v>
      </c>
      <c r="N3462">
        <v>30</v>
      </c>
      <c r="O3462">
        <v>0</v>
      </c>
      <c r="P3462">
        <v>0</v>
      </c>
      <c r="Q3462">
        <v>0</v>
      </c>
      <c r="R3462">
        <v>0</v>
      </c>
      <c r="S3462">
        <v>0</v>
      </c>
      <c r="T3462">
        <v>0</v>
      </c>
      <c r="U3462">
        <v>0</v>
      </c>
      <c r="V3462">
        <v>0</v>
      </c>
      <c r="W3462">
        <v>0</v>
      </c>
      <c r="X3462">
        <v>0</v>
      </c>
      <c r="Z3462">
        <v>2</v>
      </c>
      <c r="AA3462">
        <v>0</v>
      </c>
      <c r="AB3462">
        <v>14</v>
      </c>
      <c r="AC3462">
        <v>238</v>
      </c>
      <c r="AD3462" t="s">
        <v>6370</v>
      </c>
    </row>
    <row r="3463" spans="1:30" x14ac:dyDescent="0.25">
      <c r="H3463" t="s">
        <v>6371</v>
      </c>
    </row>
    <row r="3464" spans="1:30" x14ac:dyDescent="0.25">
      <c r="A3464">
        <v>1729</v>
      </c>
      <c r="B3464">
        <v>1736</v>
      </c>
      <c r="C3464" t="s">
        <v>6372</v>
      </c>
      <c r="D3464" t="s">
        <v>2713</v>
      </c>
      <c r="E3464" t="s">
        <v>51</v>
      </c>
      <c r="F3464" t="s">
        <v>6373</v>
      </c>
      <c r="G3464" t="str">
        <f>"00235823"</f>
        <v>00235823</v>
      </c>
      <c r="H3464" t="s">
        <v>1345</v>
      </c>
      <c r="I3464">
        <v>0</v>
      </c>
      <c r="J3464">
        <v>0</v>
      </c>
      <c r="K3464">
        <v>0</v>
      </c>
      <c r="L3464">
        <v>0</v>
      </c>
      <c r="M3464">
        <v>0</v>
      </c>
      <c r="N3464">
        <v>0</v>
      </c>
      <c r="O3464">
        <v>0</v>
      </c>
      <c r="P3464">
        <v>0</v>
      </c>
      <c r="Q3464">
        <v>0</v>
      </c>
      <c r="R3464">
        <v>0</v>
      </c>
      <c r="S3464">
        <v>0</v>
      </c>
      <c r="T3464">
        <v>0</v>
      </c>
      <c r="U3464">
        <v>0</v>
      </c>
      <c r="V3464">
        <v>2</v>
      </c>
      <c r="W3464">
        <v>14</v>
      </c>
      <c r="X3464">
        <v>0</v>
      </c>
      <c r="Z3464">
        <v>0</v>
      </c>
      <c r="AA3464">
        <v>0</v>
      </c>
      <c r="AB3464">
        <v>8</v>
      </c>
      <c r="AC3464">
        <v>136</v>
      </c>
      <c r="AD3464" t="s">
        <v>6374</v>
      </c>
    </row>
    <row r="3465" spans="1:30" x14ac:dyDescent="0.25">
      <c r="H3465" t="s">
        <v>6375</v>
      </c>
    </row>
    <row r="3466" spans="1:30" x14ac:dyDescent="0.25">
      <c r="A3466">
        <v>1730</v>
      </c>
      <c r="B3466">
        <v>4842</v>
      </c>
      <c r="C3466" t="s">
        <v>6376</v>
      </c>
      <c r="D3466" t="s">
        <v>162</v>
      </c>
      <c r="E3466" t="s">
        <v>40</v>
      </c>
      <c r="F3466" t="s">
        <v>6377</v>
      </c>
      <c r="G3466" t="str">
        <f>"201510000083"</f>
        <v>201510000083</v>
      </c>
      <c r="H3466" t="s">
        <v>1595</v>
      </c>
      <c r="I3466">
        <v>0</v>
      </c>
      <c r="J3466">
        <v>0</v>
      </c>
      <c r="K3466">
        <v>0</v>
      </c>
      <c r="L3466">
        <v>0</v>
      </c>
      <c r="M3466">
        <v>0</v>
      </c>
      <c r="N3466">
        <v>30</v>
      </c>
      <c r="O3466">
        <v>0</v>
      </c>
      <c r="P3466">
        <v>0</v>
      </c>
      <c r="Q3466">
        <v>0</v>
      </c>
      <c r="R3466">
        <v>0</v>
      </c>
      <c r="S3466">
        <v>0</v>
      </c>
      <c r="T3466">
        <v>0</v>
      </c>
      <c r="U3466">
        <v>0</v>
      </c>
      <c r="V3466">
        <v>16</v>
      </c>
      <c r="W3466">
        <v>112</v>
      </c>
      <c r="X3466">
        <v>0</v>
      </c>
      <c r="Z3466">
        <v>0</v>
      </c>
      <c r="AA3466">
        <v>0</v>
      </c>
      <c r="AB3466">
        <v>8</v>
      </c>
      <c r="AC3466">
        <v>136</v>
      </c>
      <c r="AD3466" t="s">
        <v>6378</v>
      </c>
    </row>
    <row r="3467" spans="1:30" x14ac:dyDescent="0.25">
      <c r="H3467" t="s">
        <v>6379</v>
      </c>
    </row>
    <row r="3468" spans="1:30" x14ac:dyDescent="0.25">
      <c r="A3468">
        <v>1731</v>
      </c>
      <c r="B3468">
        <v>3297</v>
      </c>
      <c r="C3468" t="s">
        <v>6380</v>
      </c>
      <c r="D3468" t="s">
        <v>6381</v>
      </c>
      <c r="E3468" t="s">
        <v>47</v>
      </c>
      <c r="F3468" t="s">
        <v>6382</v>
      </c>
      <c r="G3468" t="str">
        <f>"00360241"</f>
        <v>00360241</v>
      </c>
      <c r="H3468" t="s">
        <v>896</v>
      </c>
      <c r="I3468">
        <v>0</v>
      </c>
      <c r="J3468">
        <v>0</v>
      </c>
      <c r="K3468">
        <v>0</v>
      </c>
      <c r="L3468">
        <v>0</v>
      </c>
      <c r="M3468">
        <v>0</v>
      </c>
      <c r="N3468">
        <v>70</v>
      </c>
      <c r="O3468">
        <v>0</v>
      </c>
      <c r="P3468">
        <v>0</v>
      </c>
      <c r="Q3468">
        <v>30</v>
      </c>
      <c r="R3468">
        <v>0</v>
      </c>
      <c r="S3468">
        <v>0</v>
      </c>
      <c r="T3468">
        <v>0</v>
      </c>
      <c r="U3468">
        <v>0</v>
      </c>
      <c r="V3468">
        <v>0</v>
      </c>
      <c r="W3468">
        <v>0</v>
      </c>
      <c r="X3468">
        <v>0</v>
      </c>
      <c r="Z3468">
        <v>0</v>
      </c>
      <c r="AA3468">
        <v>0</v>
      </c>
      <c r="AB3468">
        <v>0</v>
      </c>
      <c r="AC3468">
        <v>0</v>
      </c>
      <c r="AD3468" t="s">
        <v>6383</v>
      </c>
    </row>
    <row r="3469" spans="1:30" x14ac:dyDescent="0.25">
      <c r="H3469" t="s">
        <v>6384</v>
      </c>
    </row>
    <row r="3470" spans="1:30" x14ac:dyDescent="0.25">
      <c r="A3470">
        <v>1732</v>
      </c>
      <c r="B3470">
        <v>424</v>
      </c>
      <c r="C3470" t="s">
        <v>5739</v>
      </c>
      <c r="D3470" t="s">
        <v>183</v>
      </c>
      <c r="E3470" t="s">
        <v>595</v>
      </c>
      <c r="F3470" t="s">
        <v>6385</v>
      </c>
      <c r="G3470" t="str">
        <f>"00297487"</f>
        <v>00297487</v>
      </c>
      <c r="H3470" t="s">
        <v>553</v>
      </c>
      <c r="I3470">
        <v>0</v>
      </c>
      <c r="J3470">
        <v>0</v>
      </c>
      <c r="K3470">
        <v>0</v>
      </c>
      <c r="L3470">
        <v>0</v>
      </c>
      <c r="M3470">
        <v>0</v>
      </c>
      <c r="N3470">
        <v>0</v>
      </c>
      <c r="O3470">
        <v>0</v>
      </c>
      <c r="P3470">
        <v>0</v>
      </c>
      <c r="Q3470">
        <v>0</v>
      </c>
      <c r="R3470">
        <v>0</v>
      </c>
      <c r="S3470">
        <v>0</v>
      </c>
      <c r="T3470">
        <v>0</v>
      </c>
      <c r="U3470">
        <v>0</v>
      </c>
      <c r="V3470">
        <v>12</v>
      </c>
      <c r="W3470">
        <v>84</v>
      </c>
      <c r="X3470">
        <v>0</v>
      </c>
      <c r="Z3470">
        <v>1</v>
      </c>
      <c r="AA3470">
        <v>0</v>
      </c>
      <c r="AB3470">
        <v>0</v>
      </c>
      <c r="AC3470">
        <v>0</v>
      </c>
      <c r="AD3470" t="s">
        <v>6386</v>
      </c>
    </row>
    <row r="3471" spans="1:30" x14ac:dyDescent="0.25">
      <c r="H3471" t="s">
        <v>6387</v>
      </c>
    </row>
    <row r="3472" spans="1:30" x14ac:dyDescent="0.25">
      <c r="A3472">
        <v>1733</v>
      </c>
      <c r="B3472">
        <v>4319</v>
      </c>
      <c r="C3472" t="s">
        <v>6388</v>
      </c>
      <c r="D3472" t="s">
        <v>1986</v>
      </c>
      <c r="E3472" t="s">
        <v>290</v>
      </c>
      <c r="F3472" t="s">
        <v>6389</v>
      </c>
      <c r="G3472" t="str">
        <f>"00362055"</f>
        <v>00362055</v>
      </c>
      <c r="H3472" t="s">
        <v>198</v>
      </c>
      <c r="I3472">
        <v>0</v>
      </c>
      <c r="J3472">
        <v>0</v>
      </c>
      <c r="K3472">
        <v>0</v>
      </c>
      <c r="L3472">
        <v>0</v>
      </c>
      <c r="M3472">
        <v>0</v>
      </c>
      <c r="N3472">
        <v>70</v>
      </c>
      <c r="O3472">
        <v>0</v>
      </c>
      <c r="P3472">
        <v>0</v>
      </c>
      <c r="Q3472">
        <v>0</v>
      </c>
      <c r="R3472">
        <v>0</v>
      </c>
      <c r="S3472">
        <v>0</v>
      </c>
      <c r="T3472">
        <v>0</v>
      </c>
      <c r="U3472">
        <v>0</v>
      </c>
      <c r="V3472">
        <v>0</v>
      </c>
      <c r="W3472">
        <v>0</v>
      </c>
      <c r="X3472">
        <v>0</v>
      </c>
      <c r="Z3472">
        <v>0</v>
      </c>
      <c r="AA3472">
        <v>0</v>
      </c>
      <c r="AB3472">
        <v>0</v>
      </c>
      <c r="AC3472">
        <v>0</v>
      </c>
      <c r="AD3472" t="s">
        <v>6390</v>
      </c>
    </row>
    <row r="3473" spans="1:30" x14ac:dyDescent="0.25">
      <c r="H3473" t="s">
        <v>6391</v>
      </c>
    </row>
    <row r="3474" spans="1:30" x14ac:dyDescent="0.25">
      <c r="A3474">
        <v>1734</v>
      </c>
      <c r="B3474">
        <v>6121</v>
      </c>
      <c r="C3474" t="s">
        <v>6392</v>
      </c>
      <c r="D3474" t="s">
        <v>3732</v>
      </c>
      <c r="E3474" t="s">
        <v>1039</v>
      </c>
      <c r="F3474" t="s">
        <v>6393</v>
      </c>
      <c r="G3474" t="str">
        <f>"201507001510"</f>
        <v>201507001510</v>
      </c>
      <c r="H3474" t="s">
        <v>1150</v>
      </c>
      <c r="I3474">
        <v>0</v>
      </c>
      <c r="J3474">
        <v>0</v>
      </c>
      <c r="K3474">
        <v>0</v>
      </c>
      <c r="L3474">
        <v>0</v>
      </c>
      <c r="M3474">
        <v>0</v>
      </c>
      <c r="N3474">
        <v>30</v>
      </c>
      <c r="O3474">
        <v>0</v>
      </c>
      <c r="P3474">
        <v>0</v>
      </c>
      <c r="Q3474">
        <v>0</v>
      </c>
      <c r="R3474">
        <v>0</v>
      </c>
      <c r="S3474">
        <v>0</v>
      </c>
      <c r="T3474">
        <v>0</v>
      </c>
      <c r="U3474">
        <v>0</v>
      </c>
      <c r="V3474">
        <v>23</v>
      </c>
      <c r="W3474">
        <v>161</v>
      </c>
      <c r="X3474">
        <v>0</v>
      </c>
      <c r="Z3474">
        <v>0</v>
      </c>
      <c r="AA3474">
        <v>0</v>
      </c>
      <c r="AB3474">
        <v>0</v>
      </c>
      <c r="AC3474">
        <v>0</v>
      </c>
      <c r="AD3474" t="s">
        <v>6390</v>
      </c>
    </row>
    <row r="3475" spans="1:30" x14ac:dyDescent="0.25">
      <c r="H3475" t="s">
        <v>6394</v>
      </c>
    </row>
    <row r="3476" spans="1:30" x14ac:dyDescent="0.25">
      <c r="A3476">
        <v>1735</v>
      </c>
      <c r="B3476">
        <v>3724</v>
      </c>
      <c r="C3476" t="s">
        <v>6395</v>
      </c>
      <c r="D3476" t="s">
        <v>6396</v>
      </c>
      <c r="E3476" t="s">
        <v>974</v>
      </c>
      <c r="F3476" t="s">
        <v>6397</v>
      </c>
      <c r="G3476" t="str">
        <f>"00344005"</f>
        <v>00344005</v>
      </c>
      <c r="H3476" t="s">
        <v>2682</v>
      </c>
      <c r="I3476">
        <v>0</v>
      </c>
      <c r="J3476">
        <v>0</v>
      </c>
      <c r="K3476">
        <v>0</v>
      </c>
      <c r="L3476">
        <v>0</v>
      </c>
      <c r="M3476">
        <v>0</v>
      </c>
      <c r="N3476">
        <v>30</v>
      </c>
      <c r="O3476">
        <v>0</v>
      </c>
      <c r="P3476">
        <v>0</v>
      </c>
      <c r="Q3476">
        <v>0</v>
      </c>
      <c r="R3476">
        <v>0</v>
      </c>
      <c r="S3476">
        <v>0</v>
      </c>
      <c r="T3476">
        <v>0</v>
      </c>
      <c r="U3476">
        <v>0</v>
      </c>
      <c r="V3476">
        <v>17</v>
      </c>
      <c r="W3476">
        <v>119</v>
      </c>
      <c r="X3476">
        <v>0</v>
      </c>
      <c r="Z3476">
        <v>0</v>
      </c>
      <c r="AA3476">
        <v>0</v>
      </c>
      <c r="AB3476">
        <v>0</v>
      </c>
      <c r="AC3476">
        <v>0</v>
      </c>
      <c r="AD3476" t="s">
        <v>6398</v>
      </c>
    </row>
    <row r="3477" spans="1:30" x14ac:dyDescent="0.25">
      <c r="H3477" t="s">
        <v>6399</v>
      </c>
    </row>
    <row r="3478" spans="1:30" x14ac:dyDescent="0.25">
      <c r="A3478">
        <v>1736</v>
      </c>
      <c r="B3478">
        <v>6160</v>
      </c>
      <c r="C3478" t="s">
        <v>6400</v>
      </c>
      <c r="D3478" t="s">
        <v>134</v>
      </c>
      <c r="E3478" t="s">
        <v>47</v>
      </c>
      <c r="F3478" t="s">
        <v>6401</v>
      </c>
      <c r="G3478" t="str">
        <f>"201406000778"</f>
        <v>201406000778</v>
      </c>
      <c r="H3478" t="s">
        <v>311</v>
      </c>
      <c r="I3478">
        <v>0</v>
      </c>
      <c r="J3478">
        <v>0</v>
      </c>
      <c r="K3478">
        <v>0</v>
      </c>
      <c r="L3478">
        <v>0</v>
      </c>
      <c r="M3478">
        <v>0</v>
      </c>
      <c r="N3478">
        <v>30</v>
      </c>
      <c r="O3478">
        <v>0</v>
      </c>
      <c r="P3478">
        <v>0</v>
      </c>
      <c r="Q3478">
        <v>0</v>
      </c>
      <c r="R3478">
        <v>0</v>
      </c>
      <c r="S3478">
        <v>0</v>
      </c>
      <c r="T3478">
        <v>0</v>
      </c>
      <c r="U3478">
        <v>0</v>
      </c>
      <c r="V3478">
        <v>19</v>
      </c>
      <c r="W3478">
        <v>133</v>
      </c>
      <c r="X3478">
        <v>0</v>
      </c>
      <c r="Z3478">
        <v>0</v>
      </c>
      <c r="AA3478">
        <v>0</v>
      </c>
      <c r="AB3478">
        <v>0</v>
      </c>
      <c r="AC3478">
        <v>0</v>
      </c>
      <c r="AD3478" t="s">
        <v>6402</v>
      </c>
    </row>
    <row r="3479" spans="1:30" x14ac:dyDescent="0.25">
      <c r="H3479" t="s">
        <v>6403</v>
      </c>
    </row>
    <row r="3480" spans="1:30" x14ac:dyDescent="0.25">
      <c r="A3480">
        <v>1737</v>
      </c>
      <c r="B3480">
        <v>6260</v>
      </c>
      <c r="C3480" t="s">
        <v>6267</v>
      </c>
      <c r="D3480" t="s">
        <v>176</v>
      </c>
      <c r="E3480" t="s">
        <v>39</v>
      </c>
      <c r="F3480" t="s">
        <v>6404</v>
      </c>
      <c r="G3480" t="str">
        <f>"201512001306"</f>
        <v>201512001306</v>
      </c>
      <c r="H3480" t="s">
        <v>168</v>
      </c>
      <c r="I3480">
        <v>0</v>
      </c>
      <c r="J3480">
        <v>0</v>
      </c>
      <c r="K3480">
        <v>0</v>
      </c>
      <c r="L3480">
        <v>0</v>
      </c>
      <c r="M3480">
        <v>0</v>
      </c>
      <c r="N3480">
        <v>70</v>
      </c>
      <c r="O3480">
        <v>0</v>
      </c>
      <c r="P3480">
        <v>0</v>
      </c>
      <c r="Q3480">
        <v>0</v>
      </c>
      <c r="R3480">
        <v>30</v>
      </c>
      <c r="S3480">
        <v>0</v>
      </c>
      <c r="T3480">
        <v>0</v>
      </c>
      <c r="U3480">
        <v>0</v>
      </c>
      <c r="V3480">
        <v>0</v>
      </c>
      <c r="W3480">
        <v>0</v>
      </c>
      <c r="X3480">
        <v>0</v>
      </c>
      <c r="Z3480">
        <v>0</v>
      </c>
      <c r="AA3480">
        <v>0</v>
      </c>
      <c r="AB3480">
        <v>0</v>
      </c>
      <c r="AC3480">
        <v>0</v>
      </c>
      <c r="AD3480" t="s">
        <v>6405</v>
      </c>
    </row>
    <row r="3481" spans="1:30" x14ac:dyDescent="0.25">
      <c r="H3481">
        <v>1249</v>
      </c>
    </row>
    <row r="3482" spans="1:30" x14ac:dyDescent="0.25">
      <c r="A3482">
        <v>1738</v>
      </c>
      <c r="B3482">
        <v>2490</v>
      </c>
      <c r="C3482" t="s">
        <v>6406</v>
      </c>
      <c r="D3482" t="s">
        <v>804</v>
      </c>
      <c r="E3482" t="s">
        <v>162</v>
      </c>
      <c r="F3482" t="s">
        <v>6407</v>
      </c>
      <c r="G3482" t="str">
        <f>"00326989"</f>
        <v>00326989</v>
      </c>
      <c r="H3482" t="s">
        <v>3113</v>
      </c>
      <c r="I3482">
        <v>0</v>
      </c>
      <c r="J3482">
        <v>0</v>
      </c>
      <c r="K3482">
        <v>0</v>
      </c>
      <c r="L3482">
        <v>0</v>
      </c>
      <c r="M3482">
        <v>0</v>
      </c>
      <c r="N3482">
        <v>70</v>
      </c>
      <c r="O3482">
        <v>0</v>
      </c>
      <c r="P3482">
        <v>0</v>
      </c>
      <c r="Q3482">
        <v>0</v>
      </c>
      <c r="R3482">
        <v>0</v>
      </c>
      <c r="S3482">
        <v>0</v>
      </c>
      <c r="T3482">
        <v>0</v>
      </c>
      <c r="U3482">
        <v>0</v>
      </c>
      <c r="V3482">
        <v>0</v>
      </c>
      <c r="W3482">
        <v>0</v>
      </c>
      <c r="X3482">
        <v>0</v>
      </c>
      <c r="Z3482">
        <v>0</v>
      </c>
      <c r="AA3482">
        <v>0</v>
      </c>
      <c r="AB3482">
        <v>0</v>
      </c>
      <c r="AC3482">
        <v>0</v>
      </c>
      <c r="AD3482" t="s">
        <v>6408</v>
      </c>
    </row>
    <row r="3483" spans="1:30" x14ac:dyDescent="0.25">
      <c r="H3483" t="s">
        <v>6409</v>
      </c>
    </row>
    <row r="3484" spans="1:30" x14ac:dyDescent="0.25">
      <c r="A3484">
        <v>1739</v>
      </c>
      <c r="B3484">
        <v>1661</v>
      </c>
      <c r="C3484" t="s">
        <v>6410</v>
      </c>
      <c r="D3484" t="s">
        <v>3691</v>
      </c>
      <c r="E3484" t="s">
        <v>378</v>
      </c>
      <c r="F3484" t="s">
        <v>6411</v>
      </c>
      <c r="G3484" t="str">
        <f>"00308518"</f>
        <v>00308518</v>
      </c>
      <c r="H3484">
        <v>759</v>
      </c>
      <c r="I3484">
        <v>0</v>
      </c>
      <c r="J3484">
        <v>0</v>
      </c>
      <c r="K3484">
        <v>0</v>
      </c>
      <c r="L3484">
        <v>0</v>
      </c>
      <c r="M3484">
        <v>100</v>
      </c>
      <c r="N3484">
        <v>30</v>
      </c>
      <c r="O3484">
        <v>0</v>
      </c>
      <c r="P3484">
        <v>0</v>
      </c>
      <c r="Q3484">
        <v>0</v>
      </c>
      <c r="R3484">
        <v>0</v>
      </c>
      <c r="S3484">
        <v>0</v>
      </c>
      <c r="T3484">
        <v>0</v>
      </c>
      <c r="U3484">
        <v>0</v>
      </c>
      <c r="V3484">
        <v>0</v>
      </c>
      <c r="W3484">
        <v>0</v>
      </c>
      <c r="X3484">
        <v>0</v>
      </c>
      <c r="Z3484">
        <v>2</v>
      </c>
      <c r="AA3484">
        <v>0</v>
      </c>
      <c r="AB3484">
        <v>0</v>
      </c>
      <c r="AC3484">
        <v>0</v>
      </c>
      <c r="AD3484">
        <v>889</v>
      </c>
    </row>
    <row r="3485" spans="1:30" x14ac:dyDescent="0.25">
      <c r="H3485" t="s">
        <v>6412</v>
      </c>
    </row>
    <row r="3486" spans="1:30" x14ac:dyDescent="0.25">
      <c r="A3486">
        <v>1740</v>
      </c>
      <c r="B3486">
        <v>1295</v>
      </c>
      <c r="C3486" t="s">
        <v>6413</v>
      </c>
      <c r="D3486" t="s">
        <v>271</v>
      </c>
      <c r="E3486" t="s">
        <v>51</v>
      </c>
      <c r="F3486" t="s">
        <v>6414</v>
      </c>
      <c r="G3486" t="str">
        <f>"00252309"</f>
        <v>00252309</v>
      </c>
      <c r="H3486" t="s">
        <v>612</v>
      </c>
      <c r="I3486">
        <v>0</v>
      </c>
      <c r="J3486">
        <v>0</v>
      </c>
      <c r="K3486">
        <v>0</v>
      </c>
      <c r="L3486">
        <v>0</v>
      </c>
      <c r="M3486">
        <v>0</v>
      </c>
      <c r="N3486">
        <v>30</v>
      </c>
      <c r="O3486">
        <v>0</v>
      </c>
      <c r="P3486">
        <v>30</v>
      </c>
      <c r="Q3486">
        <v>0</v>
      </c>
      <c r="R3486">
        <v>0</v>
      </c>
      <c r="S3486">
        <v>0</v>
      </c>
      <c r="T3486">
        <v>0</v>
      </c>
      <c r="U3486">
        <v>0</v>
      </c>
      <c r="V3486">
        <v>0</v>
      </c>
      <c r="W3486">
        <v>0</v>
      </c>
      <c r="X3486">
        <v>0</v>
      </c>
      <c r="Z3486">
        <v>0</v>
      </c>
      <c r="AA3486">
        <v>0</v>
      </c>
      <c r="AB3486">
        <v>0</v>
      </c>
      <c r="AC3486">
        <v>0</v>
      </c>
      <c r="AD3486" t="s">
        <v>6415</v>
      </c>
    </row>
    <row r="3487" spans="1:30" x14ac:dyDescent="0.25">
      <c r="H3487" t="s">
        <v>6416</v>
      </c>
    </row>
    <row r="3488" spans="1:30" x14ac:dyDescent="0.25">
      <c r="A3488">
        <v>1741</v>
      </c>
      <c r="B3488">
        <v>1398</v>
      </c>
      <c r="C3488" t="s">
        <v>6417</v>
      </c>
      <c r="D3488" t="s">
        <v>46</v>
      </c>
      <c r="E3488" t="s">
        <v>1039</v>
      </c>
      <c r="F3488" t="s">
        <v>6418</v>
      </c>
      <c r="G3488" t="str">
        <f>"00305057"</f>
        <v>00305057</v>
      </c>
      <c r="H3488">
        <v>858</v>
      </c>
      <c r="I3488">
        <v>0</v>
      </c>
      <c r="J3488">
        <v>0</v>
      </c>
      <c r="K3488">
        <v>0</v>
      </c>
      <c r="L3488">
        <v>0</v>
      </c>
      <c r="M3488">
        <v>0</v>
      </c>
      <c r="N3488">
        <v>30</v>
      </c>
      <c r="O3488">
        <v>0</v>
      </c>
      <c r="P3488">
        <v>0</v>
      </c>
      <c r="Q3488">
        <v>0</v>
      </c>
      <c r="R3488">
        <v>0</v>
      </c>
      <c r="S3488">
        <v>0</v>
      </c>
      <c r="T3488">
        <v>0</v>
      </c>
      <c r="U3488">
        <v>0</v>
      </c>
      <c r="V3488">
        <v>0</v>
      </c>
      <c r="W3488">
        <v>0</v>
      </c>
      <c r="X3488">
        <v>0</v>
      </c>
      <c r="Z3488">
        <v>0</v>
      </c>
      <c r="AA3488">
        <v>0</v>
      </c>
      <c r="AB3488">
        <v>0</v>
      </c>
      <c r="AC3488">
        <v>0</v>
      </c>
      <c r="AD3488">
        <v>888</v>
      </c>
    </row>
    <row r="3489" spans="1:30" x14ac:dyDescent="0.25">
      <c r="H3489" t="s">
        <v>6419</v>
      </c>
    </row>
    <row r="3490" spans="1:30" x14ac:dyDescent="0.25">
      <c r="A3490">
        <v>1742</v>
      </c>
      <c r="B3490">
        <v>4663</v>
      </c>
      <c r="C3490" t="s">
        <v>6420</v>
      </c>
      <c r="D3490" t="s">
        <v>6421</v>
      </c>
      <c r="E3490" t="s">
        <v>51</v>
      </c>
      <c r="F3490" t="s">
        <v>6422</v>
      </c>
      <c r="G3490" t="str">
        <f>"00231043"</f>
        <v>00231043</v>
      </c>
      <c r="H3490" t="s">
        <v>1546</v>
      </c>
      <c r="I3490">
        <v>0</v>
      </c>
      <c r="J3490">
        <v>0</v>
      </c>
      <c r="K3490">
        <v>0</v>
      </c>
      <c r="L3490">
        <v>0</v>
      </c>
      <c r="M3490">
        <v>0</v>
      </c>
      <c r="N3490">
        <v>70</v>
      </c>
      <c r="O3490">
        <v>0</v>
      </c>
      <c r="P3490">
        <v>0</v>
      </c>
      <c r="Q3490">
        <v>0</v>
      </c>
      <c r="R3490">
        <v>0</v>
      </c>
      <c r="S3490">
        <v>0</v>
      </c>
      <c r="T3490">
        <v>0</v>
      </c>
      <c r="U3490">
        <v>0</v>
      </c>
      <c r="V3490">
        <v>6</v>
      </c>
      <c r="W3490">
        <v>42</v>
      </c>
      <c r="X3490">
        <v>0</v>
      </c>
      <c r="Z3490">
        <v>0</v>
      </c>
      <c r="AA3490">
        <v>0</v>
      </c>
      <c r="AB3490">
        <v>2</v>
      </c>
      <c r="AC3490">
        <v>34</v>
      </c>
      <c r="AD3490" t="s">
        <v>6423</v>
      </c>
    </row>
    <row r="3491" spans="1:30" x14ac:dyDescent="0.25">
      <c r="H3491" t="s">
        <v>6424</v>
      </c>
    </row>
    <row r="3492" spans="1:30" x14ac:dyDescent="0.25">
      <c r="A3492">
        <v>1743</v>
      </c>
      <c r="B3492">
        <v>5231</v>
      </c>
      <c r="C3492" t="s">
        <v>6425</v>
      </c>
      <c r="D3492" t="s">
        <v>183</v>
      </c>
      <c r="E3492" t="s">
        <v>275</v>
      </c>
      <c r="F3492" t="s">
        <v>6426</v>
      </c>
      <c r="G3492" t="str">
        <f>"201511029213"</f>
        <v>201511029213</v>
      </c>
      <c r="H3492" t="s">
        <v>3232</v>
      </c>
      <c r="I3492">
        <v>0</v>
      </c>
      <c r="J3492">
        <v>0</v>
      </c>
      <c r="K3492">
        <v>0</v>
      </c>
      <c r="L3492">
        <v>0</v>
      </c>
      <c r="M3492">
        <v>0</v>
      </c>
      <c r="N3492">
        <v>30</v>
      </c>
      <c r="O3492">
        <v>0</v>
      </c>
      <c r="P3492">
        <v>0</v>
      </c>
      <c r="Q3492">
        <v>0</v>
      </c>
      <c r="R3492">
        <v>0</v>
      </c>
      <c r="S3492">
        <v>0</v>
      </c>
      <c r="T3492">
        <v>0</v>
      </c>
      <c r="U3492">
        <v>0</v>
      </c>
      <c r="V3492">
        <v>14</v>
      </c>
      <c r="W3492">
        <v>98</v>
      </c>
      <c r="X3492">
        <v>0</v>
      </c>
      <c r="Z3492">
        <v>0</v>
      </c>
      <c r="AA3492">
        <v>0</v>
      </c>
      <c r="AB3492">
        <v>5</v>
      </c>
      <c r="AC3492">
        <v>85</v>
      </c>
      <c r="AD3492" t="s">
        <v>6427</v>
      </c>
    </row>
    <row r="3493" spans="1:30" x14ac:dyDescent="0.25">
      <c r="H3493" t="s">
        <v>3912</v>
      </c>
    </row>
    <row r="3494" spans="1:30" x14ac:dyDescent="0.25">
      <c r="A3494">
        <v>1744</v>
      </c>
      <c r="B3494">
        <v>1439</v>
      </c>
      <c r="C3494" t="s">
        <v>5308</v>
      </c>
      <c r="D3494" t="s">
        <v>6428</v>
      </c>
      <c r="E3494" t="s">
        <v>39</v>
      </c>
      <c r="F3494" t="s">
        <v>6429</v>
      </c>
      <c r="G3494" t="str">
        <f>"201405002221"</f>
        <v>201405002221</v>
      </c>
      <c r="H3494" t="s">
        <v>1726</v>
      </c>
      <c r="I3494">
        <v>0</v>
      </c>
      <c r="J3494">
        <v>0</v>
      </c>
      <c r="K3494">
        <v>0</v>
      </c>
      <c r="L3494">
        <v>0</v>
      </c>
      <c r="M3494">
        <v>0</v>
      </c>
      <c r="N3494">
        <v>70</v>
      </c>
      <c r="O3494">
        <v>0</v>
      </c>
      <c r="P3494">
        <v>0</v>
      </c>
      <c r="Q3494">
        <v>0</v>
      </c>
      <c r="R3494">
        <v>0</v>
      </c>
      <c r="S3494">
        <v>0</v>
      </c>
      <c r="T3494">
        <v>0</v>
      </c>
      <c r="U3494">
        <v>0</v>
      </c>
      <c r="V3494">
        <v>2</v>
      </c>
      <c r="W3494">
        <v>14</v>
      </c>
      <c r="X3494">
        <v>0</v>
      </c>
      <c r="Z3494">
        <v>0</v>
      </c>
      <c r="AA3494">
        <v>0</v>
      </c>
      <c r="AB3494">
        <v>0</v>
      </c>
      <c r="AC3494">
        <v>0</v>
      </c>
      <c r="AD3494" t="s">
        <v>6430</v>
      </c>
    </row>
    <row r="3495" spans="1:30" x14ac:dyDescent="0.25">
      <c r="H3495" t="s">
        <v>6431</v>
      </c>
    </row>
    <row r="3496" spans="1:30" x14ac:dyDescent="0.25">
      <c r="A3496">
        <v>1745</v>
      </c>
      <c r="B3496">
        <v>759</v>
      </c>
      <c r="C3496" t="s">
        <v>6432</v>
      </c>
      <c r="D3496" t="s">
        <v>346</v>
      </c>
      <c r="E3496" t="s">
        <v>468</v>
      </c>
      <c r="F3496" t="s">
        <v>6433</v>
      </c>
      <c r="G3496" t="str">
        <f>"00297387"</f>
        <v>00297387</v>
      </c>
      <c r="H3496" t="s">
        <v>2705</v>
      </c>
      <c r="I3496">
        <v>0</v>
      </c>
      <c r="J3496">
        <v>0</v>
      </c>
      <c r="K3496">
        <v>0</v>
      </c>
      <c r="L3496">
        <v>0</v>
      </c>
      <c r="M3496">
        <v>0</v>
      </c>
      <c r="N3496">
        <v>30</v>
      </c>
      <c r="O3496">
        <v>0</v>
      </c>
      <c r="P3496">
        <v>0</v>
      </c>
      <c r="Q3496">
        <v>0</v>
      </c>
      <c r="R3496">
        <v>0</v>
      </c>
      <c r="S3496">
        <v>0</v>
      </c>
      <c r="T3496">
        <v>0</v>
      </c>
      <c r="U3496">
        <v>0</v>
      </c>
      <c r="V3496">
        <v>25</v>
      </c>
      <c r="W3496">
        <v>175</v>
      </c>
      <c r="X3496">
        <v>0</v>
      </c>
      <c r="Z3496">
        <v>0</v>
      </c>
      <c r="AA3496">
        <v>0</v>
      </c>
      <c r="AB3496">
        <v>0</v>
      </c>
      <c r="AC3496">
        <v>0</v>
      </c>
      <c r="AD3496" t="s">
        <v>6430</v>
      </c>
    </row>
    <row r="3497" spans="1:30" x14ac:dyDescent="0.25">
      <c r="H3497" t="s">
        <v>6434</v>
      </c>
    </row>
    <row r="3498" spans="1:30" x14ac:dyDescent="0.25">
      <c r="A3498">
        <v>1746</v>
      </c>
      <c r="B3498">
        <v>2309</v>
      </c>
      <c r="C3498" t="s">
        <v>6435</v>
      </c>
      <c r="D3498" t="s">
        <v>98</v>
      </c>
      <c r="E3498" t="s">
        <v>33</v>
      </c>
      <c r="F3498" t="s">
        <v>6436</v>
      </c>
      <c r="G3498" t="str">
        <f>"201411001624"</f>
        <v>201411001624</v>
      </c>
      <c r="H3498" t="s">
        <v>136</v>
      </c>
      <c r="I3498">
        <v>0</v>
      </c>
      <c r="J3498">
        <v>0</v>
      </c>
      <c r="K3498">
        <v>0</v>
      </c>
      <c r="L3498">
        <v>0</v>
      </c>
      <c r="M3498">
        <v>0</v>
      </c>
      <c r="N3498">
        <v>30</v>
      </c>
      <c r="O3498">
        <v>0</v>
      </c>
      <c r="P3498">
        <v>0</v>
      </c>
      <c r="Q3498">
        <v>0</v>
      </c>
      <c r="R3498">
        <v>0</v>
      </c>
      <c r="S3498">
        <v>0</v>
      </c>
      <c r="T3498">
        <v>0</v>
      </c>
      <c r="U3498">
        <v>0</v>
      </c>
      <c r="V3498">
        <v>0</v>
      </c>
      <c r="W3498">
        <v>0</v>
      </c>
      <c r="X3498">
        <v>0</v>
      </c>
      <c r="Z3498">
        <v>0</v>
      </c>
      <c r="AA3498">
        <v>0</v>
      </c>
      <c r="AB3498">
        <v>0</v>
      </c>
      <c r="AC3498">
        <v>0</v>
      </c>
      <c r="AD3498" t="s">
        <v>6437</v>
      </c>
    </row>
    <row r="3499" spans="1:30" x14ac:dyDescent="0.25">
      <c r="H3499" t="s">
        <v>6438</v>
      </c>
    </row>
    <row r="3500" spans="1:30" x14ac:dyDescent="0.25">
      <c r="A3500">
        <v>1747</v>
      </c>
      <c r="B3500">
        <v>1970</v>
      </c>
      <c r="C3500" t="s">
        <v>3596</v>
      </c>
      <c r="D3500" t="s">
        <v>636</v>
      </c>
      <c r="E3500" t="s">
        <v>39</v>
      </c>
      <c r="F3500" t="s">
        <v>6439</v>
      </c>
      <c r="G3500" t="str">
        <f>"00311449"</f>
        <v>00311449</v>
      </c>
      <c r="H3500" t="s">
        <v>1101</v>
      </c>
      <c r="I3500">
        <v>0</v>
      </c>
      <c r="J3500">
        <v>0</v>
      </c>
      <c r="K3500">
        <v>0</v>
      </c>
      <c r="L3500">
        <v>0</v>
      </c>
      <c r="M3500">
        <v>0</v>
      </c>
      <c r="N3500">
        <v>30</v>
      </c>
      <c r="O3500">
        <v>0</v>
      </c>
      <c r="P3500">
        <v>0</v>
      </c>
      <c r="Q3500">
        <v>0</v>
      </c>
      <c r="R3500">
        <v>0</v>
      </c>
      <c r="S3500">
        <v>0</v>
      </c>
      <c r="T3500">
        <v>0</v>
      </c>
      <c r="U3500">
        <v>0</v>
      </c>
      <c r="V3500">
        <v>24</v>
      </c>
      <c r="W3500">
        <v>168</v>
      </c>
      <c r="X3500">
        <v>0</v>
      </c>
      <c r="Z3500">
        <v>0</v>
      </c>
      <c r="AA3500">
        <v>0</v>
      </c>
      <c r="AB3500">
        <v>0</v>
      </c>
      <c r="AC3500">
        <v>0</v>
      </c>
      <c r="AD3500" t="s">
        <v>540</v>
      </c>
    </row>
    <row r="3501" spans="1:30" x14ac:dyDescent="0.25">
      <c r="H3501" t="s">
        <v>6440</v>
      </c>
    </row>
    <row r="3502" spans="1:30" x14ac:dyDescent="0.25">
      <c r="A3502">
        <v>1748</v>
      </c>
      <c r="B3502">
        <v>6120</v>
      </c>
      <c r="C3502" t="s">
        <v>5483</v>
      </c>
      <c r="D3502" t="s">
        <v>223</v>
      </c>
      <c r="E3502" t="s">
        <v>99</v>
      </c>
      <c r="F3502" t="s">
        <v>6441</v>
      </c>
      <c r="G3502" t="str">
        <f>"00364261"</f>
        <v>00364261</v>
      </c>
      <c r="H3502" t="s">
        <v>3482</v>
      </c>
      <c r="I3502">
        <v>0</v>
      </c>
      <c r="J3502">
        <v>0</v>
      </c>
      <c r="K3502">
        <v>0</v>
      </c>
      <c r="L3502">
        <v>0</v>
      </c>
      <c r="M3502">
        <v>0</v>
      </c>
      <c r="N3502">
        <v>70</v>
      </c>
      <c r="O3502">
        <v>0</v>
      </c>
      <c r="P3502">
        <v>0</v>
      </c>
      <c r="Q3502">
        <v>0</v>
      </c>
      <c r="R3502">
        <v>0</v>
      </c>
      <c r="S3502">
        <v>0</v>
      </c>
      <c r="T3502">
        <v>0</v>
      </c>
      <c r="U3502">
        <v>0</v>
      </c>
      <c r="V3502">
        <v>14</v>
      </c>
      <c r="W3502">
        <v>98</v>
      </c>
      <c r="X3502">
        <v>0</v>
      </c>
      <c r="Z3502">
        <v>0</v>
      </c>
      <c r="AA3502">
        <v>0</v>
      </c>
      <c r="AB3502">
        <v>0</v>
      </c>
      <c r="AC3502">
        <v>0</v>
      </c>
      <c r="AD3502" t="s">
        <v>6442</v>
      </c>
    </row>
    <row r="3503" spans="1:30" x14ac:dyDescent="0.25">
      <c r="H3503" t="s">
        <v>6318</v>
      </c>
    </row>
    <row r="3504" spans="1:30" x14ac:dyDescent="0.25">
      <c r="A3504">
        <v>1749</v>
      </c>
      <c r="B3504">
        <v>157</v>
      </c>
      <c r="C3504" t="s">
        <v>6443</v>
      </c>
      <c r="D3504" t="s">
        <v>723</v>
      </c>
      <c r="E3504" t="s">
        <v>151</v>
      </c>
      <c r="F3504" t="s">
        <v>6444</v>
      </c>
      <c r="G3504" t="str">
        <f>"00203590"</f>
        <v>00203590</v>
      </c>
      <c r="H3504" t="s">
        <v>1511</v>
      </c>
      <c r="I3504">
        <v>0</v>
      </c>
      <c r="J3504">
        <v>0</v>
      </c>
      <c r="K3504">
        <v>0</v>
      </c>
      <c r="L3504">
        <v>0</v>
      </c>
      <c r="M3504">
        <v>0</v>
      </c>
      <c r="N3504">
        <v>50</v>
      </c>
      <c r="O3504">
        <v>0</v>
      </c>
      <c r="P3504">
        <v>0</v>
      </c>
      <c r="Q3504">
        <v>0</v>
      </c>
      <c r="R3504">
        <v>0</v>
      </c>
      <c r="S3504">
        <v>0</v>
      </c>
      <c r="T3504">
        <v>0</v>
      </c>
      <c r="U3504">
        <v>0</v>
      </c>
      <c r="V3504">
        <v>20</v>
      </c>
      <c r="W3504">
        <v>140</v>
      </c>
      <c r="X3504">
        <v>0</v>
      </c>
      <c r="Z3504">
        <v>1</v>
      </c>
      <c r="AA3504">
        <v>0</v>
      </c>
      <c r="AB3504">
        <v>0</v>
      </c>
      <c r="AC3504">
        <v>0</v>
      </c>
      <c r="AD3504" t="s">
        <v>6445</v>
      </c>
    </row>
    <row r="3505" spans="1:30" x14ac:dyDescent="0.25">
      <c r="H3505" t="s">
        <v>6446</v>
      </c>
    </row>
    <row r="3506" spans="1:30" x14ac:dyDescent="0.25">
      <c r="A3506">
        <v>1750</v>
      </c>
      <c r="B3506">
        <v>6175</v>
      </c>
      <c r="C3506" t="s">
        <v>6447</v>
      </c>
      <c r="D3506" t="s">
        <v>40</v>
      </c>
      <c r="E3506" t="s">
        <v>151</v>
      </c>
      <c r="F3506" t="s">
        <v>6448</v>
      </c>
      <c r="G3506" t="str">
        <f>"00156073"</f>
        <v>00156073</v>
      </c>
      <c r="H3506">
        <v>704</v>
      </c>
      <c r="I3506">
        <v>150</v>
      </c>
      <c r="J3506">
        <v>0</v>
      </c>
      <c r="K3506">
        <v>0</v>
      </c>
      <c r="L3506">
        <v>0</v>
      </c>
      <c r="M3506">
        <v>0</v>
      </c>
      <c r="N3506">
        <v>30</v>
      </c>
      <c r="O3506">
        <v>0</v>
      </c>
      <c r="P3506">
        <v>0</v>
      </c>
      <c r="Q3506">
        <v>0</v>
      </c>
      <c r="R3506">
        <v>0</v>
      </c>
      <c r="S3506">
        <v>0</v>
      </c>
      <c r="T3506">
        <v>0</v>
      </c>
      <c r="U3506">
        <v>0</v>
      </c>
      <c r="V3506">
        <v>0</v>
      </c>
      <c r="W3506">
        <v>0</v>
      </c>
      <c r="X3506">
        <v>0</v>
      </c>
      <c r="Z3506">
        <v>0</v>
      </c>
      <c r="AA3506">
        <v>0</v>
      </c>
      <c r="AB3506">
        <v>0</v>
      </c>
      <c r="AC3506">
        <v>0</v>
      </c>
      <c r="AD3506">
        <v>884</v>
      </c>
    </row>
    <row r="3507" spans="1:30" x14ac:dyDescent="0.25">
      <c r="H3507" t="s">
        <v>6449</v>
      </c>
    </row>
    <row r="3508" spans="1:30" x14ac:dyDescent="0.25">
      <c r="A3508">
        <v>1751</v>
      </c>
      <c r="B3508">
        <v>5150</v>
      </c>
      <c r="C3508" t="s">
        <v>6450</v>
      </c>
      <c r="D3508" t="s">
        <v>3183</v>
      </c>
      <c r="E3508" t="s">
        <v>162</v>
      </c>
      <c r="F3508" t="s">
        <v>6451</v>
      </c>
      <c r="G3508" t="str">
        <f>"201402005149"</f>
        <v>201402005149</v>
      </c>
      <c r="H3508" t="s">
        <v>1235</v>
      </c>
      <c r="I3508">
        <v>0</v>
      </c>
      <c r="J3508">
        <v>0</v>
      </c>
      <c r="K3508">
        <v>0</v>
      </c>
      <c r="L3508">
        <v>0</v>
      </c>
      <c r="M3508">
        <v>100</v>
      </c>
      <c r="N3508">
        <v>50</v>
      </c>
      <c r="O3508">
        <v>0</v>
      </c>
      <c r="P3508">
        <v>0</v>
      </c>
      <c r="Q3508">
        <v>0</v>
      </c>
      <c r="R3508">
        <v>30</v>
      </c>
      <c r="S3508">
        <v>0</v>
      </c>
      <c r="T3508">
        <v>0</v>
      </c>
      <c r="U3508">
        <v>0</v>
      </c>
      <c r="V3508">
        <v>5</v>
      </c>
      <c r="W3508">
        <v>35</v>
      </c>
      <c r="X3508">
        <v>0</v>
      </c>
      <c r="Z3508">
        <v>0</v>
      </c>
      <c r="AA3508">
        <v>0</v>
      </c>
      <c r="AB3508">
        <v>0</v>
      </c>
      <c r="AC3508">
        <v>0</v>
      </c>
      <c r="AD3508" t="s">
        <v>6452</v>
      </c>
    </row>
    <row r="3509" spans="1:30" x14ac:dyDescent="0.25">
      <c r="H3509" t="s">
        <v>6453</v>
      </c>
    </row>
    <row r="3510" spans="1:30" x14ac:dyDescent="0.25">
      <c r="A3510">
        <v>1752</v>
      </c>
      <c r="B3510">
        <v>4529</v>
      </c>
      <c r="C3510" t="s">
        <v>3139</v>
      </c>
      <c r="D3510" t="s">
        <v>196</v>
      </c>
      <c r="E3510" t="s">
        <v>99</v>
      </c>
      <c r="F3510" t="s">
        <v>6454</v>
      </c>
      <c r="G3510" t="str">
        <f>"00005054"</f>
        <v>00005054</v>
      </c>
      <c r="H3510" t="s">
        <v>2866</v>
      </c>
      <c r="I3510">
        <v>0</v>
      </c>
      <c r="J3510">
        <v>0</v>
      </c>
      <c r="K3510">
        <v>0</v>
      </c>
      <c r="L3510">
        <v>0</v>
      </c>
      <c r="M3510">
        <v>0</v>
      </c>
      <c r="N3510">
        <v>0</v>
      </c>
      <c r="O3510">
        <v>0</v>
      </c>
      <c r="P3510">
        <v>70</v>
      </c>
      <c r="Q3510">
        <v>0</v>
      </c>
      <c r="R3510">
        <v>0</v>
      </c>
      <c r="S3510">
        <v>0</v>
      </c>
      <c r="T3510">
        <v>0</v>
      </c>
      <c r="U3510">
        <v>0</v>
      </c>
      <c r="V3510">
        <v>23</v>
      </c>
      <c r="W3510">
        <v>161</v>
      </c>
      <c r="X3510">
        <v>0</v>
      </c>
      <c r="Z3510">
        <v>0</v>
      </c>
      <c r="AA3510">
        <v>0</v>
      </c>
      <c r="AB3510">
        <v>0</v>
      </c>
      <c r="AC3510">
        <v>0</v>
      </c>
      <c r="AD3510" t="s">
        <v>1641</v>
      </c>
    </row>
    <row r="3511" spans="1:30" x14ac:dyDescent="0.25">
      <c r="H3511" t="s">
        <v>6455</v>
      </c>
    </row>
    <row r="3512" spans="1:30" x14ac:dyDescent="0.25">
      <c r="A3512">
        <v>1753</v>
      </c>
      <c r="B3512">
        <v>5242</v>
      </c>
      <c r="C3512" t="s">
        <v>6456</v>
      </c>
      <c r="D3512" t="s">
        <v>5244</v>
      </c>
      <c r="E3512" t="s">
        <v>162</v>
      </c>
      <c r="F3512" t="s">
        <v>6457</v>
      </c>
      <c r="G3512" t="str">
        <f>"201511020563"</f>
        <v>201511020563</v>
      </c>
      <c r="H3512">
        <v>671</v>
      </c>
      <c r="I3512">
        <v>0</v>
      </c>
      <c r="J3512">
        <v>0</v>
      </c>
      <c r="K3512">
        <v>0</v>
      </c>
      <c r="L3512">
        <v>0</v>
      </c>
      <c r="M3512">
        <v>0</v>
      </c>
      <c r="N3512">
        <v>30</v>
      </c>
      <c r="O3512">
        <v>0</v>
      </c>
      <c r="P3512">
        <v>0</v>
      </c>
      <c r="Q3512">
        <v>0</v>
      </c>
      <c r="R3512">
        <v>0</v>
      </c>
      <c r="S3512">
        <v>0</v>
      </c>
      <c r="T3512">
        <v>0</v>
      </c>
      <c r="U3512">
        <v>0</v>
      </c>
      <c r="V3512">
        <v>26</v>
      </c>
      <c r="W3512">
        <v>182</v>
      </c>
      <c r="X3512">
        <v>0</v>
      </c>
      <c r="Z3512">
        <v>0</v>
      </c>
      <c r="AA3512">
        <v>0</v>
      </c>
      <c r="AB3512">
        <v>0</v>
      </c>
      <c r="AC3512">
        <v>0</v>
      </c>
      <c r="AD3512">
        <v>883</v>
      </c>
    </row>
    <row r="3513" spans="1:30" x14ac:dyDescent="0.25">
      <c r="H3513" t="s">
        <v>6458</v>
      </c>
    </row>
    <row r="3514" spans="1:30" x14ac:dyDescent="0.25">
      <c r="A3514">
        <v>1754</v>
      </c>
      <c r="B3514">
        <v>3830</v>
      </c>
      <c r="C3514" t="s">
        <v>6459</v>
      </c>
      <c r="D3514" t="s">
        <v>14</v>
      </c>
      <c r="E3514" t="s">
        <v>47</v>
      </c>
      <c r="F3514" t="s">
        <v>6460</v>
      </c>
      <c r="G3514" t="str">
        <f>"00154436"</f>
        <v>00154436</v>
      </c>
      <c r="H3514" t="s">
        <v>3427</v>
      </c>
      <c r="I3514">
        <v>0</v>
      </c>
      <c r="J3514">
        <v>0</v>
      </c>
      <c r="K3514">
        <v>0</v>
      </c>
      <c r="L3514">
        <v>0</v>
      </c>
      <c r="M3514">
        <v>0</v>
      </c>
      <c r="N3514">
        <v>30</v>
      </c>
      <c r="O3514">
        <v>0</v>
      </c>
      <c r="P3514">
        <v>0</v>
      </c>
      <c r="Q3514">
        <v>0</v>
      </c>
      <c r="R3514">
        <v>0</v>
      </c>
      <c r="S3514">
        <v>0</v>
      </c>
      <c r="T3514">
        <v>0</v>
      </c>
      <c r="U3514">
        <v>0</v>
      </c>
      <c r="V3514">
        <v>23</v>
      </c>
      <c r="W3514">
        <v>161</v>
      </c>
      <c r="X3514">
        <v>0</v>
      </c>
      <c r="Z3514">
        <v>0</v>
      </c>
      <c r="AA3514">
        <v>0</v>
      </c>
      <c r="AB3514">
        <v>0</v>
      </c>
      <c r="AC3514">
        <v>0</v>
      </c>
      <c r="AD3514" t="s">
        <v>6461</v>
      </c>
    </row>
    <row r="3515" spans="1:30" x14ac:dyDescent="0.25">
      <c r="H3515" t="s">
        <v>6462</v>
      </c>
    </row>
    <row r="3516" spans="1:30" x14ac:dyDescent="0.25">
      <c r="A3516">
        <v>1755</v>
      </c>
      <c r="B3516">
        <v>2727</v>
      </c>
      <c r="C3516" t="s">
        <v>6463</v>
      </c>
      <c r="D3516" t="s">
        <v>1867</v>
      </c>
      <c r="E3516" t="s">
        <v>151</v>
      </c>
      <c r="F3516" t="s">
        <v>6464</v>
      </c>
      <c r="G3516" t="str">
        <f>"201411001316"</f>
        <v>201411001316</v>
      </c>
      <c r="H3516" t="s">
        <v>1957</v>
      </c>
      <c r="I3516">
        <v>0</v>
      </c>
      <c r="J3516">
        <v>0</v>
      </c>
      <c r="K3516">
        <v>0</v>
      </c>
      <c r="L3516">
        <v>0</v>
      </c>
      <c r="M3516">
        <v>0</v>
      </c>
      <c r="N3516">
        <v>70</v>
      </c>
      <c r="O3516">
        <v>0</v>
      </c>
      <c r="P3516">
        <v>0</v>
      </c>
      <c r="Q3516">
        <v>0</v>
      </c>
      <c r="R3516">
        <v>0</v>
      </c>
      <c r="S3516">
        <v>0</v>
      </c>
      <c r="T3516">
        <v>0</v>
      </c>
      <c r="U3516">
        <v>0</v>
      </c>
      <c r="V3516">
        <v>0</v>
      </c>
      <c r="W3516">
        <v>0</v>
      </c>
      <c r="X3516">
        <v>0</v>
      </c>
      <c r="Z3516">
        <v>2</v>
      </c>
      <c r="AA3516">
        <v>0</v>
      </c>
      <c r="AB3516">
        <v>0</v>
      </c>
      <c r="AC3516">
        <v>0</v>
      </c>
      <c r="AD3516" t="s">
        <v>6465</v>
      </c>
    </row>
    <row r="3517" spans="1:30" x14ac:dyDescent="0.25">
      <c r="H3517" t="s">
        <v>6466</v>
      </c>
    </row>
    <row r="3518" spans="1:30" x14ac:dyDescent="0.25">
      <c r="A3518">
        <v>1756</v>
      </c>
      <c r="B3518">
        <v>6047</v>
      </c>
      <c r="C3518" t="s">
        <v>6467</v>
      </c>
      <c r="D3518" t="s">
        <v>6468</v>
      </c>
      <c r="E3518" t="s">
        <v>6469</v>
      </c>
      <c r="F3518" t="s">
        <v>6470</v>
      </c>
      <c r="G3518" t="str">
        <f>"201512000667"</f>
        <v>201512000667</v>
      </c>
      <c r="H3518" t="s">
        <v>3441</v>
      </c>
      <c r="I3518">
        <v>0</v>
      </c>
      <c r="J3518">
        <v>0</v>
      </c>
      <c r="K3518">
        <v>0</v>
      </c>
      <c r="L3518">
        <v>0</v>
      </c>
      <c r="M3518">
        <v>0</v>
      </c>
      <c r="N3518">
        <v>30</v>
      </c>
      <c r="O3518">
        <v>0</v>
      </c>
      <c r="P3518">
        <v>0</v>
      </c>
      <c r="Q3518">
        <v>0</v>
      </c>
      <c r="R3518">
        <v>0</v>
      </c>
      <c r="S3518">
        <v>0</v>
      </c>
      <c r="T3518">
        <v>0</v>
      </c>
      <c r="U3518">
        <v>0</v>
      </c>
      <c r="V3518">
        <v>23</v>
      </c>
      <c r="W3518">
        <v>161</v>
      </c>
      <c r="X3518">
        <v>0</v>
      </c>
      <c r="Z3518">
        <v>1</v>
      </c>
      <c r="AA3518">
        <v>0</v>
      </c>
      <c r="AB3518">
        <v>0</v>
      </c>
      <c r="AC3518">
        <v>0</v>
      </c>
      <c r="AD3518" t="s">
        <v>6465</v>
      </c>
    </row>
    <row r="3519" spans="1:30" x14ac:dyDescent="0.25">
      <c r="H3519" t="s">
        <v>6471</v>
      </c>
    </row>
    <row r="3520" spans="1:30" x14ac:dyDescent="0.25">
      <c r="A3520">
        <v>1757</v>
      </c>
      <c r="B3520">
        <v>145</v>
      </c>
      <c r="C3520" t="s">
        <v>6472</v>
      </c>
      <c r="D3520" t="s">
        <v>6473</v>
      </c>
      <c r="E3520" t="s">
        <v>51</v>
      </c>
      <c r="F3520" t="s">
        <v>6474</v>
      </c>
      <c r="G3520" t="str">
        <f>"00236287"</f>
        <v>00236287</v>
      </c>
      <c r="H3520" t="s">
        <v>1030</v>
      </c>
      <c r="I3520">
        <v>0</v>
      </c>
      <c r="J3520">
        <v>0</v>
      </c>
      <c r="K3520">
        <v>0</v>
      </c>
      <c r="L3520">
        <v>0</v>
      </c>
      <c r="M3520">
        <v>0</v>
      </c>
      <c r="N3520">
        <v>30</v>
      </c>
      <c r="O3520">
        <v>0</v>
      </c>
      <c r="P3520">
        <v>30</v>
      </c>
      <c r="Q3520">
        <v>0</v>
      </c>
      <c r="R3520">
        <v>0</v>
      </c>
      <c r="S3520">
        <v>0</v>
      </c>
      <c r="T3520">
        <v>0</v>
      </c>
      <c r="U3520">
        <v>0</v>
      </c>
      <c r="V3520">
        <v>0</v>
      </c>
      <c r="W3520">
        <v>0</v>
      </c>
      <c r="X3520">
        <v>0</v>
      </c>
      <c r="Z3520">
        <v>0</v>
      </c>
      <c r="AA3520">
        <v>0</v>
      </c>
      <c r="AB3520">
        <v>0</v>
      </c>
      <c r="AC3520">
        <v>0</v>
      </c>
      <c r="AD3520" t="s">
        <v>6475</v>
      </c>
    </row>
    <row r="3521" spans="1:30" x14ac:dyDescent="0.25">
      <c r="H3521" t="s">
        <v>6476</v>
      </c>
    </row>
    <row r="3522" spans="1:30" x14ac:dyDescent="0.25">
      <c r="A3522">
        <v>1758</v>
      </c>
      <c r="B3522">
        <v>5016</v>
      </c>
      <c r="C3522" t="s">
        <v>6477</v>
      </c>
      <c r="D3522" t="s">
        <v>526</v>
      </c>
      <c r="E3522" t="s">
        <v>162</v>
      </c>
      <c r="F3522" t="s">
        <v>6478</v>
      </c>
      <c r="G3522" t="str">
        <f>"00363666"</f>
        <v>00363666</v>
      </c>
      <c r="H3522" t="s">
        <v>1546</v>
      </c>
      <c r="I3522">
        <v>0</v>
      </c>
      <c r="J3522">
        <v>0</v>
      </c>
      <c r="K3522">
        <v>0</v>
      </c>
      <c r="L3522">
        <v>0</v>
      </c>
      <c r="M3522">
        <v>0</v>
      </c>
      <c r="N3522">
        <v>0</v>
      </c>
      <c r="O3522">
        <v>0</v>
      </c>
      <c r="P3522">
        <v>0</v>
      </c>
      <c r="Q3522">
        <v>0</v>
      </c>
      <c r="R3522">
        <v>0</v>
      </c>
      <c r="S3522">
        <v>0</v>
      </c>
      <c r="T3522">
        <v>0</v>
      </c>
      <c r="U3522">
        <v>0</v>
      </c>
      <c r="V3522">
        <v>20</v>
      </c>
      <c r="W3522">
        <v>140</v>
      </c>
      <c r="X3522">
        <v>0</v>
      </c>
      <c r="Z3522">
        <v>2</v>
      </c>
      <c r="AA3522">
        <v>0</v>
      </c>
      <c r="AB3522">
        <v>0</v>
      </c>
      <c r="AC3522">
        <v>0</v>
      </c>
      <c r="AD3522" t="s">
        <v>6479</v>
      </c>
    </row>
    <row r="3523" spans="1:30" x14ac:dyDescent="0.25">
      <c r="H3523" t="s">
        <v>6480</v>
      </c>
    </row>
    <row r="3524" spans="1:30" x14ac:dyDescent="0.25">
      <c r="A3524">
        <v>1759</v>
      </c>
      <c r="B3524">
        <v>891</v>
      </c>
      <c r="C3524" t="s">
        <v>632</v>
      </c>
      <c r="D3524" t="s">
        <v>296</v>
      </c>
      <c r="E3524" t="s">
        <v>595</v>
      </c>
      <c r="F3524" t="s">
        <v>6481</v>
      </c>
      <c r="G3524" t="str">
        <f>"201409002391"</f>
        <v>201409002391</v>
      </c>
      <c r="H3524" t="s">
        <v>818</v>
      </c>
      <c r="I3524">
        <v>0</v>
      </c>
      <c r="J3524">
        <v>0</v>
      </c>
      <c r="K3524">
        <v>0</v>
      </c>
      <c r="L3524">
        <v>0</v>
      </c>
      <c r="M3524">
        <v>0</v>
      </c>
      <c r="N3524">
        <v>30</v>
      </c>
      <c r="O3524">
        <v>0</v>
      </c>
      <c r="P3524">
        <v>0</v>
      </c>
      <c r="Q3524">
        <v>0</v>
      </c>
      <c r="R3524">
        <v>0</v>
      </c>
      <c r="S3524">
        <v>0</v>
      </c>
      <c r="T3524">
        <v>0</v>
      </c>
      <c r="U3524">
        <v>0</v>
      </c>
      <c r="V3524">
        <v>12</v>
      </c>
      <c r="W3524">
        <v>84</v>
      </c>
      <c r="X3524">
        <v>0</v>
      </c>
      <c r="Z3524">
        <v>0</v>
      </c>
      <c r="AA3524">
        <v>0</v>
      </c>
      <c r="AB3524">
        <v>0</v>
      </c>
      <c r="AC3524">
        <v>0</v>
      </c>
      <c r="AD3524" t="s">
        <v>6482</v>
      </c>
    </row>
    <row r="3525" spans="1:30" x14ac:dyDescent="0.25">
      <c r="H3525" t="s">
        <v>6483</v>
      </c>
    </row>
    <row r="3526" spans="1:30" x14ac:dyDescent="0.25">
      <c r="A3526">
        <v>1760</v>
      </c>
      <c r="B3526">
        <v>3285</v>
      </c>
      <c r="C3526" t="s">
        <v>6484</v>
      </c>
      <c r="D3526" t="s">
        <v>869</v>
      </c>
      <c r="E3526" t="s">
        <v>40</v>
      </c>
      <c r="F3526" t="s">
        <v>6485</v>
      </c>
      <c r="G3526" t="str">
        <f>"00281402"</f>
        <v>00281402</v>
      </c>
      <c r="H3526" t="s">
        <v>1054</v>
      </c>
      <c r="I3526">
        <v>0</v>
      </c>
      <c r="J3526">
        <v>0</v>
      </c>
      <c r="K3526">
        <v>0</v>
      </c>
      <c r="L3526">
        <v>0</v>
      </c>
      <c r="M3526">
        <v>0</v>
      </c>
      <c r="N3526">
        <v>0</v>
      </c>
      <c r="O3526">
        <v>0</v>
      </c>
      <c r="P3526">
        <v>0</v>
      </c>
      <c r="Q3526">
        <v>0</v>
      </c>
      <c r="R3526">
        <v>0</v>
      </c>
      <c r="S3526">
        <v>0</v>
      </c>
      <c r="T3526">
        <v>0</v>
      </c>
      <c r="U3526">
        <v>0</v>
      </c>
      <c r="V3526">
        <v>17</v>
      </c>
      <c r="W3526">
        <v>119</v>
      </c>
      <c r="X3526">
        <v>0</v>
      </c>
      <c r="Z3526">
        <v>0</v>
      </c>
      <c r="AA3526">
        <v>0</v>
      </c>
      <c r="AB3526">
        <v>0</v>
      </c>
      <c r="AC3526">
        <v>0</v>
      </c>
      <c r="AD3526" t="s">
        <v>6486</v>
      </c>
    </row>
    <row r="3527" spans="1:30" x14ac:dyDescent="0.25">
      <c r="H3527" t="s">
        <v>6487</v>
      </c>
    </row>
    <row r="3528" spans="1:30" x14ac:dyDescent="0.25">
      <c r="A3528">
        <v>1761</v>
      </c>
      <c r="B3528">
        <v>744</v>
      </c>
      <c r="C3528" t="s">
        <v>6488</v>
      </c>
      <c r="D3528" t="s">
        <v>6489</v>
      </c>
      <c r="E3528" t="s">
        <v>107</v>
      </c>
      <c r="F3528" t="s">
        <v>6490</v>
      </c>
      <c r="G3528" t="str">
        <f>"00228169"</f>
        <v>00228169</v>
      </c>
      <c r="H3528" t="s">
        <v>3427</v>
      </c>
      <c r="I3528">
        <v>0</v>
      </c>
      <c r="J3528">
        <v>0</v>
      </c>
      <c r="K3528">
        <v>0</v>
      </c>
      <c r="L3528">
        <v>0</v>
      </c>
      <c r="M3528">
        <v>0</v>
      </c>
      <c r="N3528">
        <v>30</v>
      </c>
      <c r="O3528">
        <v>0</v>
      </c>
      <c r="P3528">
        <v>0</v>
      </c>
      <c r="Q3528">
        <v>0</v>
      </c>
      <c r="R3528">
        <v>0</v>
      </c>
      <c r="S3528">
        <v>0</v>
      </c>
      <c r="T3528">
        <v>0</v>
      </c>
      <c r="U3528">
        <v>0</v>
      </c>
      <c r="V3528">
        <v>8</v>
      </c>
      <c r="W3528">
        <v>56</v>
      </c>
      <c r="X3528">
        <v>0</v>
      </c>
      <c r="Z3528">
        <v>0</v>
      </c>
      <c r="AA3528">
        <v>0</v>
      </c>
      <c r="AB3528">
        <v>6</v>
      </c>
      <c r="AC3528">
        <v>102</v>
      </c>
      <c r="AD3528" t="s">
        <v>6491</v>
      </c>
    </row>
    <row r="3529" spans="1:30" x14ac:dyDescent="0.25">
      <c r="H3529" t="s">
        <v>1213</v>
      </c>
    </row>
    <row r="3530" spans="1:30" x14ac:dyDescent="0.25">
      <c r="A3530">
        <v>1762</v>
      </c>
      <c r="B3530">
        <v>4522</v>
      </c>
      <c r="C3530" t="s">
        <v>6492</v>
      </c>
      <c r="D3530" t="s">
        <v>6493</v>
      </c>
      <c r="E3530" t="s">
        <v>6494</v>
      </c>
      <c r="F3530" t="s">
        <v>6495</v>
      </c>
      <c r="G3530" t="str">
        <f>"00363258"</f>
        <v>00363258</v>
      </c>
      <c r="H3530" t="s">
        <v>1930</v>
      </c>
      <c r="I3530">
        <v>0</v>
      </c>
      <c r="J3530">
        <v>0</v>
      </c>
      <c r="K3530">
        <v>0</v>
      </c>
      <c r="L3530">
        <v>0</v>
      </c>
      <c r="M3530">
        <v>0</v>
      </c>
      <c r="N3530">
        <v>30</v>
      </c>
      <c r="O3530">
        <v>30</v>
      </c>
      <c r="P3530">
        <v>0</v>
      </c>
      <c r="Q3530">
        <v>0</v>
      </c>
      <c r="R3530">
        <v>0</v>
      </c>
      <c r="S3530">
        <v>0</v>
      </c>
      <c r="T3530">
        <v>0</v>
      </c>
      <c r="U3530">
        <v>0</v>
      </c>
      <c r="V3530">
        <v>17</v>
      </c>
      <c r="W3530">
        <v>119</v>
      </c>
      <c r="X3530">
        <v>0</v>
      </c>
      <c r="Z3530">
        <v>0</v>
      </c>
      <c r="AA3530">
        <v>0</v>
      </c>
      <c r="AB3530">
        <v>0</v>
      </c>
      <c r="AC3530">
        <v>0</v>
      </c>
      <c r="AD3530" t="s">
        <v>6496</v>
      </c>
    </row>
    <row r="3531" spans="1:30" x14ac:dyDescent="0.25">
      <c r="H3531" t="s">
        <v>6497</v>
      </c>
    </row>
    <row r="3532" spans="1:30" x14ac:dyDescent="0.25">
      <c r="A3532">
        <v>1763</v>
      </c>
      <c r="B3532">
        <v>4885</v>
      </c>
      <c r="C3532" t="s">
        <v>6498</v>
      </c>
      <c r="D3532" t="s">
        <v>869</v>
      </c>
      <c r="E3532" t="s">
        <v>151</v>
      </c>
      <c r="F3532" t="s">
        <v>6499</v>
      </c>
      <c r="G3532" t="str">
        <f>"201511010136"</f>
        <v>201511010136</v>
      </c>
      <c r="H3532" t="s">
        <v>4801</v>
      </c>
      <c r="I3532">
        <v>0</v>
      </c>
      <c r="J3532">
        <v>0</v>
      </c>
      <c r="K3532">
        <v>0</v>
      </c>
      <c r="L3532">
        <v>0</v>
      </c>
      <c r="M3532">
        <v>0</v>
      </c>
      <c r="N3532">
        <v>30</v>
      </c>
      <c r="O3532">
        <v>0</v>
      </c>
      <c r="P3532">
        <v>0</v>
      </c>
      <c r="Q3532">
        <v>0</v>
      </c>
      <c r="R3532">
        <v>0</v>
      </c>
      <c r="S3532">
        <v>0</v>
      </c>
      <c r="T3532">
        <v>0</v>
      </c>
      <c r="U3532">
        <v>0</v>
      </c>
      <c r="V3532">
        <v>14</v>
      </c>
      <c r="W3532">
        <v>98</v>
      </c>
      <c r="X3532">
        <v>0</v>
      </c>
      <c r="Z3532">
        <v>0</v>
      </c>
      <c r="AA3532">
        <v>0</v>
      </c>
      <c r="AB3532">
        <v>0</v>
      </c>
      <c r="AC3532">
        <v>0</v>
      </c>
      <c r="AD3532" t="s">
        <v>6500</v>
      </c>
    </row>
    <row r="3533" spans="1:30" x14ac:dyDescent="0.25">
      <c r="H3533" t="s">
        <v>6501</v>
      </c>
    </row>
    <row r="3534" spans="1:30" x14ac:dyDescent="0.25">
      <c r="A3534">
        <v>1764</v>
      </c>
      <c r="B3534">
        <v>2714</v>
      </c>
      <c r="C3534" t="s">
        <v>6502</v>
      </c>
      <c r="D3534" t="s">
        <v>47</v>
      </c>
      <c r="E3534" t="s">
        <v>40</v>
      </c>
      <c r="F3534" t="s">
        <v>6503</v>
      </c>
      <c r="G3534" t="str">
        <f>"201406011255"</f>
        <v>201406011255</v>
      </c>
      <c r="H3534" t="s">
        <v>219</v>
      </c>
      <c r="I3534">
        <v>0</v>
      </c>
      <c r="J3534">
        <v>0</v>
      </c>
      <c r="K3534">
        <v>0</v>
      </c>
      <c r="L3534">
        <v>0</v>
      </c>
      <c r="M3534">
        <v>0</v>
      </c>
      <c r="N3534">
        <v>30</v>
      </c>
      <c r="O3534">
        <v>0</v>
      </c>
      <c r="P3534">
        <v>0</v>
      </c>
      <c r="Q3534">
        <v>0</v>
      </c>
      <c r="R3534">
        <v>0</v>
      </c>
      <c r="S3534">
        <v>0</v>
      </c>
      <c r="T3534">
        <v>0</v>
      </c>
      <c r="U3534">
        <v>0</v>
      </c>
      <c r="V3534">
        <v>11</v>
      </c>
      <c r="W3534">
        <v>77</v>
      </c>
      <c r="X3534">
        <v>0</v>
      </c>
      <c r="Z3534">
        <v>0</v>
      </c>
      <c r="AA3534">
        <v>0</v>
      </c>
      <c r="AB3534">
        <v>0</v>
      </c>
      <c r="AC3534">
        <v>0</v>
      </c>
      <c r="AD3534" t="s">
        <v>6504</v>
      </c>
    </row>
    <row r="3535" spans="1:30" x14ac:dyDescent="0.25">
      <c r="H3535" t="s">
        <v>6505</v>
      </c>
    </row>
    <row r="3536" spans="1:30" x14ac:dyDescent="0.25">
      <c r="A3536">
        <v>1765</v>
      </c>
      <c r="B3536">
        <v>3078</v>
      </c>
      <c r="C3536" t="s">
        <v>6506</v>
      </c>
      <c r="D3536" t="s">
        <v>1186</v>
      </c>
      <c r="E3536" t="s">
        <v>107</v>
      </c>
      <c r="F3536" t="s">
        <v>6507</v>
      </c>
      <c r="G3536" t="str">
        <f>"00191592"</f>
        <v>00191592</v>
      </c>
      <c r="H3536">
        <v>704</v>
      </c>
      <c r="I3536">
        <v>0</v>
      </c>
      <c r="J3536">
        <v>0</v>
      </c>
      <c r="K3536">
        <v>0</v>
      </c>
      <c r="L3536">
        <v>0</v>
      </c>
      <c r="M3536">
        <v>0</v>
      </c>
      <c r="N3536">
        <v>70</v>
      </c>
      <c r="O3536">
        <v>0</v>
      </c>
      <c r="P3536">
        <v>0</v>
      </c>
      <c r="Q3536">
        <v>0</v>
      </c>
      <c r="R3536">
        <v>0</v>
      </c>
      <c r="S3536">
        <v>0</v>
      </c>
      <c r="T3536">
        <v>0</v>
      </c>
      <c r="U3536">
        <v>0</v>
      </c>
      <c r="V3536">
        <v>15</v>
      </c>
      <c r="W3536">
        <v>105</v>
      </c>
      <c r="X3536">
        <v>0</v>
      </c>
      <c r="Z3536">
        <v>0</v>
      </c>
      <c r="AA3536">
        <v>0</v>
      </c>
      <c r="AB3536">
        <v>0</v>
      </c>
      <c r="AC3536">
        <v>0</v>
      </c>
      <c r="AD3536">
        <v>879</v>
      </c>
    </row>
    <row r="3537" spans="1:30" x14ac:dyDescent="0.25">
      <c r="H3537" t="s">
        <v>6508</v>
      </c>
    </row>
    <row r="3538" spans="1:30" x14ac:dyDescent="0.25">
      <c r="A3538">
        <v>1766</v>
      </c>
      <c r="B3538">
        <v>5175</v>
      </c>
      <c r="C3538" t="s">
        <v>6509</v>
      </c>
      <c r="D3538" t="s">
        <v>151</v>
      </c>
      <c r="E3538" t="s">
        <v>162</v>
      </c>
      <c r="F3538" t="s">
        <v>6510</v>
      </c>
      <c r="G3538" t="str">
        <f>"201604000222"</f>
        <v>201604000222</v>
      </c>
      <c r="H3538" t="s">
        <v>1091</v>
      </c>
      <c r="I3538">
        <v>0</v>
      </c>
      <c r="J3538">
        <v>0</v>
      </c>
      <c r="K3538">
        <v>0</v>
      </c>
      <c r="L3538">
        <v>0</v>
      </c>
      <c r="M3538">
        <v>0</v>
      </c>
      <c r="N3538">
        <v>30</v>
      </c>
      <c r="O3538">
        <v>0</v>
      </c>
      <c r="P3538">
        <v>0</v>
      </c>
      <c r="Q3538">
        <v>0</v>
      </c>
      <c r="R3538">
        <v>0</v>
      </c>
      <c r="S3538">
        <v>0</v>
      </c>
      <c r="T3538">
        <v>0</v>
      </c>
      <c r="U3538">
        <v>0</v>
      </c>
      <c r="V3538">
        <v>20</v>
      </c>
      <c r="W3538">
        <v>140</v>
      </c>
      <c r="X3538">
        <v>0</v>
      </c>
      <c r="Z3538">
        <v>0</v>
      </c>
      <c r="AA3538">
        <v>0</v>
      </c>
      <c r="AB3538">
        <v>0</v>
      </c>
      <c r="AC3538">
        <v>0</v>
      </c>
      <c r="AD3538" t="s">
        <v>6511</v>
      </c>
    </row>
    <row r="3539" spans="1:30" x14ac:dyDescent="0.25">
      <c r="H3539" t="s">
        <v>6512</v>
      </c>
    </row>
    <row r="3540" spans="1:30" x14ac:dyDescent="0.25">
      <c r="A3540">
        <v>1767</v>
      </c>
      <c r="B3540">
        <v>1764</v>
      </c>
      <c r="C3540" t="s">
        <v>6513</v>
      </c>
      <c r="D3540" t="s">
        <v>223</v>
      </c>
      <c r="E3540" t="s">
        <v>39</v>
      </c>
      <c r="F3540" t="s">
        <v>6514</v>
      </c>
      <c r="G3540" t="str">
        <f>"200802004245"</f>
        <v>200802004245</v>
      </c>
      <c r="H3540" t="s">
        <v>1825</v>
      </c>
      <c r="I3540">
        <v>0</v>
      </c>
      <c r="J3540">
        <v>0</v>
      </c>
      <c r="K3540">
        <v>0</v>
      </c>
      <c r="L3540">
        <v>0</v>
      </c>
      <c r="M3540">
        <v>0</v>
      </c>
      <c r="N3540">
        <v>30</v>
      </c>
      <c r="O3540">
        <v>0</v>
      </c>
      <c r="P3540">
        <v>0</v>
      </c>
      <c r="Q3540">
        <v>0</v>
      </c>
      <c r="R3540">
        <v>0</v>
      </c>
      <c r="S3540">
        <v>0</v>
      </c>
      <c r="T3540">
        <v>0</v>
      </c>
      <c r="U3540">
        <v>0</v>
      </c>
      <c r="V3540">
        <v>3</v>
      </c>
      <c r="W3540">
        <v>21</v>
      </c>
      <c r="X3540">
        <v>0</v>
      </c>
      <c r="Z3540">
        <v>2</v>
      </c>
      <c r="AA3540">
        <v>0</v>
      </c>
      <c r="AB3540">
        <v>5</v>
      </c>
      <c r="AC3540">
        <v>85</v>
      </c>
      <c r="AD3540" t="s">
        <v>6515</v>
      </c>
    </row>
    <row r="3541" spans="1:30" x14ac:dyDescent="0.25">
      <c r="H3541" t="s">
        <v>6516</v>
      </c>
    </row>
    <row r="3542" spans="1:30" x14ac:dyDescent="0.25">
      <c r="A3542">
        <v>1768</v>
      </c>
      <c r="B3542">
        <v>3433</v>
      </c>
      <c r="C3542" t="s">
        <v>6517</v>
      </c>
      <c r="D3542" t="s">
        <v>5083</v>
      </c>
      <c r="E3542" t="s">
        <v>190</v>
      </c>
      <c r="F3542" t="s">
        <v>6518</v>
      </c>
      <c r="G3542" t="str">
        <f>"00223996"</f>
        <v>00223996</v>
      </c>
      <c r="H3542" t="s">
        <v>6519</v>
      </c>
      <c r="I3542">
        <v>0</v>
      </c>
      <c r="J3542">
        <v>0</v>
      </c>
      <c r="K3542">
        <v>0</v>
      </c>
      <c r="L3542">
        <v>0</v>
      </c>
      <c r="M3542">
        <v>0</v>
      </c>
      <c r="N3542">
        <v>30</v>
      </c>
      <c r="O3542">
        <v>0</v>
      </c>
      <c r="P3542">
        <v>0</v>
      </c>
      <c r="Q3542">
        <v>0</v>
      </c>
      <c r="R3542">
        <v>0</v>
      </c>
      <c r="S3542">
        <v>0</v>
      </c>
      <c r="T3542">
        <v>0</v>
      </c>
      <c r="U3542">
        <v>0</v>
      </c>
      <c r="V3542">
        <v>30</v>
      </c>
      <c r="W3542">
        <v>210</v>
      </c>
      <c r="X3542">
        <v>0</v>
      </c>
      <c r="Z3542">
        <v>0</v>
      </c>
      <c r="AA3542">
        <v>0</v>
      </c>
      <c r="AB3542">
        <v>0</v>
      </c>
      <c r="AC3542">
        <v>0</v>
      </c>
      <c r="AD3542" t="s">
        <v>6520</v>
      </c>
    </row>
    <row r="3543" spans="1:30" x14ac:dyDescent="0.25">
      <c r="H3543" t="s">
        <v>6521</v>
      </c>
    </row>
    <row r="3544" spans="1:30" x14ac:dyDescent="0.25">
      <c r="A3544">
        <v>1769</v>
      </c>
      <c r="B3544">
        <v>4124</v>
      </c>
      <c r="C3544" t="s">
        <v>6522</v>
      </c>
      <c r="D3544" t="s">
        <v>223</v>
      </c>
      <c r="E3544" t="s">
        <v>140</v>
      </c>
      <c r="F3544" t="s">
        <v>6523</v>
      </c>
      <c r="G3544" t="str">
        <f>"00184096"</f>
        <v>00184096</v>
      </c>
      <c r="H3544" t="s">
        <v>1540</v>
      </c>
      <c r="I3544">
        <v>0</v>
      </c>
      <c r="J3544">
        <v>0</v>
      </c>
      <c r="K3544">
        <v>0</v>
      </c>
      <c r="L3544">
        <v>0</v>
      </c>
      <c r="M3544">
        <v>0</v>
      </c>
      <c r="N3544">
        <v>30</v>
      </c>
      <c r="O3544">
        <v>0</v>
      </c>
      <c r="P3544">
        <v>0</v>
      </c>
      <c r="Q3544">
        <v>0</v>
      </c>
      <c r="R3544">
        <v>0</v>
      </c>
      <c r="S3544">
        <v>0</v>
      </c>
      <c r="T3544">
        <v>0</v>
      </c>
      <c r="U3544">
        <v>0</v>
      </c>
      <c r="V3544">
        <v>24</v>
      </c>
      <c r="W3544">
        <v>168</v>
      </c>
      <c r="X3544">
        <v>0</v>
      </c>
      <c r="Z3544">
        <v>0</v>
      </c>
      <c r="AA3544">
        <v>0</v>
      </c>
      <c r="AB3544">
        <v>0</v>
      </c>
      <c r="AC3544">
        <v>0</v>
      </c>
      <c r="AD3544" t="s">
        <v>6524</v>
      </c>
    </row>
    <row r="3545" spans="1:30" x14ac:dyDescent="0.25">
      <c r="H3545" t="s">
        <v>6525</v>
      </c>
    </row>
    <row r="3546" spans="1:30" x14ac:dyDescent="0.25">
      <c r="A3546">
        <v>1770</v>
      </c>
      <c r="B3546">
        <v>2319</v>
      </c>
      <c r="C3546" t="s">
        <v>1129</v>
      </c>
      <c r="D3546" t="s">
        <v>40</v>
      </c>
      <c r="E3546" t="s">
        <v>6526</v>
      </c>
      <c r="F3546" t="s">
        <v>6527</v>
      </c>
      <c r="G3546" t="str">
        <f>"00157918"</f>
        <v>00157918</v>
      </c>
      <c r="H3546" t="s">
        <v>1063</v>
      </c>
      <c r="I3546">
        <v>0</v>
      </c>
      <c r="J3546">
        <v>0</v>
      </c>
      <c r="K3546">
        <v>0</v>
      </c>
      <c r="L3546">
        <v>0</v>
      </c>
      <c r="M3546">
        <v>100</v>
      </c>
      <c r="N3546">
        <v>30</v>
      </c>
      <c r="O3546">
        <v>0</v>
      </c>
      <c r="P3546">
        <v>0</v>
      </c>
      <c r="Q3546">
        <v>0</v>
      </c>
      <c r="R3546">
        <v>0</v>
      </c>
      <c r="S3546">
        <v>0</v>
      </c>
      <c r="T3546">
        <v>0</v>
      </c>
      <c r="U3546">
        <v>0</v>
      </c>
      <c r="V3546">
        <v>0</v>
      </c>
      <c r="W3546">
        <v>0</v>
      </c>
      <c r="X3546">
        <v>0</v>
      </c>
      <c r="Z3546">
        <v>0</v>
      </c>
      <c r="AA3546">
        <v>0</v>
      </c>
      <c r="AB3546">
        <v>0</v>
      </c>
      <c r="AC3546">
        <v>0</v>
      </c>
      <c r="AD3546" t="s">
        <v>6528</v>
      </c>
    </row>
    <row r="3547" spans="1:30" x14ac:dyDescent="0.25">
      <c r="H3547" t="s">
        <v>6529</v>
      </c>
    </row>
    <row r="3548" spans="1:30" x14ac:dyDescent="0.25">
      <c r="A3548">
        <v>1771</v>
      </c>
      <c r="B3548">
        <v>2834</v>
      </c>
      <c r="C3548" t="s">
        <v>6530</v>
      </c>
      <c r="D3548" t="s">
        <v>40</v>
      </c>
      <c r="E3548" t="s">
        <v>183</v>
      </c>
      <c r="F3548" t="s">
        <v>6531</v>
      </c>
      <c r="G3548" t="str">
        <f>"201406006382"</f>
        <v>201406006382</v>
      </c>
      <c r="H3548" t="s">
        <v>2206</v>
      </c>
      <c r="I3548">
        <v>0</v>
      </c>
      <c r="J3548">
        <v>0</v>
      </c>
      <c r="K3548">
        <v>0</v>
      </c>
      <c r="L3548">
        <v>0</v>
      </c>
      <c r="M3548">
        <v>0</v>
      </c>
      <c r="N3548">
        <v>30</v>
      </c>
      <c r="O3548">
        <v>0</v>
      </c>
      <c r="P3548">
        <v>0</v>
      </c>
      <c r="Q3548">
        <v>0</v>
      </c>
      <c r="R3548">
        <v>0</v>
      </c>
      <c r="S3548">
        <v>0</v>
      </c>
      <c r="T3548">
        <v>0</v>
      </c>
      <c r="U3548">
        <v>0</v>
      </c>
      <c r="V3548">
        <v>27</v>
      </c>
      <c r="W3548">
        <v>189</v>
      </c>
      <c r="X3548">
        <v>0</v>
      </c>
      <c r="Z3548">
        <v>0</v>
      </c>
      <c r="AA3548">
        <v>0</v>
      </c>
      <c r="AB3548">
        <v>0</v>
      </c>
      <c r="AC3548">
        <v>0</v>
      </c>
      <c r="AD3548" t="s">
        <v>6532</v>
      </c>
    </row>
    <row r="3549" spans="1:30" x14ac:dyDescent="0.25">
      <c r="H3549" t="s">
        <v>6533</v>
      </c>
    </row>
    <row r="3550" spans="1:30" x14ac:dyDescent="0.25">
      <c r="A3550">
        <v>1772</v>
      </c>
      <c r="B3550">
        <v>3663</v>
      </c>
      <c r="C3550" t="s">
        <v>6534</v>
      </c>
      <c r="D3550" t="s">
        <v>296</v>
      </c>
      <c r="E3550" t="s">
        <v>87</v>
      </c>
      <c r="F3550" t="s">
        <v>6535</v>
      </c>
      <c r="G3550" t="str">
        <f>"00158985"</f>
        <v>00158985</v>
      </c>
      <c r="H3550" t="s">
        <v>789</v>
      </c>
      <c r="I3550">
        <v>0</v>
      </c>
      <c r="J3550">
        <v>0</v>
      </c>
      <c r="K3550">
        <v>0</v>
      </c>
      <c r="L3550">
        <v>0</v>
      </c>
      <c r="M3550">
        <v>0</v>
      </c>
      <c r="N3550">
        <v>70</v>
      </c>
      <c r="O3550">
        <v>0</v>
      </c>
      <c r="P3550">
        <v>0</v>
      </c>
      <c r="Q3550">
        <v>0</v>
      </c>
      <c r="R3550">
        <v>0</v>
      </c>
      <c r="S3550">
        <v>0</v>
      </c>
      <c r="T3550">
        <v>0</v>
      </c>
      <c r="U3550">
        <v>0</v>
      </c>
      <c r="V3550">
        <v>0</v>
      </c>
      <c r="W3550">
        <v>0</v>
      </c>
      <c r="X3550">
        <v>0</v>
      </c>
      <c r="Z3550">
        <v>0</v>
      </c>
      <c r="AA3550">
        <v>0</v>
      </c>
      <c r="AB3550">
        <v>0</v>
      </c>
      <c r="AC3550">
        <v>0</v>
      </c>
      <c r="AD3550" t="s">
        <v>6536</v>
      </c>
    </row>
    <row r="3551" spans="1:30" x14ac:dyDescent="0.25">
      <c r="H3551" t="s">
        <v>6537</v>
      </c>
    </row>
    <row r="3552" spans="1:30" x14ac:dyDescent="0.25">
      <c r="A3552">
        <v>1773</v>
      </c>
      <c r="B3552">
        <v>4088</v>
      </c>
      <c r="C3552" t="s">
        <v>6538</v>
      </c>
      <c r="D3552" t="s">
        <v>98</v>
      </c>
      <c r="E3552" t="s">
        <v>39</v>
      </c>
      <c r="F3552" t="s">
        <v>6539</v>
      </c>
      <c r="G3552" t="str">
        <f>"201412007286"</f>
        <v>201412007286</v>
      </c>
      <c r="H3552">
        <v>671</v>
      </c>
      <c r="I3552">
        <v>0</v>
      </c>
      <c r="J3552">
        <v>0</v>
      </c>
      <c r="K3552">
        <v>0</v>
      </c>
      <c r="L3552">
        <v>0</v>
      </c>
      <c r="M3552">
        <v>0</v>
      </c>
      <c r="N3552">
        <v>0</v>
      </c>
      <c r="O3552">
        <v>0</v>
      </c>
      <c r="P3552">
        <v>0</v>
      </c>
      <c r="Q3552">
        <v>0</v>
      </c>
      <c r="R3552">
        <v>0</v>
      </c>
      <c r="S3552">
        <v>0</v>
      </c>
      <c r="T3552">
        <v>0</v>
      </c>
      <c r="U3552">
        <v>0</v>
      </c>
      <c r="V3552">
        <v>29</v>
      </c>
      <c r="W3552">
        <v>203</v>
      </c>
      <c r="X3552">
        <v>0</v>
      </c>
      <c r="Z3552">
        <v>0</v>
      </c>
      <c r="AA3552">
        <v>0</v>
      </c>
      <c r="AB3552">
        <v>0</v>
      </c>
      <c r="AC3552">
        <v>0</v>
      </c>
      <c r="AD3552">
        <v>874</v>
      </c>
    </row>
    <row r="3553" spans="1:30" x14ac:dyDescent="0.25">
      <c r="H3553" t="s">
        <v>6540</v>
      </c>
    </row>
    <row r="3554" spans="1:30" x14ac:dyDescent="0.25">
      <c r="A3554">
        <v>1774</v>
      </c>
      <c r="B3554">
        <v>3028</v>
      </c>
      <c r="C3554" t="s">
        <v>3421</v>
      </c>
      <c r="D3554" t="s">
        <v>182</v>
      </c>
      <c r="E3554" t="s">
        <v>1265</v>
      </c>
      <c r="F3554" t="s">
        <v>6541</v>
      </c>
      <c r="G3554" t="str">
        <f>"201511018523"</f>
        <v>201511018523</v>
      </c>
      <c r="H3554" t="s">
        <v>1115</v>
      </c>
      <c r="I3554">
        <v>0</v>
      </c>
      <c r="J3554">
        <v>0</v>
      </c>
      <c r="K3554">
        <v>0</v>
      </c>
      <c r="L3554">
        <v>0</v>
      </c>
      <c r="M3554">
        <v>0</v>
      </c>
      <c r="N3554">
        <v>0</v>
      </c>
      <c r="O3554">
        <v>0</v>
      </c>
      <c r="P3554">
        <v>0</v>
      </c>
      <c r="Q3554">
        <v>0</v>
      </c>
      <c r="R3554">
        <v>0</v>
      </c>
      <c r="S3554">
        <v>0</v>
      </c>
      <c r="T3554">
        <v>0</v>
      </c>
      <c r="U3554">
        <v>0</v>
      </c>
      <c r="V3554">
        <v>15</v>
      </c>
      <c r="W3554">
        <v>105</v>
      </c>
      <c r="X3554">
        <v>0</v>
      </c>
      <c r="Z3554">
        <v>0</v>
      </c>
      <c r="AA3554">
        <v>0</v>
      </c>
      <c r="AB3554">
        <v>0</v>
      </c>
      <c r="AC3554">
        <v>0</v>
      </c>
      <c r="AD3554" t="s">
        <v>6542</v>
      </c>
    </row>
    <row r="3555" spans="1:30" x14ac:dyDescent="0.25">
      <c r="H3555" t="s">
        <v>6543</v>
      </c>
    </row>
    <row r="3556" spans="1:30" x14ac:dyDescent="0.25">
      <c r="A3556">
        <v>1775</v>
      </c>
      <c r="B3556">
        <v>4936</v>
      </c>
      <c r="C3556" t="s">
        <v>6544</v>
      </c>
      <c r="D3556" t="s">
        <v>420</v>
      </c>
      <c r="E3556" t="s">
        <v>183</v>
      </c>
      <c r="F3556" t="s">
        <v>6545</v>
      </c>
      <c r="G3556" t="str">
        <f>"00247444"</f>
        <v>00247444</v>
      </c>
      <c r="H3556" t="s">
        <v>1345</v>
      </c>
      <c r="I3556">
        <v>0</v>
      </c>
      <c r="J3556">
        <v>0</v>
      </c>
      <c r="K3556">
        <v>0</v>
      </c>
      <c r="L3556">
        <v>0</v>
      </c>
      <c r="M3556">
        <v>0</v>
      </c>
      <c r="N3556">
        <v>30</v>
      </c>
      <c r="O3556">
        <v>0</v>
      </c>
      <c r="P3556">
        <v>0</v>
      </c>
      <c r="Q3556">
        <v>0</v>
      </c>
      <c r="R3556">
        <v>0</v>
      </c>
      <c r="S3556">
        <v>0</v>
      </c>
      <c r="T3556">
        <v>0</v>
      </c>
      <c r="U3556">
        <v>0</v>
      </c>
      <c r="V3556">
        <v>14</v>
      </c>
      <c r="W3556">
        <v>98</v>
      </c>
      <c r="X3556">
        <v>0</v>
      </c>
      <c r="Z3556">
        <v>0</v>
      </c>
      <c r="AA3556">
        <v>0</v>
      </c>
      <c r="AB3556">
        <v>0</v>
      </c>
      <c r="AC3556">
        <v>0</v>
      </c>
      <c r="AD3556" t="s">
        <v>6546</v>
      </c>
    </row>
    <row r="3557" spans="1:30" x14ac:dyDescent="0.25">
      <c r="H3557" t="s">
        <v>6547</v>
      </c>
    </row>
    <row r="3558" spans="1:30" x14ac:dyDescent="0.25">
      <c r="A3558">
        <v>1776</v>
      </c>
      <c r="B3558">
        <v>1329</v>
      </c>
      <c r="C3558" t="s">
        <v>6548</v>
      </c>
      <c r="D3558" t="s">
        <v>47</v>
      </c>
      <c r="E3558" t="s">
        <v>974</v>
      </c>
      <c r="F3558" t="s">
        <v>6549</v>
      </c>
      <c r="G3558" t="str">
        <f>"201511011530"</f>
        <v>201511011530</v>
      </c>
      <c r="H3558" t="s">
        <v>1261</v>
      </c>
      <c r="I3558">
        <v>0</v>
      </c>
      <c r="J3558">
        <v>0</v>
      </c>
      <c r="K3558">
        <v>0</v>
      </c>
      <c r="L3558">
        <v>0</v>
      </c>
      <c r="M3558">
        <v>0</v>
      </c>
      <c r="N3558">
        <v>0</v>
      </c>
      <c r="O3558">
        <v>0</v>
      </c>
      <c r="P3558">
        <v>0</v>
      </c>
      <c r="Q3558">
        <v>0</v>
      </c>
      <c r="R3558">
        <v>0</v>
      </c>
      <c r="S3558">
        <v>0</v>
      </c>
      <c r="T3558">
        <v>0</v>
      </c>
      <c r="U3558">
        <v>0</v>
      </c>
      <c r="V3558">
        <v>30</v>
      </c>
      <c r="W3558">
        <v>210</v>
      </c>
      <c r="X3558">
        <v>0</v>
      </c>
      <c r="Z3558">
        <v>0</v>
      </c>
      <c r="AA3558">
        <v>0</v>
      </c>
      <c r="AB3558">
        <v>0</v>
      </c>
      <c r="AC3558">
        <v>0</v>
      </c>
      <c r="AD3558" t="s">
        <v>6550</v>
      </c>
    </row>
    <row r="3559" spans="1:30" x14ac:dyDescent="0.25">
      <c r="H3559" t="s">
        <v>6551</v>
      </c>
    </row>
    <row r="3560" spans="1:30" x14ac:dyDescent="0.25">
      <c r="A3560">
        <v>1777</v>
      </c>
      <c r="B3560">
        <v>3911</v>
      </c>
      <c r="C3560" t="s">
        <v>6552</v>
      </c>
      <c r="D3560" t="s">
        <v>804</v>
      </c>
      <c r="E3560" t="s">
        <v>47</v>
      </c>
      <c r="F3560" t="s">
        <v>6553</v>
      </c>
      <c r="G3560" t="str">
        <f>"00201957"</f>
        <v>00201957</v>
      </c>
      <c r="H3560" t="s">
        <v>204</v>
      </c>
      <c r="I3560">
        <v>0</v>
      </c>
      <c r="J3560">
        <v>0</v>
      </c>
      <c r="K3560">
        <v>0</v>
      </c>
      <c r="L3560">
        <v>0</v>
      </c>
      <c r="M3560">
        <v>0</v>
      </c>
      <c r="N3560">
        <v>30</v>
      </c>
      <c r="O3560">
        <v>0</v>
      </c>
      <c r="P3560">
        <v>0</v>
      </c>
      <c r="Q3560">
        <v>0</v>
      </c>
      <c r="R3560">
        <v>0</v>
      </c>
      <c r="S3560">
        <v>0</v>
      </c>
      <c r="T3560">
        <v>0</v>
      </c>
      <c r="U3560">
        <v>0</v>
      </c>
      <c r="V3560">
        <v>16</v>
      </c>
      <c r="W3560">
        <v>112</v>
      </c>
      <c r="X3560">
        <v>0</v>
      </c>
      <c r="Z3560">
        <v>0</v>
      </c>
      <c r="AA3560">
        <v>0</v>
      </c>
      <c r="AB3560">
        <v>0</v>
      </c>
      <c r="AC3560">
        <v>0</v>
      </c>
      <c r="AD3560" t="s">
        <v>6554</v>
      </c>
    </row>
    <row r="3561" spans="1:30" x14ac:dyDescent="0.25">
      <c r="H3561" t="s">
        <v>6555</v>
      </c>
    </row>
    <row r="3562" spans="1:30" x14ac:dyDescent="0.25">
      <c r="A3562">
        <v>1778</v>
      </c>
      <c r="B3562">
        <v>320</v>
      </c>
      <c r="C3562" t="s">
        <v>6556</v>
      </c>
      <c r="D3562" t="s">
        <v>335</v>
      </c>
      <c r="E3562" t="s">
        <v>190</v>
      </c>
      <c r="F3562" t="s">
        <v>6557</v>
      </c>
      <c r="G3562" t="str">
        <f>"00152036"</f>
        <v>00152036</v>
      </c>
      <c r="H3562" t="s">
        <v>740</v>
      </c>
      <c r="I3562">
        <v>0</v>
      </c>
      <c r="J3562">
        <v>0</v>
      </c>
      <c r="K3562">
        <v>0</v>
      </c>
      <c r="L3562">
        <v>0</v>
      </c>
      <c r="M3562">
        <v>0</v>
      </c>
      <c r="N3562">
        <v>0</v>
      </c>
      <c r="O3562">
        <v>0</v>
      </c>
      <c r="P3562">
        <v>0</v>
      </c>
      <c r="Q3562">
        <v>0</v>
      </c>
      <c r="R3562">
        <v>0</v>
      </c>
      <c r="S3562">
        <v>0</v>
      </c>
      <c r="T3562">
        <v>0</v>
      </c>
      <c r="U3562">
        <v>0</v>
      </c>
      <c r="V3562">
        <v>0</v>
      </c>
      <c r="W3562">
        <v>0</v>
      </c>
      <c r="X3562">
        <v>0</v>
      </c>
      <c r="Z3562">
        <v>2</v>
      </c>
      <c r="AA3562">
        <v>0</v>
      </c>
      <c r="AB3562">
        <v>11</v>
      </c>
      <c r="AC3562">
        <v>187</v>
      </c>
      <c r="AD3562" t="s">
        <v>6558</v>
      </c>
    </row>
    <row r="3563" spans="1:30" x14ac:dyDescent="0.25">
      <c r="H3563" t="s">
        <v>6559</v>
      </c>
    </row>
    <row r="3564" spans="1:30" x14ac:dyDescent="0.25">
      <c r="A3564">
        <v>1779</v>
      </c>
      <c r="B3564">
        <v>4692</v>
      </c>
      <c r="C3564" t="s">
        <v>6560</v>
      </c>
      <c r="D3564" t="s">
        <v>1186</v>
      </c>
      <c r="E3564" t="s">
        <v>39</v>
      </c>
      <c r="F3564" t="s">
        <v>6561</v>
      </c>
      <c r="G3564" t="str">
        <f>"201406000672"</f>
        <v>201406000672</v>
      </c>
      <c r="H3564" t="s">
        <v>5687</v>
      </c>
      <c r="I3564">
        <v>0</v>
      </c>
      <c r="J3564">
        <v>0</v>
      </c>
      <c r="K3564">
        <v>0</v>
      </c>
      <c r="L3564">
        <v>0</v>
      </c>
      <c r="M3564">
        <v>0</v>
      </c>
      <c r="N3564">
        <v>30</v>
      </c>
      <c r="O3564">
        <v>0</v>
      </c>
      <c r="P3564">
        <v>0</v>
      </c>
      <c r="Q3564">
        <v>0</v>
      </c>
      <c r="R3564">
        <v>0</v>
      </c>
      <c r="S3564">
        <v>0</v>
      </c>
      <c r="T3564">
        <v>0</v>
      </c>
      <c r="U3564">
        <v>0</v>
      </c>
      <c r="V3564">
        <v>32</v>
      </c>
      <c r="W3564">
        <v>224</v>
      </c>
      <c r="X3564">
        <v>0</v>
      </c>
      <c r="Z3564">
        <v>2</v>
      </c>
      <c r="AA3564">
        <v>0</v>
      </c>
      <c r="AB3564">
        <v>0</v>
      </c>
      <c r="AC3564">
        <v>0</v>
      </c>
      <c r="AD3564" t="s">
        <v>6562</v>
      </c>
    </row>
    <row r="3565" spans="1:30" x14ac:dyDescent="0.25">
      <c r="H3565" t="s">
        <v>1822</v>
      </c>
    </row>
    <row r="3566" spans="1:30" x14ac:dyDescent="0.25">
      <c r="A3566">
        <v>1780</v>
      </c>
      <c r="B3566">
        <v>3461</v>
      </c>
      <c r="C3566" t="s">
        <v>6563</v>
      </c>
      <c r="D3566" t="s">
        <v>46</v>
      </c>
      <c r="E3566" t="s">
        <v>47</v>
      </c>
      <c r="F3566" t="s">
        <v>6564</v>
      </c>
      <c r="G3566" t="str">
        <f>"201510000866"</f>
        <v>201510000866</v>
      </c>
      <c r="H3566" t="s">
        <v>226</v>
      </c>
      <c r="I3566">
        <v>0</v>
      </c>
      <c r="J3566">
        <v>0</v>
      </c>
      <c r="K3566">
        <v>0</v>
      </c>
      <c r="L3566">
        <v>0</v>
      </c>
      <c r="M3566">
        <v>0</v>
      </c>
      <c r="N3566">
        <v>30</v>
      </c>
      <c r="O3566">
        <v>0</v>
      </c>
      <c r="P3566">
        <v>0</v>
      </c>
      <c r="Q3566">
        <v>0</v>
      </c>
      <c r="R3566">
        <v>0</v>
      </c>
      <c r="S3566">
        <v>0</v>
      </c>
      <c r="T3566">
        <v>0</v>
      </c>
      <c r="U3566">
        <v>0</v>
      </c>
      <c r="V3566">
        <v>10</v>
      </c>
      <c r="W3566">
        <v>70</v>
      </c>
      <c r="X3566">
        <v>0</v>
      </c>
      <c r="Z3566">
        <v>0</v>
      </c>
      <c r="AA3566">
        <v>0</v>
      </c>
      <c r="AB3566">
        <v>0</v>
      </c>
      <c r="AC3566">
        <v>0</v>
      </c>
      <c r="AD3566" t="s">
        <v>6565</v>
      </c>
    </row>
    <row r="3567" spans="1:30" x14ac:dyDescent="0.25">
      <c r="H3567" t="s">
        <v>6566</v>
      </c>
    </row>
    <row r="3568" spans="1:30" x14ac:dyDescent="0.25">
      <c r="A3568">
        <v>1781</v>
      </c>
      <c r="B3568">
        <v>4079</v>
      </c>
      <c r="C3568" t="s">
        <v>6567</v>
      </c>
      <c r="D3568" t="s">
        <v>1039</v>
      </c>
      <c r="E3568" t="s">
        <v>40</v>
      </c>
      <c r="F3568" t="s">
        <v>6568</v>
      </c>
      <c r="G3568" t="str">
        <f>"201405000291"</f>
        <v>201405000291</v>
      </c>
      <c r="H3568" t="s">
        <v>933</v>
      </c>
      <c r="I3568">
        <v>0</v>
      </c>
      <c r="J3568">
        <v>0</v>
      </c>
      <c r="K3568">
        <v>0</v>
      </c>
      <c r="L3568">
        <v>0</v>
      </c>
      <c r="M3568">
        <v>0</v>
      </c>
      <c r="N3568">
        <v>70</v>
      </c>
      <c r="O3568">
        <v>0</v>
      </c>
      <c r="P3568">
        <v>0</v>
      </c>
      <c r="Q3568">
        <v>0</v>
      </c>
      <c r="R3568">
        <v>0</v>
      </c>
      <c r="S3568">
        <v>0</v>
      </c>
      <c r="T3568">
        <v>0</v>
      </c>
      <c r="U3568">
        <v>0</v>
      </c>
      <c r="V3568">
        <v>12</v>
      </c>
      <c r="W3568">
        <v>84</v>
      </c>
      <c r="X3568">
        <v>0</v>
      </c>
      <c r="Z3568">
        <v>0</v>
      </c>
      <c r="AA3568">
        <v>0</v>
      </c>
      <c r="AB3568">
        <v>0</v>
      </c>
      <c r="AC3568">
        <v>0</v>
      </c>
      <c r="AD3568" t="s">
        <v>1043</v>
      </c>
    </row>
    <row r="3569" spans="1:30" x14ac:dyDescent="0.25">
      <c r="H3569" t="s">
        <v>6569</v>
      </c>
    </row>
    <row r="3570" spans="1:30" x14ac:dyDescent="0.25">
      <c r="A3570">
        <v>1782</v>
      </c>
      <c r="B3570">
        <v>4440</v>
      </c>
      <c r="C3570" t="s">
        <v>6570</v>
      </c>
      <c r="D3570" t="s">
        <v>566</v>
      </c>
      <c r="E3570" t="s">
        <v>151</v>
      </c>
      <c r="F3570" t="s">
        <v>6571</v>
      </c>
      <c r="G3570" t="str">
        <f>"00350171"</f>
        <v>00350171</v>
      </c>
      <c r="H3570" t="s">
        <v>110</v>
      </c>
      <c r="I3570">
        <v>0</v>
      </c>
      <c r="J3570">
        <v>0</v>
      </c>
      <c r="K3570">
        <v>0</v>
      </c>
      <c r="L3570">
        <v>0</v>
      </c>
      <c r="M3570">
        <v>0</v>
      </c>
      <c r="N3570">
        <v>0</v>
      </c>
      <c r="O3570">
        <v>0</v>
      </c>
      <c r="P3570">
        <v>0</v>
      </c>
      <c r="Q3570">
        <v>0</v>
      </c>
      <c r="R3570">
        <v>0</v>
      </c>
      <c r="S3570">
        <v>0</v>
      </c>
      <c r="T3570">
        <v>0</v>
      </c>
      <c r="U3570">
        <v>0</v>
      </c>
      <c r="V3570">
        <v>0</v>
      </c>
      <c r="W3570">
        <v>0</v>
      </c>
      <c r="X3570">
        <v>0</v>
      </c>
      <c r="Z3570">
        <v>2</v>
      </c>
      <c r="AA3570">
        <v>0</v>
      </c>
      <c r="AB3570">
        <v>5</v>
      </c>
      <c r="AC3570">
        <v>85</v>
      </c>
      <c r="AD3570" t="s">
        <v>6572</v>
      </c>
    </row>
    <row r="3571" spans="1:30" x14ac:dyDescent="0.25">
      <c r="H3571">
        <v>1249</v>
      </c>
    </row>
    <row r="3572" spans="1:30" x14ac:dyDescent="0.25">
      <c r="A3572">
        <v>1783</v>
      </c>
      <c r="B3572">
        <v>3933</v>
      </c>
      <c r="C3572" t="s">
        <v>6573</v>
      </c>
      <c r="D3572" t="s">
        <v>420</v>
      </c>
      <c r="E3572" t="s">
        <v>162</v>
      </c>
      <c r="F3572" t="s">
        <v>6574</v>
      </c>
      <c r="G3572" t="str">
        <f>"00365412"</f>
        <v>00365412</v>
      </c>
      <c r="H3572" t="s">
        <v>1303</v>
      </c>
      <c r="I3572">
        <v>0</v>
      </c>
      <c r="J3572">
        <v>0</v>
      </c>
      <c r="K3572">
        <v>0</v>
      </c>
      <c r="L3572">
        <v>0</v>
      </c>
      <c r="M3572">
        <v>0</v>
      </c>
      <c r="N3572">
        <v>30</v>
      </c>
      <c r="O3572">
        <v>0</v>
      </c>
      <c r="P3572">
        <v>0</v>
      </c>
      <c r="Q3572">
        <v>0</v>
      </c>
      <c r="R3572">
        <v>0</v>
      </c>
      <c r="S3572">
        <v>0</v>
      </c>
      <c r="T3572">
        <v>0</v>
      </c>
      <c r="U3572">
        <v>0</v>
      </c>
      <c r="V3572">
        <v>19</v>
      </c>
      <c r="W3572">
        <v>133</v>
      </c>
      <c r="X3572">
        <v>0</v>
      </c>
      <c r="Z3572">
        <v>0</v>
      </c>
      <c r="AA3572">
        <v>0</v>
      </c>
      <c r="AB3572">
        <v>0</v>
      </c>
      <c r="AC3572">
        <v>0</v>
      </c>
      <c r="AD3572" t="s">
        <v>6575</v>
      </c>
    </row>
    <row r="3573" spans="1:30" x14ac:dyDescent="0.25">
      <c r="H3573" t="s">
        <v>6576</v>
      </c>
    </row>
    <row r="3574" spans="1:30" x14ac:dyDescent="0.25">
      <c r="A3574">
        <v>1784</v>
      </c>
      <c r="B3574">
        <v>49</v>
      </c>
      <c r="C3574" t="s">
        <v>6577</v>
      </c>
      <c r="D3574" t="s">
        <v>2537</v>
      </c>
      <c r="E3574" t="s">
        <v>115</v>
      </c>
      <c r="F3574" t="s">
        <v>6578</v>
      </c>
      <c r="G3574" t="str">
        <f>"00264726"</f>
        <v>00264726</v>
      </c>
      <c r="H3574" t="s">
        <v>4168</v>
      </c>
      <c r="I3574">
        <v>0</v>
      </c>
      <c r="J3574">
        <v>0</v>
      </c>
      <c r="K3574">
        <v>0</v>
      </c>
      <c r="L3574">
        <v>0</v>
      </c>
      <c r="M3574">
        <v>0</v>
      </c>
      <c r="N3574">
        <v>50</v>
      </c>
      <c r="O3574">
        <v>0</v>
      </c>
      <c r="P3574">
        <v>0</v>
      </c>
      <c r="Q3574">
        <v>0</v>
      </c>
      <c r="R3574">
        <v>0</v>
      </c>
      <c r="S3574">
        <v>0</v>
      </c>
      <c r="T3574">
        <v>0</v>
      </c>
      <c r="U3574">
        <v>0</v>
      </c>
      <c r="V3574">
        <v>10</v>
      </c>
      <c r="W3574">
        <v>70</v>
      </c>
      <c r="X3574">
        <v>0</v>
      </c>
      <c r="Z3574">
        <v>2</v>
      </c>
      <c r="AA3574">
        <v>0</v>
      </c>
      <c r="AB3574">
        <v>0</v>
      </c>
      <c r="AC3574">
        <v>0</v>
      </c>
      <c r="AD3574" t="s">
        <v>6579</v>
      </c>
    </row>
    <row r="3575" spans="1:30" x14ac:dyDescent="0.25">
      <c r="H3575" t="s">
        <v>6580</v>
      </c>
    </row>
    <row r="3576" spans="1:30" x14ac:dyDescent="0.25">
      <c r="A3576">
        <v>1785</v>
      </c>
      <c r="B3576">
        <v>4372</v>
      </c>
      <c r="C3576" t="s">
        <v>3944</v>
      </c>
      <c r="D3576" t="s">
        <v>335</v>
      </c>
      <c r="E3576" t="s">
        <v>176</v>
      </c>
      <c r="F3576" t="s">
        <v>6581</v>
      </c>
      <c r="G3576" t="str">
        <f>"00217530"</f>
        <v>00217530</v>
      </c>
      <c r="H3576" t="s">
        <v>2242</v>
      </c>
      <c r="I3576">
        <v>0</v>
      </c>
      <c r="J3576">
        <v>0</v>
      </c>
      <c r="K3576">
        <v>0</v>
      </c>
      <c r="L3576">
        <v>0</v>
      </c>
      <c r="M3576">
        <v>0</v>
      </c>
      <c r="N3576">
        <v>30</v>
      </c>
      <c r="O3576">
        <v>0</v>
      </c>
      <c r="P3576">
        <v>0</v>
      </c>
      <c r="Q3576">
        <v>0</v>
      </c>
      <c r="R3576">
        <v>0</v>
      </c>
      <c r="S3576">
        <v>0</v>
      </c>
      <c r="T3576">
        <v>0</v>
      </c>
      <c r="U3576">
        <v>0</v>
      </c>
      <c r="V3576">
        <v>18</v>
      </c>
      <c r="W3576">
        <v>126</v>
      </c>
      <c r="X3576">
        <v>0</v>
      </c>
      <c r="Z3576">
        <v>0</v>
      </c>
      <c r="AA3576">
        <v>0</v>
      </c>
      <c r="AB3576">
        <v>0</v>
      </c>
      <c r="AC3576">
        <v>0</v>
      </c>
      <c r="AD3576" t="s">
        <v>6582</v>
      </c>
    </row>
    <row r="3577" spans="1:30" x14ac:dyDescent="0.25">
      <c r="H3577" t="s">
        <v>6583</v>
      </c>
    </row>
    <row r="3578" spans="1:30" x14ac:dyDescent="0.25">
      <c r="A3578">
        <v>1786</v>
      </c>
      <c r="B3578">
        <v>5613</v>
      </c>
      <c r="C3578" t="s">
        <v>6584</v>
      </c>
      <c r="D3578" t="s">
        <v>239</v>
      </c>
      <c r="E3578" t="s">
        <v>162</v>
      </c>
      <c r="F3578" t="s">
        <v>6585</v>
      </c>
      <c r="G3578" t="str">
        <f>"201411003581"</f>
        <v>201411003581</v>
      </c>
      <c r="H3578" t="s">
        <v>1540</v>
      </c>
      <c r="I3578">
        <v>0</v>
      </c>
      <c r="J3578">
        <v>0</v>
      </c>
      <c r="K3578">
        <v>0</v>
      </c>
      <c r="L3578">
        <v>0</v>
      </c>
      <c r="M3578">
        <v>0</v>
      </c>
      <c r="N3578">
        <v>30</v>
      </c>
      <c r="O3578">
        <v>0</v>
      </c>
      <c r="P3578">
        <v>0</v>
      </c>
      <c r="Q3578">
        <v>0</v>
      </c>
      <c r="R3578">
        <v>0</v>
      </c>
      <c r="S3578">
        <v>0</v>
      </c>
      <c r="T3578">
        <v>0</v>
      </c>
      <c r="U3578">
        <v>0</v>
      </c>
      <c r="V3578">
        <v>23</v>
      </c>
      <c r="W3578">
        <v>161</v>
      </c>
      <c r="X3578">
        <v>0</v>
      </c>
      <c r="Z3578">
        <v>0</v>
      </c>
      <c r="AA3578">
        <v>0</v>
      </c>
      <c r="AB3578">
        <v>0</v>
      </c>
      <c r="AC3578">
        <v>0</v>
      </c>
      <c r="AD3578" t="s">
        <v>6586</v>
      </c>
    </row>
    <row r="3579" spans="1:30" x14ac:dyDescent="0.25">
      <c r="H3579" t="s">
        <v>6587</v>
      </c>
    </row>
    <row r="3580" spans="1:30" x14ac:dyDescent="0.25">
      <c r="A3580">
        <v>1787</v>
      </c>
      <c r="B3580">
        <v>1054</v>
      </c>
      <c r="C3580" t="s">
        <v>6588</v>
      </c>
      <c r="D3580" t="s">
        <v>869</v>
      </c>
      <c r="E3580" t="s">
        <v>39</v>
      </c>
      <c r="F3580" t="s">
        <v>6589</v>
      </c>
      <c r="G3580" t="str">
        <f>"200801003441"</f>
        <v>200801003441</v>
      </c>
      <c r="H3580">
        <v>803</v>
      </c>
      <c r="I3580">
        <v>0</v>
      </c>
      <c r="J3580">
        <v>0</v>
      </c>
      <c r="K3580">
        <v>0</v>
      </c>
      <c r="L3580">
        <v>0</v>
      </c>
      <c r="M3580">
        <v>0</v>
      </c>
      <c r="N3580">
        <v>30</v>
      </c>
      <c r="O3580">
        <v>0</v>
      </c>
      <c r="P3580">
        <v>0</v>
      </c>
      <c r="Q3580">
        <v>0</v>
      </c>
      <c r="R3580">
        <v>0</v>
      </c>
      <c r="S3580">
        <v>0</v>
      </c>
      <c r="T3580">
        <v>0</v>
      </c>
      <c r="U3580">
        <v>0</v>
      </c>
      <c r="V3580">
        <v>5</v>
      </c>
      <c r="W3580">
        <v>35</v>
      </c>
      <c r="X3580">
        <v>0</v>
      </c>
      <c r="Z3580">
        <v>0</v>
      </c>
      <c r="AA3580">
        <v>0</v>
      </c>
      <c r="AB3580">
        <v>0</v>
      </c>
      <c r="AC3580">
        <v>0</v>
      </c>
      <c r="AD3580">
        <v>868</v>
      </c>
    </row>
    <row r="3581" spans="1:30" x14ac:dyDescent="0.25">
      <c r="H3581" t="s">
        <v>1758</v>
      </c>
    </row>
    <row r="3582" spans="1:30" x14ac:dyDescent="0.25">
      <c r="A3582">
        <v>1788</v>
      </c>
      <c r="B3582">
        <v>5161</v>
      </c>
      <c r="C3582" t="s">
        <v>188</v>
      </c>
      <c r="D3582" t="s">
        <v>661</v>
      </c>
      <c r="E3582" t="s">
        <v>140</v>
      </c>
      <c r="F3582" t="s">
        <v>6590</v>
      </c>
      <c r="G3582" t="str">
        <f>"00189020"</f>
        <v>00189020</v>
      </c>
      <c r="H3582" t="s">
        <v>1256</v>
      </c>
      <c r="I3582">
        <v>0</v>
      </c>
      <c r="J3582">
        <v>0</v>
      </c>
      <c r="K3582">
        <v>0</v>
      </c>
      <c r="L3582">
        <v>0</v>
      </c>
      <c r="M3582">
        <v>0</v>
      </c>
      <c r="N3582">
        <v>0</v>
      </c>
      <c r="O3582">
        <v>0</v>
      </c>
      <c r="P3582">
        <v>0</v>
      </c>
      <c r="Q3582">
        <v>0</v>
      </c>
      <c r="R3582">
        <v>0</v>
      </c>
      <c r="S3582">
        <v>0</v>
      </c>
      <c r="T3582">
        <v>0</v>
      </c>
      <c r="U3582">
        <v>0</v>
      </c>
      <c r="V3582">
        <v>29</v>
      </c>
      <c r="W3582">
        <v>203</v>
      </c>
      <c r="X3582">
        <v>0</v>
      </c>
      <c r="Z3582">
        <v>0</v>
      </c>
      <c r="AA3582">
        <v>0</v>
      </c>
      <c r="AB3582">
        <v>0</v>
      </c>
      <c r="AC3582">
        <v>0</v>
      </c>
      <c r="AD3582" t="s">
        <v>6591</v>
      </c>
    </row>
    <row r="3583" spans="1:30" x14ac:dyDescent="0.25">
      <c r="H3583" t="s">
        <v>6592</v>
      </c>
    </row>
    <row r="3584" spans="1:30" x14ac:dyDescent="0.25">
      <c r="A3584">
        <v>1789</v>
      </c>
      <c r="B3584">
        <v>3155</v>
      </c>
      <c r="C3584" t="s">
        <v>5997</v>
      </c>
      <c r="D3584" t="s">
        <v>6593</v>
      </c>
      <c r="E3584" t="s">
        <v>595</v>
      </c>
      <c r="F3584" t="s">
        <v>6594</v>
      </c>
      <c r="G3584" t="str">
        <f>"201411002626"</f>
        <v>201411002626</v>
      </c>
      <c r="H3584" t="s">
        <v>1540</v>
      </c>
      <c r="I3584">
        <v>0</v>
      </c>
      <c r="J3584">
        <v>0</v>
      </c>
      <c r="K3584">
        <v>0</v>
      </c>
      <c r="L3584">
        <v>0</v>
      </c>
      <c r="M3584">
        <v>0</v>
      </c>
      <c r="N3584">
        <v>70</v>
      </c>
      <c r="O3584">
        <v>0</v>
      </c>
      <c r="P3584">
        <v>0</v>
      </c>
      <c r="Q3584">
        <v>0</v>
      </c>
      <c r="R3584">
        <v>0</v>
      </c>
      <c r="S3584">
        <v>0</v>
      </c>
      <c r="T3584">
        <v>0</v>
      </c>
      <c r="U3584">
        <v>0</v>
      </c>
      <c r="V3584">
        <v>17</v>
      </c>
      <c r="W3584">
        <v>119</v>
      </c>
      <c r="X3584">
        <v>0</v>
      </c>
      <c r="Z3584">
        <v>0</v>
      </c>
      <c r="AA3584">
        <v>0</v>
      </c>
      <c r="AB3584">
        <v>0</v>
      </c>
      <c r="AC3584">
        <v>0</v>
      </c>
      <c r="AD3584" t="s">
        <v>6595</v>
      </c>
    </row>
    <row r="3585" spans="1:30" x14ac:dyDescent="0.25">
      <c r="H3585" t="s">
        <v>521</v>
      </c>
    </row>
    <row r="3586" spans="1:30" x14ac:dyDescent="0.25">
      <c r="A3586">
        <v>1790</v>
      </c>
      <c r="B3586">
        <v>5928</v>
      </c>
      <c r="C3586" t="s">
        <v>452</v>
      </c>
      <c r="D3586" t="s">
        <v>2195</v>
      </c>
      <c r="E3586" t="s">
        <v>162</v>
      </c>
      <c r="F3586" t="s">
        <v>6596</v>
      </c>
      <c r="G3586" t="str">
        <f>"00275254"</f>
        <v>00275254</v>
      </c>
      <c r="H3586" t="s">
        <v>2082</v>
      </c>
      <c r="I3586">
        <v>0</v>
      </c>
      <c r="J3586">
        <v>0</v>
      </c>
      <c r="K3586">
        <v>0</v>
      </c>
      <c r="L3586">
        <v>0</v>
      </c>
      <c r="M3586">
        <v>0</v>
      </c>
      <c r="N3586">
        <v>30</v>
      </c>
      <c r="O3586">
        <v>0</v>
      </c>
      <c r="P3586">
        <v>30</v>
      </c>
      <c r="Q3586">
        <v>0</v>
      </c>
      <c r="R3586">
        <v>0</v>
      </c>
      <c r="S3586">
        <v>0</v>
      </c>
      <c r="T3586">
        <v>0</v>
      </c>
      <c r="U3586">
        <v>0</v>
      </c>
      <c r="V3586">
        <v>0</v>
      </c>
      <c r="W3586">
        <v>0</v>
      </c>
      <c r="X3586">
        <v>0</v>
      </c>
      <c r="Z3586">
        <v>1</v>
      </c>
      <c r="AA3586">
        <v>0</v>
      </c>
      <c r="AB3586">
        <v>0</v>
      </c>
      <c r="AC3586">
        <v>0</v>
      </c>
      <c r="AD3586" t="s">
        <v>6597</v>
      </c>
    </row>
    <row r="3587" spans="1:30" x14ac:dyDescent="0.25">
      <c r="H3587" t="s">
        <v>6598</v>
      </c>
    </row>
    <row r="3588" spans="1:30" x14ac:dyDescent="0.25">
      <c r="A3588">
        <v>1791</v>
      </c>
      <c r="B3588">
        <v>4</v>
      </c>
      <c r="C3588" t="s">
        <v>1124</v>
      </c>
      <c r="D3588" t="s">
        <v>262</v>
      </c>
      <c r="E3588" t="s">
        <v>595</v>
      </c>
      <c r="F3588" t="s">
        <v>6599</v>
      </c>
      <c r="G3588" t="str">
        <f>"201511018649"</f>
        <v>201511018649</v>
      </c>
      <c r="H3588" t="s">
        <v>896</v>
      </c>
      <c r="I3588">
        <v>0</v>
      </c>
      <c r="J3588">
        <v>0</v>
      </c>
      <c r="K3588">
        <v>0</v>
      </c>
      <c r="L3588">
        <v>0</v>
      </c>
      <c r="M3588">
        <v>0</v>
      </c>
      <c r="N3588">
        <v>30</v>
      </c>
      <c r="O3588">
        <v>0</v>
      </c>
      <c r="P3588">
        <v>0</v>
      </c>
      <c r="Q3588">
        <v>0</v>
      </c>
      <c r="R3588">
        <v>0</v>
      </c>
      <c r="S3588">
        <v>0</v>
      </c>
      <c r="T3588">
        <v>0</v>
      </c>
      <c r="U3588">
        <v>0</v>
      </c>
      <c r="V3588">
        <v>6</v>
      </c>
      <c r="W3588">
        <v>42</v>
      </c>
      <c r="X3588">
        <v>0</v>
      </c>
      <c r="Z3588">
        <v>0</v>
      </c>
      <c r="AA3588">
        <v>0</v>
      </c>
      <c r="AB3588">
        <v>0</v>
      </c>
      <c r="AC3588">
        <v>0</v>
      </c>
      <c r="AD3588" t="s">
        <v>6600</v>
      </c>
    </row>
    <row r="3589" spans="1:30" x14ac:dyDescent="0.25">
      <c r="H3589" t="s">
        <v>6601</v>
      </c>
    </row>
    <row r="3590" spans="1:30" x14ac:dyDescent="0.25">
      <c r="A3590">
        <v>1792</v>
      </c>
      <c r="B3590">
        <v>6070</v>
      </c>
      <c r="C3590" t="s">
        <v>6602</v>
      </c>
      <c r="D3590" t="s">
        <v>114</v>
      </c>
      <c r="E3590" t="s">
        <v>1292</v>
      </c>
      <c r="F3590" t="s">
        <v>6603</v>
      </c>
      <c r="G3590" t="str">
        <f>"00369000"</f>
        <v>00369000</v>
      </c>
      <c r="H3590">
        <v>836</v>
      </c>
      <c r="I3590">
        <v>0</v>
      </c>
      <c r="J3590">
        <v>0</v>
      </c>
      <c r="K3590">
        <v>0</v>
      </c>
      <c r="L3590">
        <v>0</v>
      </c>
      <c r="M3590">
        <v>0</v>
      </c>
      <c r="N3590">
        <v>30</v>
      </c>
      <c r="O3590">
        <v>0</v>
      </c>
      <c r="P3590">
        <v>0</v>
      </c>
      <c r="Q3590">
        <v>0</v>
      </c>
      <c r="R3590">
        <v>0</v>
      </c>
      <c r="S3590">
        <v>0</v>
      </c>
      <c r="T3590">
        <v>0</v>
      </c>
      <c r="U3590">
        <v>0</v>
      </c>
      <c r="V3590">
        <v>0</v>
      </c>
      <c r="W3590">
        <v>0</v>
      </c>
      <c r="X3590">
        <v>0</v>
      </c>
      <c r="Z3590">
        <v>0</v>
      </c>
      <c r="AA3590">
        <v>0</v>
      </c>
      <c r="AB3590">
        <v>0</v>
      </c>
      <c r="AC3590">
        <v>0</v>
      </c>
      <c r="AD3590">
        <v>866</v>
      </c>
    </row>
    <row r="3591" spans="1:30" x14ac:dyDescent="0.25">
      <c r="H3591" t="s">
        <v>6604</v>
      </c>
    </row>
    <row r="3592" spans="1:30" x14ac:dyDescent="0.25">
      <c r="A3592">
        <v>1793</v>
      </c>
      <c r="B3592">
        <v>4253</v>
      </c>
      <c r="C3592" t="s">
        <v>986</v>
      </c>
      <c r="D3592" t="s">
        <v>1570</v>
      </c>
      <c r="E3592" t="s">
        <v>91</v>
      </c>
      <c r="F3592" t="s">
        <v>6605</v>
      </c>
      <c r="G3592" t="str">
        <f>"00361633"</f>
        <v>00361633</v>
      </c>
      <c r="H3592" t="s">
        <v>2545</v>
      </c>
      <c r="I3592">
        <v>0</v>
      </c>
      <c r="J3592">
        <v>0</v>
      </c>
      <c r="K3592">
        <v>0</v>
      </c>
      <c r="L3592">
        <v>0</v>
      </c>
      <c r="M3592">
        <v>0</v>
      </c>
      <c r="N3592">
        <v>30</v>
      </c>
      <c r="O3592">
        <v>0</v>
      </c>
      <c r="P3592">
        <v>0</v>
      </c>
      <c r="Q3592">
        <v>0</v>
      </c>
      <c r="R3592">
        <v>0</v>
      </c>
      <c r="S3592">
        <v>0</v>
      </c>
      <c r="T3592">
        <v>0</v>
      </c>
      <c r="U3592">
        <v>0</v>
      </c>
      <c r="V3592">
        <v>11</v>
      </c>
      <c r="W3592">
        <v>77</v>
      </c>
      <c r="X3592">
        <v>0</v>
      </c>
      <c r="Z3592">
        <v>0</v>
      </c>
      <c r="AA3592">
        <v>0</v>
      </c>
      <c r="AB3592">
        <v>0</v>
      </c>
      <c r="AC3592">
        <v>0</v>
      </c>
      <c r="AD3592" t="s">
        <v>6606</v>
      </c>
    </row>
    <row r="3593" spans="1:30" x14ac:dyDescent="0.25">
      <c r="H3593" t="s">
        <v>6607</v>
      </c>
    </row>
    <row r="3594" spans="1:30" x14ac:dyDescent="0.25">
      <c r="A3594">
        <v>1794</v>
      </c>
      <c r="B3594">
        <v>5786</v>
      </c>
      <c r="C3594" t="s">
        <v>6608</v>
      </c>
      <c r="D3594" t="s">
        <v>183</v>
      </c>
      <c r="E3594" t="s">
        <v>547</v>
      </c>
      <c r="F3594" t="s">
        <v>6609</v>
      </c>
      <c r="G3594" t="str">
        <f>"00152393"</f>
        <v>00152393</v>
      </c>
      <c r="H3594" t="s">
        <v>123</v>
      </c>
      <c r="I3594">
        <v>0</v>
      </c>
      <c r="J3594">
        <v>0</v>
      </c>
      <c r="K3594">
        <v>0</v>
      </c>
      <c r="L3594">
        <v>0</v>
      </c>
      <c r="M3594">
        <v>0</v>
      </c>
      <c r="N3594">
        <v>30</v>
      </c>
      <c r="O3594">
        <v>0</v>
      </c>
      <c r="P3594">
        <v>0</v>
      </c>
      <c r="Q3594">
        <v>0</v>
      </c>
      <c r="R3594">
        <v>0</v>
      </c>
      <c r="S3594">
        <v>0</v>
      </c>
      <c r="T3594">
        <v>0</v>
      </c>
      <c r="U3594">
        <v>0</v>
      </c>
      <c r="V3594">
        <v>14</v>
      </c>
      <c r="W3594">
        <v>98</v>
      </c>
      <c r="X3594">
        <v>0</v>
      </c>
      <c r="Z3594">
        <v>0</v>
      </c>
      <c r="AA3594">
        <v>0</v>
      </c>
      <c r="AB3594">
        <v>0</v>
      </c>
      <c r="AC3594">
        <v>0</v>
      </c>
      <c r="AD3594" t="s">
        <v>6610</v>
      </c>
    </row>
    <row r="3595" spans="1:30" x14ac:dyDescent="0.25">
      <c r="H3595" t="s">
        <v>6611</v>
      </c>
    </row>
    <row r="3596" spans="1:30" x14ac:dyDescent="0.25">
      <c r="A3596">
        <v>1795</v>
      </c>
      <c r="B3596">
        <v>177</v>
      </c>
      <c r="C3596" t="s">
        <v>3357</v>
      </c>
      <c r="D3596" t="s">
        <v>590</v>
      </c>
      <c r="E3596" t="s">
        <v>183</v>
      </c>
      <c r="F3596" t="s">
        <v>6612</v>
      </c>
      <c r="G3596" t="str">
        <f>"201510000525"</f>
        <v>201510000525</v>
      </c>
      <c r="H3596" t="s">
        <v>933</v>
      </c>
      <c r="I3596">
        <v>0</v>
      </c>
      <c r="J3596">
        <v>0</v>
      </c>
      <c r="K3596">
        <v>0</v>
      </c>
      <c r="L3596">
        <v>0</v>
      </c>
      <c r="M3596">
        <v>0</v>
      </c>
      <c r="N3596">
        <v>0</v>
      </c>
      <c r="O3596">
        <v>0</v>
      </c>
      <c r="P3596">
        <v>0</v>
      </c>
      <c r="Q3596">
        <v>0</v>
      </c>
      <c r="R3596">
        <v>0</v>
      </c>
      <c r="S3596">
        <v>0</v>
      </c>
      <c r="T3596">
        <v>0</v>
      </c>
      <c r="U3596">
        <v>0</v>
      </c>
      <c r="V3596">
        <v>21</v>
      </c>
      <c r="W3596">
        <v>147</v>
      </c>
      <c r="X3596">
        <v>0</v>
      </c>
      <c r="Z3596">
        <v>0</v>
      </c>
      <c r="AA3596">
        <v>0</v>
      </c>
      <c r="AB3596">
        <v>0</v>
      </c>
      <c r="AC3596">
        <v>0</v>
      </c>
      <c r="AD3596" t="s">
        <v>6613</v>
      </c>
    </row>
    <row r="3597" spans="1:30" x14ac:dyDescent="0.25">
      <c r="H3597" t="s">
        <v>1755</v>
      </c>
    </row>
    <row r="3598" spans="1:30" x14ac:dyDescent="0.25">
      <c r="A3598">
        <v>1796</v>
      </c>
      <c r="B3598">
        <v>781</v>
      </c>
      <c r="C3598" t="s">
        <v>6614</v>
      </c>
      <c r="D3598" t="s">
        <v>599</v>
      </c>
      <c r="E3598" t="s">
        <v>919</v>
      </c>
      <c r="F3598" t="s">
        <v>6615</v>
      </c>
      <c r="G3598" t="str">
        <f>"00304513"</f>
        <v>00304513</v>
      </c>
      <c r="H3598" t="s">
        <v>2010</v>
      </c>
      <c r="I3598">
        <v>0</v>
      </c>
      <c r="J3598">
        <v>0</v>
      </c>
      <c r="K3598">
        <v>0</v>
      </c>
      <c r="L3598">
        <v>0</v>
      </c>
      <c r="M3598">
        <v>0</v>
      </c>
      <c r="N3598">
        <v>30</v>
      </c>
      <c r="O3598">
        <v>0</v>
      </c>
      <c r="P3598">
        <v>0</v>
      </c>
      <c r="Q3598">
        <v>0</v>
      </c>
      <c r="R3598">
        <v>0</v>
      </c>
      <c r="S3598">
        <v>0</v>
      </c>
      <c r="T3598">
        <v>0</v>
      </c>
      <c r="U3598">
        <v>0</v>
      </c>
      <c r="V3598">
        <v>0</v>
      </c>
      <c r="W3598">
        <v>0</v>
      </c>
      <c r="X3598">
        <v>0</v>
      </c>
      <c r="Z3598">
        <v>0</v>
      </c>
      <c r="AA3598">
        <v>0</v>
      </c>
      <c r="AB3598">
        <v>0</v>
      </c>
      <c r="AC3598">
        <v>0</v>
      </c>
      <c r="AD3598" t="s">
        <v>6616</v>
      </c>
    </row>
    <row r="3599" spans="1:30" x14ac:dyDescent="0.25">
      <c r="H3599">
        <v>1250</v>
      </c>
    </row>
    <row r="3600" spans="1:30" x14ac:dyDescent="0.25">
      <c r="A3600">
        <v>1797</v>
      </c>
      <c r="B3600">
        <v>3376</v>
      </c>
      <c r="C3600" t="s">
        <v>6617</v>
      </c>
      <c r="D3600" t="s">
        <v>33</v>
      </c>
      <c r="E3600" t="s">
        <v>39</v>
      </c>
      <c r="F3600" t="s">
        <v>6618</v>
      </c>
      <c r="G3600" t="str">
        <f>"00342082"</f>
        <v>00342082</v>
      </c>
      <c r="H3600" t="s">
        <v>2866</v>
      </c>
      <c r="I3600">
        <v>0</v>
      </c>
      <c r="J3600">
        <v>0</v>
      </c>
      <c r="K3600">
        <v>0</v>
      </c>
      <c r="L3600">
        <v>0</v>
      </c>
      <c r="M3600">
        <v>0</v>
      </c>
      <c r="N3600">
        <v>0</v>
      </c>
      <c r="O3600">
        <v>0</v>
      </c>
      <c r="P3600">
        <v>0</v>
      </c>
      <c r="Q3600">
        <v>0</v>
      </c>
      <c r="R3600">
        <v>0</v>
      </c>
      <c r="S3600">
        <v>0</v>
      </c>
      <c r="T3600">
        <v>0</v>
      </c>
      <c r="U3600">
        <v>0</v>
      </c>
      <c r="V3600">
        <v>30</v>
      </c>
      <c r="W3600">
        <v>210</v>
      </c>
      <c r="X3600">
        <v>0</v>
      </c>
      <c r="Z3600">
        <v>0</v>
      </c>
      <c r="AA3600">
        <v>0</v>
      </c>
      <c r="AB3600">
        <v>0</v>
      </c>
      <c r="AC3600">
        <v>0</v>
      </c>
      <c r="AD3600" t="s">
        <v>6619</v>
      </c>
    </row>
    <row r="3601" spans="1:30" x14ac:dyDescent="0.25">
      <c r="H3601" t="s">
        <v>6620</v>
      </c>
    </row>
    <row r="3602" spans="1:30" x14ac:dyDescent="0.25">
      <c r="A3602">
        <v>1798</v>
      </c>
      <c r="B3602">
        <v>5126</v>
      </c>
      <c r="C3602" t="s">
        <v>74</v>
      </c>
      <c r="D3602" t="s">
        <v>1801</v>
      </c>
      <c r="E3602" t="s">
        <v>509</v>
      </c>
      <c r="F3602" t="s">
        <v>6621</v>
      </c>
      <c r="G3602" t="str">
        <f>"00345083"</f>
        <v>00345083</v>
      </c>
      <c r="H3602" t="s">
        <v>801</v>
      </c>
      <c r="I3602">
        <v>0</v>
      </c>
      <c r="J3602">
        <v>0</v>
      </c>
      <c r="K3602">
        <v>0</v>
      </c>
      <c r="L3602">
        <v>0</v>
      </c>
      <c r="M3602">
        <v>0</v>
      </c>
      <c r="N3602">
        <v>30</v>
      </c>
      <c r="O3602">
        <v>0</v>
      </c>
      <c r="P3602">
        <v>0</v>
      </c>
      <c r="Q3602">
        <v>0</v>
      </c>
      <c r="R3602">
        <v>0</v>
      </c>
      <c r="S3602">
        <v>0</v>
      </c>
      <c r="T3602">
        <v>0</v>
      </c>
      <c r="U3602">
        <v>0</v>
      </c>
      <c r="V3602">
        <v>0</v>
      </c>
      <c r="W3602">
        <v>0</v>
      </c>
      <c r="X3602">
        <v>0</v>
      </c>
      <c r="Z3602">
        <v>0</v>
      </c>
      <c r="AA3602">
        <v>0</v>
      </c>
      <c r="AB3602">
        <v>0</v>
      </c>
      <c r="AC3602">
        <v>0</v>
      </c>
      <c r="AD3602" t="s">
        <v>6622</v>
      </c>
    </row>
    <row r="3603" spans="1:30" x14ac:dyDescent="0.25">
      <c r="H3603" t="s">
        <v>6623</v>
      </c>
    </row>
    <row r="3604" spans="1:30" x14ac:dyDescent="0.25">
      <c r="A3604">
        <v>1799</v>
      </c>
      <c r="B3604">
        <v>1257</v>
      </c>
      <c r="C3604" t="s">
        <v>6624</v>
      </c>
      <c r="D3604" t="s">
        <v>51</v>
      </c>
      <c r="E3604" t="s">
        <v>28</v>
      </c>
      <c r="F3604" t="s">
        <v>6625</v>
      </c>
      <c r="G3604" t="str">
        <f>"00154422"</f>
        <v>00154422</v>
      </c>
      <c r="H3604" t="s">
        <v>6219</v>
      </c>
      <c r="I3604">
        <v>0</v>
      </c>
      <c r="J3604">
        <v>0</v>
      </c>
      <c r="K3604">
        <v>0</v>
      </c>
      <c r="L3604">
        <v>0</v>
      </c>
      <c r="M3604">
        <v>0</v>
      </c>
      <c r="N3604">
        <v>0</v>
      </c>
      <c r="O3604">
        <v>0</v>
      </c>
      <c r="P3604">
        <v>0</v>
      </c>
      <c r="Q3604">
        <v>0</v>
      </c>
      <c r="R3604">
        <v>0</v>
      </c>
      <c r="S3604">
        <v>0</v>
      </c>
      <c r="T3604">
        <v>0</v>
      </c>
      <c r="U3604">
        <v>0</v>
      </c>
      <c r="V3604">
        <v>6</v>
      </c>
      <c r="W3604">
        <v>42</v>
      </c>
      <c r="X3604">
        <v>0</v>
      </c>
      <c r="Z3604">
        <v>0</v>
      </c>
      <c r="AA3604">
        <v>0</v>
      </c>
      <c r="AB3604">
        <v>0</v>
      </c>
      <c r="AC3604">
        <v>0</v>
      </c>
      <c r="AD3604" t="s">
        <v>6626</v>
      </c>
    </row>
    <row r="3605" spans="1:30" x14ac:dyDescent="0.25">
      <c r="H3605" t="s">
        <v>6627</v>
      </c>
    </row>
    <row r="3606" spans="1:30" x14ac:dyDescent="0.25">
      <c r="A3606">
        <v>1800</v>
      </c>
      <c r="B3606">
        <v>1899</v>
      </c>
      <c r="C3606" t="s">
        <v>3320</v>
      </c>
      <c r="D3606" t="s">
        <v>723</v>
      </c>
      <c r="E3606" t="s">
        <v>39</v>
      </c>
      <c r="F3606" t="s">
        <v>6628</v>
      </c>
      <c r="G3606" t="str">
        <f>"00209219"</f>
        <v>00209219</v>
      </c>
      <c r="H3606">
        <v>693</v>
      </c>
      <c r="I3606">
        <v>0</v>
      </c>
      <c r="J3606">
        <v>0</v>
      </c>
      <c r="K3606">
        <v>0</v>
      </c>
      <c r="L3606">
        <v>0</v>
      </c>
      <c r="M3606">
        <v>0</v>
      </c>
      <c r="N3606">
        <v>0</v>
      </c>
      <c r="O3606">
        <v>0</v>
      </c>
      <c r="P3606">
        <v>0</v>
      </c>
      <c r="Q3606">
        <v>0</v>
      </c>
      <c r="R3606">
        <v>0</v>
      </c>
      <c r="S3606">
        <v>0</v>
      </c>
      <c r="T3606">
        <v>0</v>
      </c>
      <c r="U3606">
        <v>0</v>
      </c>
      <c r="V3606">
        <v>24</v>
      </c>
      <c r="W3606">
        <v>168</v>
      </c>
      <c r="X3606">
        <v>0</v>
      </c>
      <c r="Z3606">
        <v>1</v>
      </c>
      <c r="AA3606">
        <v>0</v>
      </c>
      <c r="AB3606">
        <v>0</v>
      </c>
      <c r="AC3606">
        <v>0</v>
      </c>
      <c r="AD3606">
        <v>861</v>
      </c>
    </row>
    <row r="3607" spans="1:30" x14ac:dyDescent="0.25">
      <c r="H3607" t="s">
        <v>6629</v>
      </c>
    </row>
    <row r="3608" spans="1:30" x14ac:dyDescent="0.25">
      <c r="A3608">
        <v>1801</v>
      </c>
      <c r="B3608">
        <v>5626</v>
      </c>
      <c r="C3608" t="s">
        <v>5607</v>
      </c>
      <c r="D3608" t="s">
        <v>134</v>
      </c>
      <c r="E3608" t="s">
        <v>47</v>
      </c>
      <c r="F3608" t="s">
        <v>6630</v>
      </c>
      <c r="G3608" t="str">
        <f>"00343651"</f>
        <v>00343651</v>
      </c>
      <c r="H3608" t="s">
        <v>854</v>
      </c>
      <c r="I3608">
        <v>0</v>
      </c>
      <c r="J3608">
        <v>0</v>
      </c>
      <c r="K3608">
        <v>0</v>
      </c>
      <c r="L3608">
        <v>0</v>
      </c>
      <c r="M3608">
        <v>0</v>
      </c>
      <c r="N3608">
        <v>30</v>
      </c>
      <c r="O3608">
        <v>0</v>
      </c>
      <c r="P3608">
        <v>0</v>
      </c>
      <c r="Q3608">
        <v>0</v>
      </c>
      <c r="R3608">
        <v>0</v>
      </c>
      <c r="S3608">
        <v>0</v>
      </c>
      <c r="T3608">
        <v>0</v>
      </c>
      <c r="U3608">
        <v>0</v>
      </c>
      <c r="V3608">
        <v>17</v>
      </c>
      <c r="W3608">
        <v>119</v>
      </c>
      <c r="X3608">
        <v>0</v>
      </c>
      <c r="Z3608">
        <v>1</v>
      </c>
      <c r="AA3608">
        <v>0</v>
      </c>
      <c r="AB3608">
        <v>0</v>
      </c>
      <c r="AC3608">
        <v>0</v>
      </c>
      <c r="AD3608" t="s">
        <v>6631</v>
      </c>
    </row>
    <row r="3609" spans="1:30" x14ac:dyDescent="0.25">
      <c r="H3609" t="s">
        <v>1229</v>
      </c>
    </row>
    <row r="3610" spans="1:30" x14ac:dyDescent="0.25">
      <c r="A3610">
        <v>1802</v>
      </c>
      <c r="B3610">
        <v>3740</v>
      </c>
      <c r="C3610" t="s">
        <v>6632</v>
      </c>
      <c r="D3610" t="s">
        <v>2637</v>
      </c>
      <c r="E3610" t="s">
        <v>6633</v>
      </c>
      <c r="F3610" t="s">
        <v>6634</v>
      </c>
      <c r="G3610" t="str">
        <f>"00184549"</f>
        <v>00184549</v>
      </c>
      <c r="H3610" t="s">
        <v>2206</v>
      </c>
      <c r="I3610">
        <v>0</v>
      </c>
      <c r="J3610">
        <v>0</v>
      </c>
      <c r="K3610">
        <v>0</v>
      </c>
      <c r="L3610">
        <v>0</v>
      </c>
      <c r="M3610">
        <v>0</v>
      </c>
      <c r="N3610">
        <v>30</v>
      </c>
      <c r="O3610">
        <v>0</v>
      </c>
      <c r="P3610">
        <v>0</v>
      </c>
      <c r="Q3610">
        <v>0</v>
      </c>
      <c r="R3610">
        <v>0</v>
      </c>
      <c r="S3610">
        <v>0</v>
      </c>
      <c r="T3610">
        <v>0</v>
      </c>
      <c r="U3610">
        <v>0</v>
      </c>
      <c r="V3610">
        <v>25</v>
      </c>
      <c r="W3610">
        <v>175</v>
      </c>
      <c r="X3610">
        <v>0</v>
      </c>
      <c r="Z3610">
        <v>0</v>
      </c>
      <c r="AA3610">
        <v>0</v>
      </c>
      <c r="AB3610">
        <v>0</v>
      </c>
      <c r="AC3610">
        <v>0</v>
      </c>
      <c r="AD3610" t="s">
        <v>6635</v>
      </c>
    </row>
    <row r="3611" spans="1:30" x14ac:dyDescent="0.25">
      <c r="H3611">
        <v>1250</v>
      </c>
    </row>
    <row r="3612" spans="1:30" x14ac:dyDescent="0.25">
      <c r="A3612">
        <v>1803</v>
      </c>
      <c r="B3612">
        <v>604</v>
      </c>
      <c r="C3612" t="s">
        <v>3346</v>
      </c>
      <c r="D3612" t="s">
        <v>176</v>
      </c>
      <c r="E3612" t="s">
        <v>162</v>
      </c>
      <c r="F3612" t="s">
        <v>3347</v>
      </c>
      <c r="G3612" t="str">
        <f>"201511018757"</f>
        <v>201511018757</v>
      </c>
      <c r="H3612" t="s">
        <v>1385</v>
      </c>
      <c r="I3612">
        <v>150</v>
      </c>
      <c r="J3612">
        <v>0</v>
      </c>
      <c r="K3612">
        <v>0</v>
      </c>
      <c r="L3612">
        <v>0</v>
      </c>
      <c r="M3612">
        <v>0</v>
      </c>
      <c r="N3612">
        <v>30</v>
      </c>
      <c r="O3612">
        <v>0</v>
      </c>
      <c r="P3612">
        <v>0</v>
      </c>
      <c r="Q3612">
        <v>0</v>
      </c>
      <c r="R3612">
        <v>0</v>
      </c>
      <c r="S3612">
        <v>0</v>
      </c>
      <c r="T3612">
        <v>0</v>
      </c>
      <c r="U3612">
        <v>0</v>
      </c>
      <c r="V3612">
        <v>0</v>
      </c>
      <c r="W3612">
        <v>0</v>
      </c>
      <c r="X3612">
        <v>0</v>
      </c>
      <c r="Z3612">
        <v>0</v>
      </c>
      <c r="AA3612">
        <v>0</v>
      </c>
      <c r="AB3612">
        <v>0</v>
      </c>
      <c r="AC3612">
        <v>0</v>
      </c>
      <c r="AD3612" t="s">
        <v>6636</v>
      </c>
    </row>
    <row r="3613" spans="1:30" x14ac:dyDescent="0.25">
      <c r="H3613" t="s">
        <v>3349</v>
      </c>
    </row>
    <row r="3614" spans="1:30" x14ac:dyDescent="0.25">
      <c r="A3614">
        <v>1804</v>
      </c>
      <c r="B3614">
        <v>5587</v>
      </c>
      <c r="C3614" t="s">
        <v>1153</v>
      </c>
      <c r="D3614" t="s">
        <v>2213</v>
      </c>
      <c r="E3614" t="s">
        <v>107</v>
      </c>
      <c r="F3614" t="s">
        <v>6637</v>
      </c>
      <c r="G3614" t="str">
        <f>"00338403"</f>
        <v>00338403</v>
      </c>
      <c r="H3614" t="s">
        <v>553</v>
      </c>
      <c r="I3614">
        <v>0</v>
      </c>
      <c r="J3614">
        <v>0</v>
      </c>
      <c r="K3614">
        <v>0</v>
      </c>
      <c r="L3614">
        <v>0</v>
      </c>
      <c r="M3614">
        <v>0</v>
      </c>
      <c r="N3614">
        <v>50</v>
      </c>
      <c r="O3614">
        <v>0</v>
      </c>
      <c r="P3614">
        <v>0</v>
      </c>
      <c r="Q3614">
        <v>0</v>
      </c>
      <c r="R3614">
        <v>0</v>
      </c>
      <c r="S3614">
        <v>0</v>
      </c>
      <c r="T3614">
        <v>0</v>
      </c>
      <c r="U3614">
        <v>0</v>
      </c>
      <c r="V3614">
        <v>0</v>
      </c>
      <c r="W3614">
        <v>0</v>
      </c>
      <c r="X3614">
        <v>0</v>
      </c>
      <c r="Z3614">
        <v>1</v>
      </c>
      <c r="AA3614">
        <v>0</v>
      </c>
      <c r="AB3614">
        <v>0</v>
      </c>
      <c r="AC3614">
        <v>0</v>
      </c>
      <c r="AD3614" t="s">
        <v>6638</v>
      </c>
    </row>
    <row r="3615" spans="1:30" x14ac:dyDescent="0.25">
      <c r="H3615" t="s">
        <v>6639</v>
      </c>
    </row>
    <row r="3616" spans="1:30" x14ac:dyDescent="0.25">
      <c r="A3616">
        <v>1805</v>
      </c>
      <c r="B3616">
        <v>2547</v>
      </c>
      <c r="C3616" t="s">
        <v>6640</v>
      </c>
      <c r="D3616" t="s">
        <v>183</v>
      </c>
      <c r="E3616" t="s">
        <v>39</v>
      </c>
      <c r="F3616" t="s">
        <v>6641</v>
      </c>
      <c r="G3616" t="str">
        <f>"00316517"</f>
        <v>00316517</v>
      </c>
      <c r="H3616" t="s">
        <v>1227</v>
      </c>
      <c r="I3616">
        <v>0</v>
      </c>
      <c r="J3616">
        <v>0</v>
      </c>
      <c r="K3616">
        <v>0</v>
      </c>
      <c r="L3616">
        <v>0</v>
      </c>
      <c r="M3616">
        <v>0</v>
      </c>
      <c r="N3616">
        <v>30</v>
      </c>
      <c r="O3616">
        <v>0</v>
      </c>
      <c r="P3616">
        <v>0</v>
      </c>
      <c r="Q3616">
        <v>0</v>
      </c>
      <c r="R3616">
        <v>0</v>
      </c>
      <c r="S3616">
        <v>0</v>
      </c>
      <c r="T3616">
        <v>0</v>
      </c>
      <c r="U3616">
        <v>0</v>
      </c>
      <c r="V3616">
        <v>17</v>
      </c>
      <c r="W3616">
        <v>119</v>
      </c>
      <c r="X3616">
        <v>0</v>
      </c>
      <c r="Z3616">
        <v>0</v>
      </c>
      <c r="AA3616">
        <v>0</v>
      </c>
      <c r="AB3616">
        <v>0</v>
      </c>
      <c r="AC3616">
        <v>0</v>
      </c>
      <c r="AD3616" t="s">
        <v>6638</v>
      </c>
    </row>
    <row r="3617" spans="1:30" x14ac:dyDescent="0.25">
      <c r="H3617" t="s">
        <v>6642</v>
      </c>
    </row>
    <row r="3618" spans="1:30" x14ac:dyDescent="0.25">
      <c r="A3618">
        <v>1806</v>
      </c>
      <c r="B3618">
        <v>2817</v>
      </c>
      <c r="C3618" t="s">
        <v>6643</v>
      </c>
      <c r="D3618" t="s">
        <v>59</v>
      </c>
      <c r="E3618" t="s">
        <v>162</v>
      </c>
      <c r="F3618" t="s">
        <v>6644</v>
      </c>
      <c r="G3618" t="str">
        <f>"00097632"</f>
        <v>00097632</v>
      </c>
      <c r="H3618" t="s">
        <v>1540</v>
      </c>
      <c r="I3618">
        <v>0</v>
      </c>
      <c r="J3618">
        <v>0</v>
      </c>
      <c r="K3618">
        <v>0</v>
      </c>
      <c r="L3618">
        <v>0</v>
      </c>
      <c r="M3618">
        <v>0</v>
      </c>
      <c r="N3618">
        <v>0</v>
      </c>
      <c r="O3618">
        <v>0</v>
      </c>
      <c r="P3618">
        <v>0</v>
      </c>
      <c r="Q3618">
        <v>0</v>
      </c>
      <c r="R3618">
        <v>0</v>
      </c>
      <c r="S3618">
        <v>0</v>
      </c>
      <c r="T3618">
        <v>0</v>
      </c>
      <c r="U3618">
        <v>0</v>
      </c>
      <c r="V3618">
        <v>26</v>
      </c>
      <c r="W3618">
        <v>182</v>
      </c>
      <c r="X3618">
        <v>0</v>
      </c>
      <c r="Z3618">
        <v>0</v>
      </c>
      <c r="AA3618">
        <v>0</v>
      </c>
      <c r="AB3618">
        <v>0</v>
      </c>
      <c r="AC3618">
        <v>0</v>
      </c>
      <c r="AD3618" t="s">
        <v>6638</v>
      </c>
    </row>
    <row r="3619" spans="1:30" x14ac:dyDescent="0.25">
      <c r="H3619" t="s">
        <v>6645</v>
      </c>
    </row>
    <row r="3620" spans="1:30" x14ac:dyDescent="0.25">
      <c r="A3620">
        <v>1807</v>
      </c>
      <c r="B3620">
        <v>4916</v>
      </c>
      <c r="C3620" t="s">
        <v>654</v>
      </c>
      <c r="D3620" t="s">
        <v>665</v>
      </c>
      <c r="E3620" t="s">
        <v>162</v>
      </c>
      <c r="F3620" t="s">
        <v>6646</v>
      </c>
      <c r="G3620" t="str">
        <f>"00244227"</f>
        <v>00244227</v>
      </c>
      <c r="H3620" t="s">
        <v>754</v>
      </c>
      <c r="I3620">
        <v>0</v>
      </c>
      <c r="J3620">
        <v>0</v>
      </c>
      <c r="K3620">
        <v>0</v>
      </c>
      <c r="L3620">
        <v>0</v>
      </c>
      <c r="M3620">
        <v>0</v>
      </c>
      <c r="N3620">
        <v>30</v>
      </c>
      <c r="O3620">
        <v>0</v>
      </c>
      <c r="P3620">
        <v>0</v>
      </c>
      <c r="Q3620">
        <v>0</v>
      </c>
      <c r="R3620">
        <v>0</v>
      </c>
      <c r="S3620">
        <v>0</v>
      </c>
      <c r="T3620">
        <v>0</v>
      </c>
      <c r="U3620">
        <v>0</v>
      </c>
      <c r="V3620">
        <v>15</v>
      </c>
      <c r="W3620">
        <v>105</v>
      </c>
      <c r="X3620">
        <v>0</v>
      </c>
      <c r="Z3620">
        <v>0</v>
      </c>
      <c r="AA3620">
        <v>0</v>
      </c>
      <c r="AB3620">
        <v>0</v>
      </c>
      <c r="AC3620">
        <v>0</v>
      </c>
      <c r="AD3620" t="s">
        <v>6647</v>
      </c>
    </row>
    <row r="3621" spans="1:30" x14ac:dyDescent="0.25">
      <c r="H3621" t="s">
        <v>6648</v>
      </c>
    </row>
    <row r="3622" spans="1:30" x14ac:dyDescent="0.25">
      <c r="A3622">
        <v>1808</v>
      </c>
      <c r="B3622">
        <v>2733</v>
      </c>
      <c r="C3622" t="s">
        <v>6649</v>
      </c>
      <c r="D3622" t="s">
        <v>162</v>
      </c>
      <c r="E3622" t="s">
        <v>140</v>
      </c>
      <c r="F3622" t="s">
        <v>6650</v>
      </c>
      <c r="G3622" t="str">
        <f>"00347271"</f>
        <v>00347271</v>
      </c>
      <c r="H3622">
        <v>660</v>
      </c>
      <c r="I3622">
        <v>0</v>
      </c>
      <c r="J3622">
        <v>0</v>
      </c>
      <c r="K3622">
        <v>0</v>
      </c>
      <c r="L3622">
        <v>0</v>
      </c>
      <c r="M3622">
        <v>0</v>
      </c>
      <c r="N3622">
        <v>30</v>
      </c>
      <c r="O3622">
        <v>0</v>
      </c>
      <c r="P3622">
        <v>0</v>
      </c>
      <c r="Q3622">
        <v>0</v>
      </c>
      <c r="R3622">
        <v>0</v>
      </c>
      <c r="S3622">
        <v>0</v>
      </c>
      <c r="T3622">
        <v>0</v>
      </c>
      <c r="U3622">
        <v>0</v>
      </c>
      <c r="V3622">
        <v>24</v>
      </c>
      <c r="W3622">
        <v>168</v>
      </c>
      <c r="X3622">
        <v>0</v>
      </c>
      <c r="Z3622">
        <v>0</v>
      </c>
      <c r="AA3622">
        <v>0</v>
      </c>
      <c r="AB3622">
        <v>0</v>
      </c>
      <c r="AC3622">
        <v>0</v>
      </c>
      <c r="AD3622">
        <v>858</v>
      </c>
    </row>
    <row r="3623" spans="1:30" x14ac:dyDescent="0.25">
      <c r="H3623" t="s">
        <v>6651</v>
      </c>
    </row>
    <row r="3624" spans="1:30" x14ac:dyDescent="0.25">
      <c r="A3624">
        <v>1809</v>
      </c>
      <c r="B3624">
        <v>5925</v>
      </c>
      <c r="C3624" t="s">
        <v>6652</v>
      </c>
      <c r="D3624" t="s">
        <v>636</v>
      </c>
      <c r="E3624" t="s">
        <v>47</v>
      </c>
      <c r="F3624" t="s">
        <v>6653</v>
      </c>
      <c r="G3624" t="str">
        <f>"00348902"</f>
        <v>00348902</v>
      </c>
      <c r="H3624" t="s">
        <v>5089</v>
      </c>
      <c r="I3624">
        <v>0</v>
      </c>
      <c r="J3624">
        <v>0</v>
      </c>
      <c r="K3624">
        <v>0</v>
      </c>
      <c r="L3624">
        <v>0</v>
      </c>
      <c r="M3624">
        <v>0</v>
      </c>
      <c r="N3624">
        <v>0</v>
      </c>
      <c r="O3624">
        <v>0</v>
      </c>
      <c r="P3624">
        <v>0</v>
      </c>
      <c r="Q3624">
        <v>0</v>
      </c>
      <c r="R3624">
        <v>0</v>
      </c>
      <c r="S3624">
        <v>0</v>
      </c>
      <c r="T3624">
        <v>0</v>
      </c>
      <c r="U3624">
        <v>0</v>
      </c>
      <c r="V3624">
        <v>0</v>
      </c>
      <c r="W3624">
        <v>0</v>
      </c>
      <c r="X3624">
        <v>0</v>
      </c>
      <c r="Z3624">
        <v>0</v>
      </c>
      <c r="AA3624">
        <v>0</v>
      </c>
      <c r="AB3624">
        <v>0</v>
      </c>
      <c r="AC3624">
        <v>0</v>
      </c>
      <c r="AD3624" t="s">
        <v>5089</v>
      </c>
    </row>
    <row r="3625" spans="1:30" x14ac:dyDescent="0.25">
      <c r="H3625" t="s">
        <v>6654</v>
      </c>
    </row>
    <row r="3626" spans="1:30" x14ac:dyDescent="0.25">
      <c r="A3626">
        <v>1810</v>
      </c>
      <c r="B3626">
        <v>1654</v>
      </c>
      <c r="C3626" t="s">
        <v>5654</v>
      </c>
      <c r="D3626" t="s">
        <v>47</v>
      </c>
      <c r="E3626" t="s">
        <v>108</v>
      </c>
      <c r="F3626" t="s">
        <v>6655</v>
      </c>
      <c r="G3626" t="str">
        <f>"00230178"</f>
        <v>00230178</v>
      </c>
      <c r="H3626" t="s">
        <v>2185</v>
      </c>
      <c r="I3626">
        <v>0</v>
      </c>
      <c r="J3626">
        <v>0</v>
      </c>
      <c r="K3626">
        <v>0</v>
      </c>
      <c r="L3626">
        <v>0</v>
      </c>
      <c r="M3626">
        <v>0</v>
      </c>
      <c r="N3626">
        <v>70</v>
      </c>
      <c r="O3626">
        <v>0</v>
      </c>
      <c r="P3626">
        <v>0</v>
      </c>
      <c r="Q3626">
        <v>0</v>
      </c>
      <c r="R3626">
        <v>0</v>
      </c>
      <c r="S3626">
        <v>0</v>
      </c>
      <c r="T3626">
        <v>0</v>
      </c>
      <c r="U3626">
        <v>0</v>
      </c>
      <c r="V3626">
        <v>0</v>
      </c>
      <c r="W3626">
        <v>0</v>
      </c>
      <c r="X3626">
        <v>0</v>
      </c>
      <c r="Z3626">
        <v>0</v>
      </c>
      <c r="AA3626">
        <v>0</v>
      </c>
      <c r="AB3626">
        <v>0</v>
      </c>
      <c r="AC3626">
        <v>0</v>
      </c>
      <c r="AD3626" t="s">
        <v>6656</v>
      </c>
    </row>
    <row r="3627" spans="1:30" x14ac:dyDescent="0.25">
      <c r="H3627" t="s">
        <v>6657</v>
      </c>
    </row>
    <row r="3628" spans="1:30" x14ac:dyDescent="0.25">
      <c r="A3628">
        <v>1811</v>
      </c>
      <c r="B3628">
        <v>4715</v>
      </c>
      <c r="C3628" t="s">
        <v>6658</v>
      </c>
      <c r="D3628" t="s">
        <v>335</v>
      </c>
      <c r="E3628" t="s">
        <v>144</v>
      </c>
      <c r="F3628" t="s">
        <v>6659</v>
      </c>
      <c r="G3628" t="str">
        <f>"201411003474"</f>
        <v>201411003474</v>
      </c>
      <c r="H3628" t="s">
        <v>1546</v>
      </c>
      <c r="I3628">
        <v>0</v>
      </c>
      <c r="J3628">
        <v>0</v>
      </c>
      <c r="K3628">
        <v>0</v>
      </c>
      <c r="L3628">
        <v>0</v>
      </c>
      <c r="M3628">
        <v>0</v>
      </c>
      <c r="N3628">
        <v>30</v>
      </c>
      <c r="O3628">
        <v>0</v>
      </c>
      <c r="P3628">
        <v>0</v>
      </c>
      <c r="Q3628">
        <v>0</v>
      </c>
      <c r="R3628">
        <v>0</v>
      </c>
      <c r="S3628">
        <v>0</v>
      </c>
      <c r="T3628">
        <v>0</v>
      </c>
      <c r="U3628">
        <v>0</v>
      </c>
      <c r="V3628">
        <v>0</v>
      </c>
      <c r="W3628">
        <v>0</v>
      </c>
      <c r="X3628">
        <v>0</v>
      </c>
      <c r="Z3628">
        <v>0</v>
      </c>
      <c r="AA3628">
        <v>0</v>
      </c>
      <c r="AB3628">
        <v>5</v>
      </c>
      <c r="AC3628">
        <v>85</v>
      </c>
      <c r="AD3628" t="s">
        <v>6660</v>
      </c>
    </row>
    <row r="3629" spans="1:30" x14ac:dyDescent="0.25">
      <c r="H3629" t="s">
        <v>6661</v>
      </c>
    </row>
    <row r="3630" spans="1:30" x14ac:dyDescent="0.25">
      <c r="A3630">
        <v>1812</v>
      </c>
      <c r="B3630">
        <v>1404</v>
      </c>
      <c r="C3630" t="s">
        <v>6662</v>
      </c>
      <c r="D3630" t="s">
        <v>1660</v>
      </c>
      <c r="E3630" t="s">
        <v>40</v>
      </c>
      <c r="F3630" t="s">
        <v>6663</v>
      </c>
      <c r="G3630" t="str">
        <f>"200902000240"</f>
        <v>200902000240</v>
      </c>
      <c r="H3630" t="s">
        <v>1150</v>
      </c>
      <c r="I3630">
        <v>0</v>
      </c>
      <c r="J3630">
        <v>0</v>
      </c>
      <c r="K3630">
        <v>0</v>
      </c>
      <c r="L3630">
        <v>0</v>
      </c>
      <c r="M3630">
        <v>0</v>
      </c>
      <c r="N3630">
        <v>70</v>
      </c>
      <c r="O3630">
        <v>0</v>
      </c>
      <c r="P3630">
        <v>0</v>
      </c>
      <c r="Q3630">
        <v>0</v>
      </c>
      <c r="R3630">
        <v>0</v>
      </c>
      <c r="S3630">
        <v>0</v>
      </c>
      <c r="T3630">
        <v>0</v>
      </c>
      <c r="U3630">
        <v>0</v>
      </c>
      <c r="V3630">
        <v>12</v>
      </c>
      <c r="W3630">
        <v>84</v>
      </c>
      <c r="X3630">
        <v>0</v>
      </c>
      <c r="Z3630">
        <v>0</v>
      </c>
      <c r="AA3630">
        <v>0</v>
      </c>
      <c r="AB3630">
        <v>0</v>
      </c>
      <c r="AC3630">
        <v>0</v>
      </c>
      <c r="AD3630" t="s">
        <v>136</v>
      </c>
    </row>
    <row r="3631" spans="1:30" x14ac:dyDescent="0.25">
      <c r="H3631" t="s">
        <v>6664</v>
      </c>
    </row>
    <row r="3632" spans="1:30" x14ac:dyDescent="0.25">
      <c r="A3632">
        <v>1813</v>
      </c>
      <c r="B3632">
        <v>2333</v>
      </c>
      <c r="C3632" t="s">
        <v>6665</v>
      </c>
      <c r="D3632" t="s">
        <v>5038</v>
      </c>
      <c r="E3632" t="s">
        <v>39</v>
      </c>
      <c r="F3632" t="s">
        <v>6666</v>
      </c>
      <c r="G3632" t="str">
        <f>"201406008202"</f>
        <v>201406008202</v>
      </c>
      <c r="H3632" t="s">
        <v>1339</v>
      </c>
      <c r="I3632">
        <v>0</v>
      </c>
      <c r="J3632">
        <v>0</v>
      </c>
      <c r="K3632">
        <v>0</v>
      </c>
      <c r="L3632">
        <v>0</v>
      </c>
      <c r="M3632">
        <v>0</v>
      </c>
      <c r="N3632">
        <v>50</v>
      </c>
      <c r="O3632">
        <v>0</v>
      </c>
      <c r="P3632">
        <v>30</v>
      </c>
      <c r="Q3632">
        <v>0</v>
      </c>
      <c r="R3632">
        <v>0</v>
      </c>
      <c r="S3632">
        <v>0</v>
      </c>
      <c r="T3632">
        <v>0</v>
      </c>
      <c r="U3632">
        <v>0</v>
      </c>
      <c r="V3632">
        <v>0</v>
      </c>
      <c r="W3632">
        <v>0</v>
      </c>
      <c r="X3632">
        <v>0</v>
      </c>
      <c r="Z3632">
        <v>2</v>
      </c>
      <c r="AA3632">
        <v>0</v>
      </c>
      <c r="AB3632">
        <v>6</v>
      </c>
      <c r="AC3632">
        <v>102</v>
      </c>
      <c r="AD3632" t="s">
        <v>6667</v>
      </c>
    </row>
    <row r="3633" spans="1:30" x14ac:dyDescent="0.25">
      <c r="H3633" t="s">
        <v>521</v>
      </c>
    </row>
    <row r="3634" spans="1:30" x14ac:dyDescent="0.25">
      <c r="A3634">
        <v>1814</v>
      </c>
      <c r="B3634">
        <v>1503</v>
      </c>
      <c r="C3634" t="s">
        <v>6668</v>
      </c>
      <c r="D3634" t="s">
        <v>1186</v>
      </c>
      <c r="E3634" t="s">
        <v>107</v>
      </c>
      <c r="F3634" t="s">
        <v>6669</v>
      </c>
      <c r="G3634" t="str">
        <f>"00303721"</f>
        <v>00303721</v>
      </c>
      <c r="H3634" t="s">
        <v>1850</v>
      </c>
      <c r="I3634">
        <v>0</v>
      </c>
      <c r="J3634">
        <v>0</v>
      </c>
      <c r="K3634">
        <v>0</v>
      </c>
      <c r="L3634">
        <v>0</v>
      </c>
      <c r="M3634">
        <v>0</v>
      </c>
      <c r="N3634">
        <v>30</v>
      </c>
      <c r="O3634">
        <v>0</v>
      </c>
      <c r="P3634">
        <v>0</v>
      </c>
      <c r="Q3634">
        <v>0</v>
      </c>
      <c r="R3634">
        <v>0</v>
      </c>
      <c r="S3634">
        <v>0</v>
      </c>
      <c r="T3634">
        <v>0</v>
      </c>
      <c r="U3634">
        <v>0</v>
      </c>
      <c r="V3634">
        <v>5</v>
      </c>
      <c r="W3634">
        <v>35</v>
      </c>
      <c r="X3634">
        <v>0</v>
      </c>
      <c r="Z3634">
        <v>0</v>
      </c>
      <c r="AA3634">
        <v>0</v>
      </c>
      <c r="AB3634">
        <v>5</v>
      </c>
      <c r="AC3634">
        <v>85</v>
      </c>
      <c r="AD3634" t="s">
        <v>6670</v>
      </c>
    </row>
    <row r="3635" spans="1:30" x14ac:dyDescent="0.25">
      <c r="H3635" t="s">
        <v>6671</v>
      </c>
    </row>
    <row r="3636" spans="1:30" x14ac:dyDescent="0.25">
      <c r="A3636">
        <v>1815</v>
      </c>
      <c r="B3636">
        <v>4155</v>
      </c>
      <c r="C3636" t="s">
        <v>4228</v>
      </c>
      <c r="D3636" t="s">
        <v>420</v>
      </c>
      <c r="E3636" t="s">
        <v>40</v>
      </c>
      <c r="F3636" t="s">
        <v>5361</v>
      </c>
      <c r="G3636" t="str">
        <f>"201409005869"</f>
        <v>201409005869</v>
      </c>
      <c r="H3636">
        <v>825</v>
      </c>
      <c r="I3636">
        <v>0</v>
      </c>
      <c r="J3636">
        <v>0</v>
      </c>
      <c r="K3636">
        <v>0</v>
      </c>
      <c r="L3636">
        <v>0</v>
      </c>
      <c r="M3636">
        <v>0</v>
      </c>
      <c r="N3636">
        <v>30</v>
      </c>
      <c r="O3636">
        <v>0</v>
      </c>
      <c r="P3636">
        <v>0</v>
      </c>
      <c r="Q3636">
        <v>0</v>
      </c>
      <c r="R3636">
        <v>0</v>
      </c>
      <c r="S3636">
        <v>0</v>
      </c>
      <c r="T3636">
        <v>0</v>
      </c>
      <c r="U3636">
        <v>0</v>
      </c>
      <c r="V3636">
        <v>0</v>
      </c>
      <c r="W3636">
        <v>0</v>
      </c>
      <c r="X3636">
        <v>0</v>
      </c>
      <c r="Z3636">
        <v>0</v>
      </c>
      <c r="AA3636">
        <v>0</v>
      </c>
      <c r="AB3636">
        <v>0</v>
      </c>
      <c r="AC3636">
        <v>0</v>
      </c>
      <c r="AD3636">
        <v>855</v>
      </c>
    </row>
    <row r="3637" spans="1:30" x14ac:dyDescent="0.25">
      <c r="H3637" t="s">
        <v>2162</v>
      </c>
    </row>
    <row r="3638" spans="1:30" x14ac:dyDescent="0.25">
      <c r="A3638">
        <v>1816</v>
      </c>
      <c r="B3638">
        <v>2874</v>
      </c>
      <c r="C3638" t="s">
        <v>6672</v>
      </c>
      <c r="D3638" t="s">
        <v>3226</v>
      </c>
      <c r="E3638" t="s">
        <v>190</v>
      </c>
      <c r="F3638" t="s">
        <v>6673</v>
      </c>
      <c r="G3638" t="str">
        <f>"00293638"</f>
        <v>00293638</v>
      </c>
      <c r="H3638" t="s">
        <v>6168</v>
      </c>
      <c r="I3638">
        <v>0</v>
      </c>
      <c r="J3638">
        <v>0</v>
      </c>
      <c r="K3638">
        <v>0</v>
      </c>
      <c r="L3638">
        <v>0</v>
      </c>
      <c r="M3638">
        <v>0</v>
      </c>
      <c r="N3638">
        <v>0</v>
      </c>
      <c r="O3638">
        <v>0</v>
      </c>
      <c r="P3638">
        <v>0</v>
      </c>
      <c r="Q3638">
        <v>0</v>
      </c>
      <c r="R3638">
        <v>0</v>
      </c>
      <c r="S3638">
        <v>0</v>
      </c>
      <c r="T3638">
        <v>0</v>
      </c>
      <c r="U3638">
        <v>0</v>
      </c>
      <c r="V3638">
        <v>0</v>
      </c>
      <c r="W3638">
        <v>0</v>
      </c>
      <c r="X3638">
        <v>0</v>
      </c>
      <c r="Z3638">
        <v>2</v>
      </c>
      <c r="AA3638">
        <v>0</v>
      </c>
      <c r="AB3638">
        <v>0</v>
      </c>
      <c r="AC3638">
        <v>0</v>
      </c>
      <c r="AD3638" t="s">
        <v>6168</v>
      </c>
    </row>
    <row r="3639" spans="1:30" x14ac:dyDescent="0.25">
      <c r="H3639" t="s">
        <v>6674</v>
      </c>
    </row>
    <row r="3640" spans="1:30" x14ac:dyDescent="0.25">
      <c r="A3640">
        <v>1817</v>
      </c>
      <c r="B3640">
        <v>2693</v>
      </c>
      <c r="C3640" t="s">
        <v>6675</v>
      </c>
      <c r="D3640" t="s">
        <v>420</v>
      </c>
      <c r="E3640" t="s">
        <v>449</v>
      </c>
      <c r="F3640" t="s">
        <v>6676</v>
      </c>
      <c r="G3640" t="str">
        <f>"200712005597"</f>
        <v>200712005597</v>
      </c>
      <c r="H3640" t="s">
        <v>502</v>
      </c>
      <c r="I3640">
        <v>0</v>
      </c>
      <c r="J3640">
        <v>0</v>
      </c>
      <c r="K3640">
        <v>0</v>
      </c>
      <c r="L3640">
        <v>0</v>
      </c>
      <c r="M3640">
        <v>0</v>
      </c>
      <c r="N3640">
        <v>70</v>
      </c>
      <c r="O3640">
        <v>0</v>
      </c>
      <c r="P3640">
        <v>0</v>
      </c>
      <c r="Q3640">
        <v>0</v>
      </c>
      <c r="R3640">
        <v>30</v>
      </c>
      <c r="S3640">
        <v>0</v>
      </c>
      <c r="T3640">
        <v>0</v>
      </c>
      <c r="U3640">
        <v>0</v>
      </c>
      <c r="V3640">
        <v>0</v>
      </c>
      <c r="W3640">
        <v>0</v>
      </c>
      <c r="X3640">
        <v>0</v>
      </c>
      <c r="Z3640">
        <v>2</v>
      </c>
      <c r="AA3640">
        <v>0</v>
      </c>
      <c r="AB3640">
        <v>0</v>
      </c>
      <c r="AC3640">
        <v>0</v>
      </c>
      <c r="AD3640" t="s">
        <v>6677</v>
      </c>
    </row>
    <row r="3641" spans="1:30" x14ac:dyDescent="0.25">
      <c r="H3641" t="s">
        <v>6678</v>
      </c>
    </row>
    <row r="3642" spans="1:30" x14ac:dyDescent="0.25">
      <c r="A3642">
        <v>1818</v>
      </c>
      <c r="B3642">
        <v>4831</v>
      </c>
      <c r="C3642" t="s">
        <v>6679</v>
      </c>
      <c r="D3642" t="s">
        <v>869</v>
      </c>
      <c r="E3642" t="s">
        <v>107</v>
      </c>
      <c r="F3642" t="s">
        <v>6680</v>
      </c>
      <c r="G3642" t="str">
        <f>"00268213"</f>
        <v>00268213</v>
      </c>
      <c r="H3642" t="s">
        <v>6219</v>
      </c>
      <c r="I3642">
        <v>0</v>
      </c>
      <c r="J3642">
        <v>0</v>
      </c>
      <c r="K3642">
        <v>0</v>
      </c>
      <c r="L3642">
        <v>0</v>
      </c>
      <c r="M3642">
        <v>0</v>
      </c>
      <c r="N3642">
        <v>0</v>
      </c>
      <c r="O3642">
        <v>0</v>
      </c>
      <c r="P3642">
        <v>0</v>
      </c>
      <c r="Q3642">
        <v>0</v>
      </c>
      <c r="R3642">
        <v>0</v>
      </c>
      <c r="S3642">
        <v>0</v>
      </c>
      <c r="T3642">
        <v>0</v>
      </c>
      <c r="U3642">
        <v>0</v>
      </c>
      <c r="V3642">
        <v>5</v>
      </c>
      <c r="W3642">
        <v>35</v>
      </c>
      <c r="X3642">
        <v>0</v>
      </c>
      <c r="Z3642">
        <v>0</v>
      </c>
      <c r="AA3642">
        <v>0</v>
      </c>
      <c r="AB3642">
        <v>0</v>
      </c>
      <c r="AC3642">
        <v>0</v>
      </c>
      <c r="AD3642" t="s">
        <v>6681</v>
      </c>
    </row>
    <row r="3643" spans="1:30" x14ac:dyDescent="0.25">
      <c r="H3643" t="s">
        <v>6682</v>
      </c>
    </row>
    <row r="3644" spans="1:30" x14ac:dyDescent="0.25">
      <c r="A3644">
        <v>1819</v>
      </c>
      <c r="B3644">
        <v>3233</v>
      </c>
      <c r="C3644" t="s">
        <v>6683</v>
      </c>
      <c r="D3644" t="s">
        <v>166</v>
      </c>
      <c r="E3644" t="s">
        <v>40</v>
      </c>
      <c r="F3644" t="s">
        <v>6684</v>
      </c>
      <c r="G3644" t="str">
        <f>"00366194"</f>
        <v>00366194</v>
      </c>
      <c r="H3644" t="s">
        <v>2321</v>
      </c>
      <c r="I3644">
        <v>0</v>
      </c>
      <c r="J3644">
        <v>0</v>
      </c>
      <c r="K3644">
        <v>0</v>
      </c>
      <c r="L3644">
        <v>0</v>
      </c>
      <c r="M3644">
        <v>0</v>
      </c>
      <c r="N3644">
        <v>30</v>
      </c>
      <c r="O3644">
        <v>0</v>
      </c>
      <c r="P3644">
        <v>0</v>
      </c>
      <c r="Q3644">
        <v>0</v>
      </c>
      <c r="R3644">
        <v>0</v>
      </c>
      <c r="S3644">
        <v>0</v>
      </c>
      <c r="T3644">
        <v>0</v>
      </c>
      <c r="U3644">
        <v>0</v>
      </c>
      <c r="V3644">
        <v>11</v>
      </c>
      <c r="W3644">
        <v>77</v>
      </c>
      <c r="X3644">
        <v>0</v>
      </c>
      <c r="Z3644">
        <v>0</v>
      </c>
      <c r="AA3644">
        <v>0</v>
      </c>
      <c r="AB3644">
        <v>0</v>
      </c>
      <c r="AC3644">
        <v>0</v>
      </c>
      <c r="AD3644" t="s">
        <v>6685</v>
      </c>
    </row>
    <row r="3645" spans="1:30" x14ac:dyDescent="0.25">
      <c r="H3645" t="s">
        <v>6686</v>
      </c>
    </row>
    <row r="3646" spans="1:30" x14ac:dyDescent="0.25">
      <c r="A3646">
        <v>1820</v>
      </c>
      <c r="B3646">
        <v>3899</v>
      </c>
      <c r="C3646" t="s">
        <v>6687</v>
      </c>
      <c r="D3646" t="s">
        <v>2713</v>
      </c>
      <c r="E3646" t="s">
        <v>47</v>
      </c>
      <c r="F3646" t="s">
        <v>6688</v>
      </c>
      <c r="G3646" t="str">
        <f>"00254616"</f>
        <v>00254616</v>
      </c>
      <c r="H3646">
        <v>803</v>
      </c>
      <c r="I3646">
        <v>0</v>
      </c>
      <c r="J3646">
        <v>0</v>
      </c>
      <c r="K3646">
        <v>0</v>
      </c>
      <c r="L3646">
        <v>0</v>
      </c>
      <c r="M3646">
        <v>0</v>
      </c>
      <c r="N3646">
        <v>50</v>
      </c>
      <c r="O3646">
        <v>0</v>
      </c>
      <c r="P3646">
        <v>0</v>
      </c>
      <c r="Q3646">
        <v>0</v>
      </c>
      <c r="R3646">
        <v>0</v>
      </c>
      <c r="S3646">
        <v>0</v>
      </c>
      <c r="T3646">
        <v>0</v>
      </c>
      <c r="U3646">
        <v>0</v>
      </c>
      <c r="V3646">
        <v>0</v>
      </c>
      <c r="W3646">
        <v>0</v>
      </c>
      <c r="X3646">
        <v>0</v>
      </c>
      <c r="Z3646">
        <v>0</v>
      </c>
      <c r="AA3646">
        <v>0</v>
      </c>
      <c r="AB3646">
        <v>0</v>
      </c>
      <c r="AC3646">
        <v>0</v>
      </c>
      <c r="AD3646">
        <v>853</v>
      </c>
    </row>
    <row r="3647" spans="1:30" x14ac:dyDescent="0.25">
      <c r="H3647" t="s">
        <v>6689</v>
      </c>
    </row>
    <row r="3648" spans="1:30" x14ac:dyDescent="0.25">
      <c r="A3648">
        <v>1821</v>
      </c>
      <c r="B3648">
        <v>6083</v>
      </c>
      <c r="C3648" t="s">
        <v>6690</v>
      </c>
      <c r="D3648" t="s">
        <v>40</v>
      </c>
      <c r="E3648" t="s">
        <v>162</v>
      </c>
      <c r="F3648" t="s">
        <v>6691</v>
      </c>
      <c r="G3648" t="str">
        <f>"201601001088"</f>
        <v>201601001088</v>
      </c>
      <c r="H3648" t="s">
        <v>198</v>
      </c>
      <c r="I3648">
        <v>0</v>
      </c>
      <c r="J3648">
        <v>0</v>
      </c>
      <c r="K3648">
        <v>0</v>
      </c>
      <c r="L3648">
        <v>0</v>
      </c>
      <c r="M3648">
        <v>0</v>
      </c>
      <c r="N3648">
        <v>30</v>
      </c>
      <c r="O3648">
        <v>0</v>
      </c>
      <c r="P3648">
        <v>0</v>
      </c>
      <c r="Q3648">
        <v>0</v>
      </c>
      <c r="R3648">
        <v>0</v>
      </c>
      <c r="S3648">
        <v>0</v>
      </c>
      <c r="T3648">
        <v>0</v>
      </c>
      <c r="U3648">
        <v>0</v>
      </c>
      <c r="V3648">
        <v>0</v>
      </c>
      <c r="W3648">
        <v>0</v>
      </c>
      <c r="X3648">
        <v>0</v>
      </c>
      <c r="Z3648">
        <v>0</v>
      </c>
      <c r="AA3648">
        <v>0</v>
      </c>
      <c r="AB3648">
        <v>0</v>
      </c>
      <c r="AC3648">
        <v>0</v>
      </c>
      <c r="AD3648" t="s">
        <v>6692</v>
      </c>
    </row>
    <row r="3649" spans="1:30" x14ac:dyDescent="0.25">
      <c r="H3649" t="s">
        <v>6693</v>
      </c>
    </row>
    <row r="3650" spans="1:30" x14ac:dyDescent="0.25">
      <c r="A3650">
        <v>1822</v>
      </c>
      <c r="B3650">
        <v>4328</v>
      </c>
      <c r="C3650" t="s">
        <v>6694</v>
      </c>
      <c r="D3650" t="s">
        <v>144</v>
      </c>
      <c r="E3650" t="s">
        <v>40</v>
      </c>
      <c r="F3650" t="s">
        <v>6695</v>
      </c>
      <c r="G3650" t="str">
        <f>"00345137"</f>
        <v>00345137</v>
      </c>
      <c r="H3650" t="s">
        <v>760</v>
      </c>
      <c r="I3650">
        <v>0</v>
      </c>
      <c r="J3650">
        <v>0</v>
      </c>
      <c r="K3650">
        <v>0</v>
      </c>
      <c r="L3650">
        <v>0</v>
      </c>
      <c r="M3650">
        <v>0</v>
      </c>
      <c r="N3650">
        <v>30</v>
      </c>
      <c r="O3650">
        <v>0</v>
      </c>
      <c r="P3650">
        <v>30</v>
      </c>
      <c r="Q3650">
        <v>0</v>
      </c>
      <c r="R3650">
        <v>0</v>
      </c>
      <c r="S3650">
        <v>0</v>
      </c>
      <c r="T3650">
        <v>0</v>
      </c>
      <c r="U3650">
        <v>0</v>
      </c>
      <c r="V3650">
        <v>10</v>
      </c>
      <c r="W3650">
        <v>70</v>
      </c>
      <c r="X3650">
        <v>0</v>
      </c>
      <c r="Z3650">
        <v>2</v>
      </c>
      <c r="AA3650">
        <v>0</v>
      </c>
      <c r="AB3650">
        <v>0</v>
      </c>
      <c r="AC3650">
        <v>0</v>
      </c>
      <c r="AD3650" t="s">
        <v>6696</v>
      </c>
    </row>
    <row r="3651" spans="1:30" x14ac:dyDescent="0.25">
      <c r="H3651" t="s">
        <v>6697</v>
      </c>
    </row>
    <row r="3652" spans="1:30" x14ac:dyDescent="0.25">
      <c r="A3652">
        <v>1823</v>
      </c>
      <c r="B3652">
        <v>4125</v>
      </c>
      <c r="C3652" t="s">
        <v>6698</v>
      </c>
      <c r="D3652" t="s">
        <v>599</v>
      </c>
      <c r="E3652" t="s">
        <v>282</v>
      </c>
      <c r="F3652" t="s">
        <v>6699</v>
      </c>
      <c r="G3652" t="str">
        <f>"00156993"</f>
        <v>00156993</v>
      </c>
      <c r="H3652" t="s">
        <v>1251</v>
      </c>
      <c r="I3652">
        <v>0</v>
      </c>
      <c r="J3652">
        <v>0</v>
      </c>
      <c r="K3652">
        <v>0</v>
      </c>
      <c r="L3652">
        <v>0</v>
      </c>
      <c r="M3652">
        <v>0</v>
      </c>
      <c r="N3652">
        <v>30</v>
      </c>
      <c r="O3652">
        <v>0</v>
      </c>
      <c r="P3652">
        <v>0</v>
      </c>
      <c r="Q3652">
        <v>0</v>
      </c>
      <c r="R3652">
        <v>0</v>
      </c>
      <c r="S3652">
        <v>0</v>
      </c>
      <c r="T3652">
        <v>0</v>
      </c>
      <c r="U3652">
        <v>0</v>
      </c>
      <c r="V3652">
        <v>18</v>
      </c>
      <c r="W3652">
        <v>126</v>
      </c>
      <c r="X3652">
        <v>0</v>
      </c>
      <c r="Z3652">
        <v>1</v>
      </c>
      <c r="AA3652">
        <v>0</v>
      </c>
      <c r="AB3652">
        <v>0</v>
      </c>
      <c r="AC3652">
        <v>0</v>
      </c>
      <c r="AD3652" t="s">
        <v>6700</v>
      </c>
    </row>
    <row r="3653" spans="1:30" x14ac:dyDescent="0.25">
      <c r="H3653" t="s">
        <v>6701</v>
      </c>
    </row>
    <row r="3654" spans="1:30" x14ac:dyDescent="0.25">
      <c r="A3654">
        <v>1824</v>
      </c>
      <c r="B3654">
        <v>2989</v>
      </c>
      <c r="C3654" t="s">
        <v>394</v>
      </c>
      <c r="D3654" t="s">
        <v>51</v>
      </c>
      <c r="E3654" t="s">
        <v>40</v>
      </c>
      <c r="F3654" t="s">
        <v>6702</v>
      </c>
      <c r="G3654" t="str">
        <f>"00122655"</f>
        <v>00122655</v>
      </c>
      <c r="H3654" t="s">
        <v>2618</v>
      </c>
      <c r="I3654">
        <v>0</v>
      </c>
      <c r="J3654">
        <v>0</v>
      </c>
      <c r="K3654">
        <v>0</v>
      </c>
      <c r="L3654">
        <v>0</v>
      </c>
      <c r="M3654">
        <v>0</v>
      </c>
      <c r="N3654">
        <v>0</v>
      </c>
      <c r="O3654">
        <v>0</v>
      </c>
      <c r="P3654">
        <v>0</v>
      </c>
      <c r="Q3654">
        <v>0</v>
      </c>
      <c r="R3654">
        <v>0</v>
      </c>
      <c r="S3654">
        <v>0</v>
      </c>
      <c r="T3654">
        <v>0</v>
      </c>
      <c r="U3654">
        <v>0</v>
      </c>
      <c r="V3654">
        <v>8</v>
      </c>
      <c r="W3654">
        <v>56</v>
      </c>
      <c r="X3654">
        <v>0</v>
      </c>
      <c r="Z3654">
        <v>0</v>
      </c>
      <c r="AA3654">
        <v>0</v>
      </c>
      <c r="AB3654">
        <v>5</v>
      </c>
      <c r="AC3654">
        <v>85</v>
      </c>
      <c r="AD3654" t="s">
        <v>6703</v>
      </c>
    </row>
    <row r="3655" spans="1:30" x14ac:dyDescent="0.25">
      <c r="H3655" t="s">
        <v>6704</v>
      </c>
    </row>
    <row r="3656" spans="1:30" x14ac:dyDescent="0.25">
      <c r="A3656">
        <v>1825</v>
      </c>
      <c r="B3656">
        <v>5579</v>
      </c>
      <c r="C3656" t="s">
        <v>6705</v>
      </c>
      <c r="D3656" t="s">
        <v>40</v>
      </c>
      <c r="E3656" t="s">
        <v>162</v>
      </c>
      <c r="F3656" t="s">
        <v>6706</v>
      </c>
      <c r="G3656" t="str">
        <f>"00252319"</f>
        <v>00252319</v>
      </c>
      <c r="H3656" t="s">
        <v>1825</v>
      </c>
      <c r="I3656">
        <v>0</v>
      </c>
      <c r="J3656">
        <v>0</v>
      </c>
      <c r="K3656">
        <v>0</v>
      </c>
      <c r="L3656">
        <v>0</v>
      </c>
      <c r="M3656">
        <v>0</v>
      </c>
      <c r="N3656">
        <v>50</v>
      </c>
      <c r="O3656">
        <v>0</v>
      </c>
      <c r="P3656">
        <v>0</v>
      </c>
      <c r="Q3656">
        <v>0</v>
      </c>
      <c r="R3656">
        <v>0</v>
      </c>
      <c r="S3656">
        <v>0</v>
      </c>
      <c r="T3656">
        <v>0</v>
      </c>
      <c r="U3656">
        <v>0</v>
      </c>
      <c r="V3656">
        <v>-6</v>
      </c>
      <c r="W3656">
        <v>-42</v>
      </c>
      <c r="X3656">
        <v>0</v>
      </c>
      <c r="Z3656">
        <v>0</v>
      </c>
      <c r="AA3656">
        <v>0</v>
      </c>
      <c r="AB3656">
        <v>6</v>
      </c>
      <c r="AC3656">
        <v>102</v>
      </c>
      <c r="AD3656" t="s">
        <v>383</v>
      </c>
    </row>
    <row r="3657" spans="1:30" x14ac:dyDescent="0.25">
      <c r="H3657" t="s">
        <v>6707</v>
      </c>
    </row>
    <row r="3658" spans="1:30" x14ac:dyDescent="0.25">
      <c r="A3658">
        <v>1826</v>
      </c>
      <c r="B3658">
        <v>4271</v>
      </c>
      <c r="C3658" t="s">
        <v>4544</v>
      </c>
      <c r="D3658" t="s">
        <v>400</v>
      </c>
      <c r="E3658" t="s">
        <v>162</v>
      </c>
      <c r="F3658" t="s">
        <v>6708</v>
      </c>
      <c r="G3658" t="str">
        <f>"00202979"</f>
        <v>00202979</v>
      </c>
      <c r="H3658" t="s">
        <v>3774</v>
      </c>
      <c r="I3658">
        <v>0</v>
      </c>
      <c r="J3658">
        <v>0</v>
      </c>
      <c r="K3658">
        <v>0</v>
      </c>
      <c r="L3658">
        <v>0</v>
      </c>
      <c r="M3658">
        <v>0</v>
      </c>
      <c r="N3658">
        <v>0</v>
      </c>
      <c r="O3658">
        <v>0</v>
      </c>
      <c r="P3658">
        <v>0</v>
      </c>
      <c r="Q3658">
        <v>0</v>
      </c>
      <c r="R3658">
        <v>0</v>
      </c>
      <c r="S3658">
        <v>0</v>
      </c>
      <c r="T3658">
        <v>0</v>
      </c>
      <c r="U3658">
        <v>0</v>
      </c>
      <c r="V3658">
        <v>22</v>
      </c>
      <c r="W3658">
        <v>154</v>
      </c>
      <c r="X3658">
        <v>0</v>
      </c>
      <c r="Z3658">
        <v>1</v>
      </c>
      <c r="AA3658">
        <v>0</v>
      </c>
      <c r="AB3658">
        <v>0</v>
      </c>
      <c r="AC3658">
        <v>0</v>
      </c>
      <c r="AD3658" t="s">
        <v>383</v>
      </c>
    </row>
    <row r="3659" spans="1:30" x14ac:dyDescent="0.25">
      <c r="H3659" t="s">
        <v>1229</v>
      </c>
    </row>
    <row r="3660" spans="1:30" x14ac:dyDescent="0.25">
      <c r="A3660">
        <v>1827</v>
      </c>
      <c r="B3660">
        <v>1280</v>
      </c>
      <c r="C3660" t="s">
        <v>6709</v>
      </c>
      <c r="D3660" t="s">
        <v>262</v>
      </c>
      <c r="E3660" t="s">
        <v>6710</v>
      </c>
      <c r="F3660" t="s">
        <v>6711</v>
      </c>
      <c r="G3660" t="str">
        <f>"00187343"</f>
        <v>00187343</v>
      </c>
      <c r="H3660" t="s">
        <v>1511</v>
      </c>
      <c r="I3660">
        <v>0</v>
      </c>
      <c r="J3660">
        <v>0</v>
      </c>
      <c r="K3660">
        <v>0</v>
      </c>
      <c r="L3660">
        <v>0</v>
      </c>
      <c r="M3660">
        <v>0</v>
      </c>
      <c r="N3660">
        <v>30</v>
      </c>
      <c r="O3660">
        <v>0</v>
      </c>
      <c r="P3660">
        <v>0</v>
      </c>
      <c r="Q3660">
        <v>0</v>
      </c>
      <c r="R3660">
        <v>0</v>
      </c>
      <c r="S3660">
        <v>0</v>
      </c>
      <c r="T3660">
        <v>0</v>
      </c>
      <c r="U3660">
        <v>0</v>
      </c>
      <c r="V3660">
        <v>18</v>
      </c>
      <c r="W3660">
        <v>126</v>
      </c>
      <c r="X3660">
        <v>0</v>
      </c>
      <c r="Z3660">
        <v>0</v>
      </c>
      <c r="AA3660">
        <v>0</v>
      </c>
      <c r="AB3660">
        <v>0</v>
      </c>
      <c r="AC3660">
        <v>0</v>
      </c>
      <c r="AD3660" t="s">
        <v>6712</v>
      </c>
    </row>
    <row r="3661" spans="1:30" x14ac:dyDescent="0.25">
      <c r="H3661" t="s">
        <v>6713</v>
      </c>
    </row>
    <row r="3662" spans="1:30" x14ac:dyDescent="0.25">
      <c r="A3662">
        <v>1828</v>
      </c>
      <c r="B3662">
        <v>4975</v>
      </c>
      <c r="C3662" t="s">
        <v>6714</v>
      </c>
      <c r="D3662" t="s">
        <v>151</v>
      </c>
      <c r="E3662" t="s">
        <v>144</v>
      </c>
      <c r="F3662" t="s">
        <v>6715</v>
      </c>
      <c r="G3662" t="str">
        <f>"00222722"</f>
        <v>00222722</v>
      </c>
      <c r="H3662" t="s">
        <v>1572</v>
      </c>
      <c r="I3662">
        <v>0</v>
      </c>
      <c r="J3662">
        <v>0</v>
      </c>
      <c r="K3662">
        <v>0</v>
      </c>
      <c r="L3662">
        <v>0</v>
      </c>
      <c r="M3662">
        <v>100</v>
      </c>
      <c r="N3662">
        <v>30</v>
      </c>
      <c r="O3662">
        <v>0</v>
      </c>
      <c r="P3662">
        <v>0</v>
      </c>
      <c r="Q3662">
        <v>0</v>
      </c>
      <c r="R3662">
        <v>0</v>
      </c>
      <c r="S3662">
        <v>0</v>
      </c>
      <c r="T3662">
        <v>0</v>
      </c>
      <c r="U3662">
        <v>0</v>
      </c>
      <c r="V3662">
        <v>0</v>
      </c>
      <c r="W3662">
        <v>0</v>
      </c>
      <c r="X3662">
        <v>0</v>
      </c>
      <c r="Z3662">
        <v>0</v>
      </c>
      <c r="AA3662">
        <v>0</v>
      </c>
      <c r="AB3662">
        <v>0</v>
      </c>
      <c r="AC3662">
        <v>0</v>
      </c>
      <c r="AD3662" t="s">
        <v>6716</v>
      </c>
    </row>
    <row r="3663" spans="1:30" x14ac:dyDescent="0.25">
      <c r="H3663" t="s">
        <v>6717</v>
      </c>
    </row>
    <row r="3664" spans="1:30" x14ac:dyDescent="0.25">
      <c r="A3664">
        <v>1829</v>
      </c>
      <c r="B3664">
        <v>2798</v>
      </c>
      <c r="C3664" t="s">
        <v>6718</v>
      </c>
      <c r="D3664" t="s">
        <v>39</v>
      </c>
      <c r="E3664" t="s">
        <v>40</v>
      </c>
      <c r="F3664" t="s">
        <v>6719</v>
      </c>
      <c r="G3664" t="str">
        <f>"00305909"</f>
        <v>00305909</v>
      </c>
      <c r="H3664" t="s">
        <v>2928</v>
      </c>
      <c r="I3664">
        <v>0</v>
      </c>
      <c r="J3664">
        <v>0</v>
      </c>
      <c r="K3664">
        <v>0</v>
      </c>
      <c r="L3664">
        <v>0</v>
      </c>
      <c r="M3664">
        <v>0</v>
      </c>
      <c r="N3664">
        <v>50</v>
      </c>
      <c r="O3664">
        <v>0</v>
      </c>
      <c r="P3664">
        <v>0</v>
      </c>
      <c r="Q3664">
        <v>0</v>
      </c>
      <c r="R3664">
        <v>0</v>
      </c>
      <c r="S3664">
        <v>0</v>
      </c>
      <c r="T3664">
        <v>0</v>
      </c>
      <c r="U3664">
        <v>0</v>
      </c>
      <c r="V3664">
        <v>10</v>
      </c>
      <c r="W3664">
        <v>70</v>
      </c>
      <c r="X3664">
        <v>0</v>
      </c>
      <c r="Z3664">
        <v>0</v>
      </c>
      <c r="AA3664">
        <v>0</v>
      </c>
      <c r="AB3664">
        <v>0</v>
      </c>
      <c r="AC3664">
        <v>0</v>
      </c>
      <c r="AD3664" t="s">
        <v>6720</v>
      </c>
    </row>
    <row r="3665" spans="1:30" x14ac:dyDescent="0.25">
      <c r="H3665" t="s">
        <v>6721</v>
      </c>
    </row>
    <row r="3666" spans="1:30" x14ac:dyDescent="0.25">
      <c r="A3666">
        <v>1830</v>
      </c>
      <c r="B3666">
        <v>4562</v>
      </c>
      <c r="C3666" t="s">
        <v>6722</v>
      </c>
      <c r="D3666" t="s">
        <v>1986</v>
      </c>
      <c r="E3666" t="s">
        <v>40</v>
      </c>
      <c r="F3666" t="s">
        <v>6723</v>
      </c>
      <c r="G3666" t="str">
        <f>"00274159"</f>
        <v>00274159</v>
      </c>
      <c r="H3666" t="s">
        <v>1131</v>
      </c>
      <c r="I3666">
        <v>0</v>
      </c>
      <c r="J3666">
        <v>0</v>
      </c>
      <c r="K3666">
        <v>0</v>
      </c>
      <c r="L3666">
        <v>0</v>
      </c>
      <c r="M3666">
        <v>0</v>
      </c>
      <c r="N3666">
        <v>0</v>
      </c>
      <c r="O3666">
        <v>0</v>
      </c>
      <c r="P3666">
        <v>0</v>
      </c>
      <c r="Q3666">
        <v>0</v>
      </c>
      <c r="R3666">
        <v>0</v>
      </c>
      <c r="S3666">
        <v>0</v>
      </c>
      <c r="T3666">
        <v>0</v>
      </c>
      <c r="U3666">
        <v>0</v>
      </c>
      <c r="V3666">
        <v>6</v>
      </c>
      <c r="W3666">
        <v>42</v>
      </c>
      <c r="X3666">
        <v>0</v>
      </c>
      <c r="Z3666">
        <v>2</v>
      </c>
      <c r="AA3666">
        <v>0</v>
      </c>
      <c r="AB3666">
        <v>6</v>
      </c>
      <c r="AC3666">
        <v>102</v>
      </c>
      <c r="AD3666" t="s">
        <v>6724</v>
      </c>
    </row>
    <row r="3667" spans="1:30" x14ac:dyDescent="0.25">
      <c r="H3667" t="s">
        <v>6725</v>
      </c>
    </row>
    <row r="3668" spans="1:30" x14ac:dyDescent="0.25">
      <c r="A3668">
        <v>1831</v>
      </c>
      <c r="B3668">
        <v>1362</v>
      </c>
      <c r="C3668" t="s">
        <v>6726</v>
      </c>
      <c r="D3668" t="s">
        <v>75</v>
      </c>
      <c r="E3668" t="s">
        <v>87</v>
      </c>
      <c r="F3668" t="s">
        <v>6727</v>
      </c>
      <c r="G3668" t="str">
        <f>"00229010"</f>
        <v>00229010</v>
      </c>
      <c r="H3668" t="s">
        <v>1227</v>
      </c>
      <c r="I3668">
        <v>0</v>
      </c>
      <c r="J3668">
        <v>0</v>
      </c>
      <c r="K3668">
        <v>0</v>
      </c>
      <c r="L3668">
        <v>0</v>
      </c>
      <c r="M3668">
        <v>0</v>
      </c>
      <c r="N3668">
        <v>0</v>
      </c>
      <c r="O3668">
        <v>0</v>
      </c>
      <c r="P3668">
        <v>0</v>
      </c>
      <c r="Q3668">
        <v>0</v>
      </c>
      <c r="R3668">
        <v>0</v>
      </c>
      <c r="S3668">
        <v>0</v>
      </c>
      <c r="T3668">
        <v>0</v>
      </c>
      <c r="U3668">
        <v>0</v>
      </c>
      <c r="V3668">
        <v>0</v>
      </c>
      <c r="W3668">
        <v>0</v>
      </c>
      <c r="X3668">
        <v>0</v>
      </c>
      <c r="Z3668">
        <v>0</v>
      </c>
      <c r="AA3668">
        <v>0</v>
      </c>
      <c r="AB3668">
        <v>8</v>
      </c>
      <c r="AC3668">
        <v>136</v>
      </c>
      <c r="AD3668" t="s">
        <v>6728</v>
      </c>
    </row>
    <row r="3669" spans="1:30" x14ac:dyDescent="0.25">
      <c r="H3669" t="s">
        <v>6729</v>
      </c>
    </row>
    <row r="3670" spans="1:30" x14ac:dyDescent="0.25">
      <c r="A3670">
        <v>1832</v>
      </c>
      <c r="B3670">
        <v>3942</v>
      </c>
      <c r="C3670" t="s">
        <v>6730</v>
      </c>
      <c r="D3670" t="s">
        <v>223</v>
      </c>
      <c r="E3670" t="s">
        <v>162</v>
      </c>
      <c r="F3670" t="s">
        <v>6731</v>
      </c>
      <c r="G3670" t="str">
        <f>"201412002741"</f>
        <v>201412002741</v>
      </c>
      <c r="H3670" t="s">
        <v>1404</v>
      </c>
      <c r="I3670">
        <v>0</v>
      </c>
      <c r="J3670">
        <v>0</v>
      </c>
      <c r="K3670">
        <v>0</v>
      </c>
      <c r="L3670">
        <v>0</v>
      </c>
      <c r="M3670">
        <v>0</v>
      </c>
      <c r="N3670">
        <v>30</v>
      </c>
      <c r="O3670">
        <v>0</v>
      </c>
      <c r="P3670">
        <v>0</v>
      </c>
      <c r="Q3670">
        <v>0</v>
      </c>
      <c r="R3670">
        <v>0</v>
      </c>
      <c r="S3670">
        <v>0</v>
      </c>
      <c r="T3670">
        <v>0</v>
      </c>
      <c r="U3670">
        <v>0</v>
      </c>
      <c r="V3670">
        <v>0</v>
      </c>
      <c r="W3670">
        <v>0</v>
      </c>
      <c r="X3670">
        <v>0</v>
      </c>
      <c r="Z3670">
        <v>0</v>
      </c>
      <c r="AA3670">
        <v>0</v>
      </c>
      <c r="AB3670">
        <v>0</v>
      </c>
      <c r="AC3670">
        <v>0</v>
      </c>
      <c r="AD3670" t="s">
        <v>6732</v>
      </c>
    </row>
    <row r="3671" spans="1:30" x14ac:dyDescent="0.25">
      <c r="H3671" t="s">
        <v>6733</v>
      </c>
    </row>
    <row r="3672" spans="1:30" x14ac:dyDescent="0.25">
      <c r="A3672">
        <v>1833</v>
      </c>
      <c r="B3672">
        <v>2927</v>
      </c>
      <c r="C3672" t="s">
        <v>6734</v>
      </c>
      <c r="D3672" t="s">
        <v>75</v>
      </c>
      <c r="E3672" t="s">
        <v>39</v>
      </c>
      <c r="F3672" t="s">
        <v>6735</v>
      </c>
      <c r="G3672" t="str">
        <f>"00185521"</f>
        <v>00185521</v>
      </c>
      <c r="H3672">
        <v>671</v>
      </c>
      <c r="I3672">
        <v>0</v>
      </c>
      <c r="J3672">
        <v>0</v>
      </c>
      <c r="K3672">
        <v>0</v>
      </c>
      <c r="L3672">
        <v>0</v>
      </c>
      <c r="M3672">
        <v>0</v>
      </c>
      <c r="N3672">
        <v>0</v>
      </c>
      <c r="O3672">
        <v>0</v>
      </c>
      <c r="P3672">
        <v>0</v>
      </c>
      <c r="Q3672">
        <v>0</v>
      </c>
      <c r="R3672">
        <v>0</v>
      </c>
      <c r="S3672">
        <v>0</v>
      </c>
      <c r="T3672">
        <v>0</v>
      </c>
      <c r="U3672">
        <v>0</v>
      </c>
      <c r="V3672">
        <v>25</v>
      </c>
      <c r="W3672">
        <v>175</v>
      </c>
      <c r="X3672">
        <v>0</v>
      </c>
      <c r="Z3672">
        <v>2</v>
      </c>
      <c r="AA3672">
        <v>0</v>
      </c>
      <c r="AB3672">
        <v>0</v>
      </c>
      <c r="AC3672">
        <v>0</v>
      </c>
      <c r="AD3672">
        <v>846</v>
      </c>
    </row>
    <row r="3673" spans="1:30" x14ac:dyDescent="0.25">
      <c r="H3673" t="s">
        <v>864</v>
      </c>
    </row>
    <row r="3674" spans="1:30" x14ac:dyDescent="0.25">
      <c r="A3674">
        <v>1834</v>
      </c>
      <c r="B3674">
        <v>5322</v>
      </c>
      <c r="C3674" t="s">
        <v>6736</v>
      </c>
      <c r="D3674" t="s">
        <v>904</v>
      </c>
      <c r="E3674" t="s">
        <v>39</v>
      </c>
      <c r="F3674" t="s">
        <v>6737</v>
      </c>
      <c r="G3674" t="str">
        <f>"00194004"</f>
        <v>00194004</v>
      </c>
      <c r="H3674" t="s">
        <v>1345</v>
      </c>
      <c r="I3674">
        <v>0</v>
      </c>
      <c r="J3674">
        <v>0</v>
      </c>
      <c r="K3674">
        <v>0</v>
      </c>
      <c r="L3674">
        <v>0</v>
      </c>
      <c r="M3674">
        <v>0</v>
      </c>
      <c r="N3674">
        <v>70</v>
      </c>
      <c r="O3674">
        <v>30</v>
      </c>
      <c r="P3674">
        <v>0</v>
      </c>
      <c r="Q3674">
        <v>0</v>
      </c>
      <c r="R3674">
        <v>0</v>
      </c>
      <c r="S3674">
        <v>0</v>
      </c>
      <c r="T3674">
        <v>0</v>
      </c>
      <c r="U3674">
        <v>0</v>
      </c>
      <c r="V3674">
        <v>0</v>
      </c>
      <c r="W3674">
        <v>0</v>
      </c>
      <c r="X3674">
        <v>0</v>
      </c>
      <c r="Z3674">
        <v>0</v>
      </c>
      <c r="AA3674">
        <v>0</v>
      </c>
      <c r="AB3674">
        <v>0</v>
      </c>
      <c r="AC3674">
        <v>0</v>
      </c>
      <c r="AD3674" t="s">
        <v>6738</v>
      </c>
    </row>
    <row r="3675" spans="1:30" x14ac:dyDescent="0.25">
      <c r="H3675" t="s">
        <v>6739</v>
      </c>
    </row>
    <row r="3676" spans="1:30" x14ac:dyDescent="0.25">
      <c r="A3676">
        <v>1835</v>
      </c>
      <c r="B3676">
        <v>2394</v>
      </c>
      <c r="C3676" t="s">
        <v>6740</v>
      </c>
      <c r="D3676" t="s">
        <v>75</v>
      </c>
      <c r="E3676" t="s">
        <v>162</v>
      </c>
      <c r="F3676" t="s">
        <v>6741</v>
      </c>
      <c r="G3676" t="str">
        <f>"00124156"</f>
        <v>00124156</v>
      </c>
      <c r="H3676" t="s">
        <v>514</v>
      </c>
      <c r="I3676">
        <v>0</v>
      </c>
      <c r="J3676">
        <v>0</v>
      </c>
      <c r="K3676">
        <v>0</v>
      </c>
      <c r="L3676">
        <v>0</v>
      </c>
      <c r="M3676">
        <v>0</v>
      </c>
      <c r="N3676">
        <v>30</v>
      </c>
      <c r="O3676">
        <v>0</v>
      </c>
      <c r="P3676">
        <v>0</v>
      </c>
      <c r="Q3676">
        <v>0</v>
      </c>
      <c r="R3676">
        <v>0</v>
      </c>
      <c r="S3676">
        <v>0</v>
      </c>
      <c r="T3676">
        <v>0</v>
      </c>
      <c r="U3676">
        <v>0</v>
      </c>
      <c r="V3676">
        <v>9</v>
      </c>
      <c r="W3676">
        <v>63</v>
      </c>
      <c r="X3676">
        <v>0</v>
      </c>
      <c r="Z3676">
        <v>1</v>
      </c>
      <c r="AA3676">
        <v>0</v>
      </c>
      <c r="AB3676">
        <v>0</v>
      </c>
      <c r="AC3676">
        <v>0</v>
      </c>
      <c r="AD3676" t="s">
        <v>6742</v>
      </c>
    </row>
    <row r="3677" spans="1:30" x14ac:dyDescent="0.25">
      <c r="H3677" t="s">
        <v>6743</v>
      </c>
    </row>
    <row r="3678" spans="1:30" x14ac:dyDescent="0.25">
      <c r="A3678">
        <v>1836</v>
      </c>
      <c r="B3678">
        <v>1710</v>
      </c>
      <c r="C3678" t="s">
        <v>6744</v>
      </c>
      <c r="D3678" t="s">
        <v>151</v>
      </c>
      <c r="E3678" t="s">
        <v>33</v>
      </c>
      <c r="F3678" t="s">
        <v>6745</v>
      </c>
      <c r="G3678" t="str">
        <f>"200802010039"</f>
        <v>200802010039</v>
      </c>
      <c r="H3678" t="s">
        <v>402</v>
      </c>
      <c r="I3678">
        <v>0</v>
      </c>
      <c r="J3678">
        <v>0</v>
      </c>
      <c r="K3678">
        <v>0</v>
      </c>
      <c r="L3678">
        <v>0</v>
      </c>
      <c r="M3678">
        <v>0</v>
      </c>
      <c r="N3678">
        <v>50</v>
      </c>
      <c r="O3678">
        <v>0</v>
      </c>
      <c r="P3678">
        <v>0</v>
      </c>
      <c r="Q3678">
        <v>50</v>
      </c>
      <c r="R3678">
        <v>0</v>
      </c>
      <c r="S3678">
        <v>0</v>
      </c>
      <c r="T3678">
        <v>0</v>
      </c>
      <c r="U3678">
        <v>0</v>
      </c>
      <c r="V3678">
        <v>10</v>
      </c>
      <c r="W3678">
        <v>70</v>
      </c>
      <c r="X3678">
        <v>0</v>
      </c>
      <c r="Z3678">
        <v>0</v>
      </c>
      <c r="AA3678">
        <v>0</v>
      </c>
      <c r="AB3678">
        <v>0</v>
      </c>
      <c r="AC3678">
        <v>0</v>
      </c>
      <c r="AD3678" t="s">
        <v>6742</v>
      </c>
    </row>
    <row r="3679" spans="1:30" x14ac:dyDescent="0.25">
      <c r="H3679" t="s">
        <v>6746</v>
      </c>
    </row>
    <row r="3680" spans="1:30" x14ac:dyDescent="0.25">
      <c r="A3680">
        <v>1837</v>
      </c>
      <c r="B3680">
        <v>3105</v>
      </c>
      <c r="C3680" t="s">
        <v>6747</v>
      </c>
      <c r="D3680" t="s">
        <v>33</v>
      </c>
      <c r="E3680" t="s">
        <v>51</v>
      </c>
      <c r="F3680" t="s">
        <v>6748</v>
      </c>
      <c r="G3680" t="str">
        <f>"00107316"</f>
        <v>00107316</v>
      </c>
      <c r="H3680" t="s">
        <v>3774</v>
      </c>
      <c r="I3680">
        <v>0</v>
      </c>
      <c r="J3680">
        <v>0</v>
      </c>
      <c r="K3680">
        <v>0</v>
      </c>
      <c r="L3680">
        <v>0</v>
      </c>
      <c r="M3680">
        <v>0</v>
      </c>
      <c r="N3680">
        <v>30</v>
      </c>
      <c r="O3680">
        <v>0</v>
      </c>
      <c r="P3680">
        <v>0</v>
      </c>
      <c r="Q3680">
        <v>0</v>
      </c>
      <c r="R3680">
        <v>0</v>
      </c>
      <c r="S3680">
        <v>0</v>
      </c>
      <c r="T3680">
        <v>0</v>
      </c>
      <c r="U3680">
        <v>0</v>
      </c>
      <c r="V3680">
        <v>17</v>
      </c>
      <c r="W3680">
        <v>119</v>
      </c>
      <c r="X3680">
        <v>0</v>
      </c>
      <c r="Z3680">
        <v>0</v>
      </c>
      <c r="AA3680">
        <v>0</v>
      </c>
      <c r="AB3680">
        <v>0</v>
      </c>
      <c r="AC3680">
        <v>0</v>
      </c>
      <c r="AD3680" t="s">
        <v>6749</v>
      </c>
    </row>
    <row r="3681" spans="1:30" x14ac:dyDescent="0.25">
      <c r="H3681" t="s">
        <v>6750</v>
      </c>
    </row>
    <row r="3682" spans="1:30" x14ac:dyDescent="0.25">
      <c r="A3682">
        <v>1838</v>
      </c>
      <c r="B3682">
        <v>5642</v>
      </c>
      <c r="C3682" t="s">
        <v>6751</v>
      </c>
      <c r="D3682" t="s">
        <v>176</v>
      </c>
      <c r="E3682" t="s">
        <v>6752</v>
      </c>
      <c r="F3682" t="s">
        <v>6753</v>
      </c>
      <c r="G3682" t="str">
        <f>"00365237"</f>
        <v>00365237</v>
      </c>
      <c r="H3682">
        <v>715</v>
      </c>
      <c r="I3682">
        <v>0</v>
      </c>
      <c r="J3682">
        <v>0</v>
      </c>
      <c r="K3682">
        <v>0</v>
      </c>
      <c r="L3682">
        <v>0</v>
      </c>
      <c r="M3682">
        <v>0</v>
      </c>
      <c r="N3682">
        <v>0</v>
      </c>
      <c r="O3682">
        <v>0</v>
      </c>
      <c r="P3682">
        <v>0</v>
      </c>
      <c r="Q3682">
        <v>0</v>
      </c>
      <c r="R3682">
        <v>0</v>
      </c>
      <c r="S3682">
        <v>0</v>
      </c>
      <c r="T3682">
        <v>0</v>
      </c>
      <c r="U3682">
        <v>0</v>
      </c>
      <c r="V3682">
        <v>4</v>
      </c>
      <c r="W3682">
        <v>28</v>
      </c>
      <c r="X3682">
        <v>0</v>
      </c>
      <c r="Z3682">
        <v>0</v>
      </c>
      <c r="AA3682">
        <v>0</v>
      </c>
      <c r="AB3682">
        <v>6</v>
      </c>
      <c r="AC3682">
        <v>102</v>
      </c>
      <c r="AD3682">
        <v>845</v>
      </c>
    </row>
    <row r="3683" spans="1:30" x14ac:dyDescent="0.25">
      <c r="H3683" t="s">
        <v>6754</v>
      </c>
    </row>
    <row r="3684" spans="1:30" x14ac:dyDescent="0.25">
      <c r="A3684">
        <v>1839</v>
      </c>
      <c r="B3684">
        <v>6164</v>
      </c>
      <c r="C3684" t="s">
        <v>6755</v>
      </c>
      <c r="D3684" t="s">
        <v>1625</v>
      </c>
      <c r="E3684" t="s">
        <v>140</v>
      </c>
      <c r="F3684" t="s">
        <v>6756</v>
      </c>
      <c r="G3684" t="str">
        <f>"201511008416"</f>
        <v>201511008416</v>
      </c>
      <c r="H3684" t="s">
        <v>667</v>
      </c>
      <c r="I3684">
        <v>0</v>
      </c>
      <c r="J3684">
        <v>0</v>
      </c>
      <c r="K3684">
        <v>0</v>
      </c>
      <c r="L3684">
        <v>0</v>
      </c>
      <c r="M3684">
        <v>0</v>
      </c>
      <c r="N3684">
        <v>30</v>
      </c>
      <c r="O3684">
        <v>0</v>
      </c>
      <c r="P3684">
        <v>0</v>
      </c>
      <c r="Q3684">
        <v>0</v>
      </c>
      <c r="R3684">
        <v>0</v>
      </c>
      <c r="S3684">
        <v>0</v>
      </c>
      <c r="T3684">
        <v>0</v>
      </c>
      <c r="U3684">
        <v>0</v>
      </c>
      <c r="V3684">
        <v>5</v>
      </c>
      <c r="W3684">
        <v>35</v>
      </c>
      <c r="X3684">
        <v>0</v>
      </c>
      <c r="Z3684">
        <v>0</v>
      </c>
      <c r="AA3684">
        <v>0</v>
      </c>
      <c r="AB3684">
        <v>0</v>
      </c>
      <c r="AC3684">
        <v>0</v>
      </c>
      <c r="AD3684" t="s">
        <v>6757</v>
      </c>
    </row>
    <row r="3685" spans="1:30" x14ac:dyDescent="0.25">
      <c r="H3685" t="s">
        <v>6758</v>
      </c>
    </row>
    <row r="3686" spans="1:30" x14ac:dyDescent="0.25">
      <c r="A3686">
        <v>1840</v>
      </c>
      <c r="B3686">
        <v>1063</v>
      </c>
      <c r="C3686" t="s">
        <v>6759</v>
      </c>
      <c r="D3686" t="s">
        <v>40</v>
      </c>
      <c r="E3686" t="s">
        <v>162</v>
      </c>
      <c r="F3686" t="s">
        <v>6760</v>
      </c>
      <c r="G3686" t="str">
        <f>"00269270"</f>
        <v>00269270</v>
      </c>
      <c r="H3686" t="s">
        <v>4718</v>
      </c>
      <c r="I3686">
        <v>0</v>
      </c>
      <c r="J3686">
        <v>0</v>
      </c>
      <c r="K3686">
        <v>0</v>
      </c>
      <c r="L3686">
        <v>0</v>
      </c>
      <c r="M3686">
        <v>0</v>
      </c>
      <c r="N3686">
        <v>0</v>
      </c>
      <c r="O3686">
        <v>0</v>
      </c>
      <c r="P3686">
        <v>0</v>
      </c>
      <c r="Q3686">
        <v>0</v>
      </c>
      <c r="R3686">
        <v>0</v>
      </c>
      <c r="S3686">
        <v>0</v>
      </c>
      <c r="T3686">
        <v>0</v>
      </c>
      <c r="U3686">
        <v>0</v>
      </c>
      <c r="V3686">
        <v>12</v>
      </c>
      <c r="W3686">
        <v>84</v>
      </c>
      <c r="X3686">
        <v>0</v>
      </c>
      <c r="Z3686">
        <v>0</v>
      </c>
      <c r="AA3686">
        <v>0</v>
      </c>
      <c r="AB3686">
        <v>6</v>
      </c>
      <c r="AC3686">
        <v>102</v>
      </c>
      <c r="AD3686" t="s">
        <v>6757</v>
      </c>
    </row>
    <row r="3687" spans="1:30" x14ac:dyDescent="0.25">
      <c r="H3687">
        <v>1250</v>
      </c>
    </row>
    <row r="3688" spans="1:30" x14ac:dyDescent="0.25">
      <c r="A3688">
        <v>1841</v>
      </c>
      <c r="B3688">
        <v>3492</v>
      </c>
      <c r="C3688" t="s">
        <v>6761</v>
      </c>
      <c r="D3688" t="s">
        <v>98</v>
      </c>
      <c r="E3688" t="s">
        <v>429</v>
      </c>
      <c r="F3688" t="s">
        <v>6762</v>
      </c>
      <c r="G3688" t="str">
        <f>"201402002757"</f>
        <v>201402002757</v>
      </c>
      <c r="H3688" t="s">
        <v>1063</v>
      </c>
      <c r="I3688">
        <v>0</v>
      </c>
      <c r="J3688">
        <v>0</v>
      </c>
      <c r="K3688">
        <v>0</v>
      </c>
      <c r="L3688">
        <v>0</v>
      </c>
      <c r="M3688">
        <v>0</v>
      </c>
      <c r="N3688">
        <v>30</v>
      </c>
      <c r="O3688">
        <v>70</v>
      </c>
      <c r="P3688">
        <v>0</v>
      </c>
      <c r="Q3688">
        <v>0</v>
      </c>
      <c r="R3688">
        <v>0</v>
      </c>
      <c r="S3688">
        <v>0</v>
      </c>
      <c r="T3688">
        <v>0</v>
      </c>
      <c r="U3688">
        <v>0</v>
      </c>
      <c r="V3688">
        <v>0</v>
      </c>
      <c r="W3688">
        <v>0</v>
      </c>
      <c r="X3688">
        <v>0</v>
      </c>
      <c r="Z3688">
        <v>2</v>
      </c>
      <c r="AA3688">
        <v>0</v>
      </c>
      <c r="AB3688">
        <v>0</v>
      </c>
      <c r="AC3688">
        <v>0</v>
      </c>
      <c r="AD3688" t="s">
        <v>6763</v>
      </c>
    </row>
    <row r="3689" spans="1:30" x14ac:dyDescent="0.25">
      <c r="H3689" t="s">
        <v>6764</v>
      </c>
    </row>
    <row r="3690" spans="1:30" x14ac:dyDescent="0.25">
      <c r="A3690">
        <v>1842</v>
      </c>
      <c r="B3690">
        <v>5677</v>
      </c>
      <c r="C3690" t="s">
        <v>6765</v>
      </c>
      <c r="D3690" t="s">
        <v>1570</v>
      </c>
      <c r="E3690" t="s">
        <v>40</v>
      </c>
      <c r="F3690" t="s">
        <v>6766</v>
      </c>
      <c r="G3690" t="str">
        <f>"00306490"</f>
        <v>00306490</v>
      </c>
      <c r="H3690" t="s">
        <v>568</v>
      </c>
      <c r="I3690">
        <v>0</v>
      </c>
      <c r="J3690">
        <v>0</v>
      </c>
      <c r="K3690">
        <v>0</v>
      </c>
      <c r="L3690">
        <v>0</v>
      </c>
      <c r="M3690">
        <v>0</v>
      </c>
      <c r="N3690">
        <v>50</v>
      </c>
      <c r="O3690">
        <v>30</v>
      </c>
      <c r="P3690">
        <v>0</v>
      </c>
      <c r="Q3690">
        <v>0</v>
      </c>
      <c r="R3690">
        <v>0</v>
      </c>
      <c r="S3690">
        <v>0</v>
      </c>
      <c r="T3690">
        <v>0</v>
      </c>
      <c r="U3690">
        <v>0</v>
      </c>
      <c r="V3690">
        <v>0</v>
      </c>
      <c r="W3690">
        <v>0</v>
      </c>
      <c r="X3690">
        <v>0</v>
      </c>
      <c r="Z3690">
        <v>0</v>
      </c>
      <c r="AA3690">
        <v>0</v>
      </c>
      <c r="AB3690">
        <v>0</v>
      </c>
      <c r="AC3690">
        <v>0</v>
      </c>
      <c r="AD3690" t="s">
        <v>6767</v>
      </c>
    </row>
    <row r="3691" spans="1:30" x14ac:dyDescent="0.25">
      <c r="H3691" t="s">
        <v>6768</v>
      </c>
    </row>
    <row r="3692" spans="1:30" x14ac:dyDescent="0.25">
      <c r="A3692">
        <v>1843</v>
      </c>
      <c r="B3692">
        <v>4551</v>
      </c>
      <c r="C3692" t="s">
        <v>6769</v>
      </c>
      <c r="D3692" t="s">
        <v>830</v>
      </c>
      <c r="E3692" t="s">
        <v>183</v>
      </c>
      <c r="F3692" t="s">
        <v>6770</v>
      </c>
      <c r="G3692" t="str">
        <f>"201411001030"</f>
        <v>201411001030</v>
      </c>
      <c r="H3692" t="s">
        <v>4476</v>
      </c>
      <c r="I3692">
        <v>0</v>
      </c>
      <c r="J3692">
        <v>0</v>
      </c>
      <c r="K3692">
        <v>0</v>
      </c>
      <c r="L3692">
        <v>0</v>
      </c>
      <c r="M3692">
        <v>0</v>
      </c>
      <c r="N3692">
        <v>70</v>
      </c>
      <c r="O3692">
        <v>0</v>
      </c>
      <c r="P3692">
        <v>0</v>
      </c>
      <c r="Q3692">
        <v>0</v>
      </c>
      <c r="R3692">
        <v>0</v>
      </c>
      <c r="S3692">
        <v>0</v>
      </c>
      <c r="T3692">
        <v>0</v>
      </c>
      <c r="U3692">
        <v>0</v>
      </c>
      <c r="V3692">
        <v>0</v>
      </c>
      <c r="W3692">
        <v>0</v>
      </c>
      <c r="X3692">
        <v>0</v>
      </c>
      <c r="Z3692">
        <v>0</v>
      </c>
      <c r="AA3692">
        <v>0</v>
      </c>
      <c r="AB3692">
        <v>0</v>
      </c>
      <c r="AC3692">
        <v>0</v>
      </c>
      <c r="AD3692" t="s">
        <v>6771</v>
      </c>
    </row>
    <row r="3693" spans="1:30" x14ac:dyDescent="0.25">
      <c r="H3693" t="s">
        <v>6772</v>
      </c>
    </row>
    <row r="3694" spans="1:30" x14ac:dyDescent="0.25">
      <c r="A3694">
        <v>1844</v>
      </c>
      <c r="B3694">
        <v>4847</v>
      </c>
      <c r="C3694" t="s">
        <v>6773</v>
      </c>
      <c r="D3694" t="s">
        <v>183</v>
      </c>
      <c r="E3694" t="s">
        <v>468</v>
      </c>
      <c r="F3694" t="s">
        <v>6774</v>
      </c>
      <c r="G3694" t="str">
        <f>"00352363"</f>
        <v>00352363</v>
      </c>
      <c r="H3694" t="s">
        <v>402</v>
      </c>
      <c r="I3694">
        <v>0</v>
      </c>
      <c r="J3694">
        <v>0</v>
      </c>
      <c r="K3694">
        <v>0</v>
      </c>
      <c r="L3694">
        <v>0</v>
      </c>
      <c r="M3694">
        <v>0</v>
      </c>
      <c r="N3694">
        <v>50</v>
      </c>
      <c r="O3694">
        <v>0</v>
      </c>
      <c r="P3694">
        <v>0</v>
      </c>
      <c r="Q3694">
        <v>0</v>
      </c>
      <c r="R3694">
        <v>0</v>
      </c>
      <c r="S3694">
        <v>0</v>
      </c>
      <c r="T3694">
        <v>0</v>
      </c>
      <c r="U3694">
        <v>0</v>
      </c>
      <c r="V3694">
        <v>17</v>
      </c>
      <c r="W3694">
        <v>119</v>
      </c>
      <c r="X3694">
        <v>0</v>
      </c>
      <c r="Z3694">
        <v>0</v>
      </c>
      <c r="AA3694">
        <v>0</v>
      </c>
      <c r="AB3694">
        <v>0</v>
      </c>
      <c r="AC3694">
        <v>0</v>
      </c>
      <c r="AD3694" t="s">
        <v>6771</v>
      </c>
    </row>
    <row r="3695" spans="1:30" x14ac:dyDescent="0.25">
      <c r="H3695" t="s">
        <v>6775</v>
      </c>
    </row>
    <row r="3696" spans="1:30" x14ac:dyDescent="0.25">
      <c r="A3696">
        <v>1845</v>
      </c>
      <c r="B3696">
        <v>1565</v>
      </c>
      <c r="C3696" t="s">
        <v>6776</v>
      </c>
      <c r="D3696" t="s">
        <v>182</v>
      </c>
      <c r="E3696" t="s">
        <v>151</v>
      </c>
      <c r="F3696" t="s">
        <v>6777</v>
      </c>
      <c r="G3696" t="str">
        <f>"201406016343"</f>
        <v>201406016343</v>
      </c>
      <c r="H3696" t="s">
        <v>219</v>
      </c>
      <c r="I3696">
        <v>0</v>
      </c>
      <c r="J3696">
        <v>0</v>
      </c>
      <c r="K3696">
        <v>0</v>
      </c>
      <c r="L3696">
        <v>0</v>
      </c>
      <c r="M3696">
        <v>0</v>
      </c>
      <c r="N3696">
        <v>30</v>
      </c>
      <c r="O3696">
        <v>0</v>
      </c>
      <c r="P3696">
        <v>0</v>
      </c>
      <c r="Q3696">
        <v>0</v>
      </c>
      <c r="R3696">
        <v>0</v>
      </c>
      <c r="S3696">
        <v>0</v>
      </c>
      <c r="T3696">
        <v>0</v>
      </c>
      <c r="U3696">
        <v>0</v>
      </c>
      <c r="V3696">
        <v>6</v>
      </c>
      <c r="W3696">
        <v>42</v>
      </c>
      <c r="X3696">
        <v>0</v>
      </c>
      <c r="Z3696">
        <v>0</v>
      </c>
      <c r="AA3696">
        <v>0</v>
      </c>
      <c r="AB3696">
        <v>0</v>
      </c>
      <c r="AC3696">
        <v>0</v>
      </c>
      <c r="AD3696" t="s">
        <v>6778</v>
      </c>
    </row>
    <row r="3697" spans="1:30" x14ac:dyDescent="0.25">
      <c r="H3697" t="s">
        <v>6779</v>
      </c>
    </row>
    <row r="3698" spans="1:30" x14ac:dyDescent="0.25">
      <c r="A3698">
        <v>1846</v>
      </c>
      <c r="B3698">
        <v>5373</v>
      </c>
      <c r="C3698" t="s">
        <v>6780</v>
      </c>
      <c r="D3698" t="s">
        <v>6781</v>
      </c>
      <c r="E3698" t="s">
        <v>33</v>
      </c>
      <c r="F3698" t="s">
        <v>6782</v>
      </c>
      <c r="G3698" t="str">
        <f>"201411000422"</f>
        <v>201411000422</v>
      </c>
      <c r="H3698" t="s">
        <v>2545</v>
      </c>
      <c r="I3698">
        <v>0</v>
      </c>
      <c r="J3698">
        <v>0</v>
      </c>
      <c r="K3698">
        <v>0</v>
      </c>
      <c r="L3698">
        <v>0</v>
      </c>
      <c r="M3698">
        <v>0</v>
      </c>
      <c r="N3698">
        <v>30</v>
      </c>
      <c r="O3698">
        <v>0</v>
      </c>
      <c r="P3698">
        <v>0</v>
      </c>
      <c r="Q3698">
        <v>0</v>
      </c>
      <c r="R3698">
        <v>0</v>
      </c>
      <c r="S3698">
        <v>0</v>
      </c>
      <c r="T3698">
        <v>0</v>
      </c>
      <c r="U3698">
        <v>0</v>
      </c>
      <c r="V3698">
        <v>8</v>
      </c>
      <c r="W3698">
        <v>56</v>
      </c>
      <c r="X3698">
        <v>0</v>
      </c>
      <c r="Z3698">
        <v>0</v>
      </c>
      <c r="AA3698">
        <v>0</v>
      </c>
      <c r="AB3698">
        <v>0</v>
      </c>
      <c r="AC3698">
        <v>0</v>
      </c>
      <c r="AD3698" t="s">
        <v>6783</v>
      </c>
    </row>
    <row r="3699" spans="1:30" x14ac:dyDescent="0.25">
      <c r="H3699" t="s">
        <v>6784</v>
      </c>
    </row>
    <row r="3700" spans="1:30" x14ac:dyDescent="0.25">
      <c r="A3700">
        <v>1847</v>
      </c>
      <c r="B3700">
        <v>4619</v>
      </c>
      <c r="C3700" t="s">
        <v>3320</v>
      </c>
      <c r="D3700" t="s">
        <v>162</v>
      </c>
      <c r="E3700" t="s">
        <v>1485</v>
      </c>
      <c r="F3700" t="s">
        <v>6785</v>
      </c>
      <c r="G3700" t="str">
        <f>"00159076"</f>
        <v>00159076</v>
      </c>
      <c r="H3700" t="s">
        <v>6786</v>
      </c>
      <c r="I3700">
        <v>0</v>
      </c>
      <c r="J3700">
        <v>0</v>
      </c>
      <c r="K3700">
        <v>0</v>
      </c>
      <c r="L3700">
        <v>0</v>
      </c>
      <c r="M3700">
        <v>0</v>
      </c>
      <c r="N3700">
        <v>30</v>
      </c>
      <c r="O3700">
        <v>0</v>
      </c>
      <c r="P3700">
        <v>0</v>
      </c>
      <c r="Q3700">
        <v>0</v>
      </c>
      <c r="R3700">
        <v>0</v>
      </c>
      <c r="S3700">
        <v>0</v>
      </c>
      <c r="T3700">
        <v>0</v>
      </c>
      <c r="U3700">
        <v>0</v>
      </c>
      <c r="V3700">
        <v>27</v>
      </c>
      <c r="W3700">
        <v>189</v>
      </c>
      <c r="X3700">
        <v>0</v>
      </c>
      <c r="Z3700">
        <v>0</v>
      </c>
      <c r="AA3700">
        <v>0</v>
      </c>
      <c r="AB3700">
        <v>0</v>
      </c>
      <c r="AC3700">
        <v>0</v>
      </c>
      <c r="AD3700" t="s">
        <v>6787</v>
      </c>
    </row>
    <row r="3701" spans="1:30" x14ac:dyDescent="0.25">
      <c r="H3701" t="s">
        <v>6788</v>
      </c>
    </row>
    <row r="3702" spans="1:30" x14ac:dyDescent="0.25">
      <c r="A3702">
        <v>1848</v>
      </c>
      <c r="B3702">
        <v>4771</v>
      </c>
      <c r="C3702" t="s">
        <v>6789</v>
      </c>
      <c r="D3702" t="s">
        <v>335</v>
      </c>
      <c r="E3702" t="s">
        <v>40</v>
      </c>
      <c r="F3702" t="s">
        <v>6790</v>
      </c>
      <c r="G3702" t="str">
        <f>"201412006629"</f>
        <v>201412006629</v>
      </c>
      <c r="H3702" t="s">
        <v>17</v>
      </c>
      <c r="I3702">
        <v>0</v>
      </c>
      <c r="J3702">
        <v>0</v>
      </c>
      <c r="K3702">
        <v>0</v>
      </c>
      <c r="L3702">
        <v>0</v>
      </c>
      <c r="M3702">
        <v>0</v>
      </c>
      <c r="N3702">
        <v>0</v>
      </c>
      <c r="O3702">
        <v>0</v>
      </c>
      <c r="P3702">
        <v>0</v>
      </c>
      <c r="Q3702">
        <v>0</v>
      </c>
      <c r="R3702">
        <v>0</v>
      </c>
      <c r="S3702">
        <v>0</v>
      </c>
      <c r="T3702">
        <v>0</v>
      </c>
      <c r="U3702">
        <v>0</v>
      </c>
      <c r="V3702">
        <v>0</v>
      </c>
      <c r="W3702">
        <v>0</v>
      </c>
      <c r="X3702">
        <v>0</v>
      </c>
      <c r="Z3702">
        <v>0</v>
      </c>
      <c r="AA3702">
        <v>0</v>
      </c>
      <c r="AB3702">
        <v>0</v>
      </c>
      <c r="AC3702">
        <v>0</v>
      </c>
      <c r="AD3702" t="s">
        <v>17</v>
      </c>
    </row>
    <row r="3703" spans="1:30" x14ac:dyDescent="0.25">
      <c r="H3703" t="s">
        <v>6791</v>
      </c>
    </row>
    <row r="3704" spans="1:30" x14ac:dyDescent="0.25">
      <c r="A3704">
        <v>1849</v>
      </c>
      <c r="B3704">
        <v>4651</v>
      </c>
      <c r="C3704" t="s">
        <v>6792</v>
      </c>
      <c r="D3704" t="s">
        <v>39</v>
      </c>
      <c r="E3704" t="s">
        <v>51</v>
      </c>
      <c r="F3704" t="s">
        <v>6793</v>
      </c>
      <c r="G3704" t="str">
        <f>"201511042555"</f>
        <v>201511042555</v>
      </c>
      <c r="H3704" t="s">
        <v>352</v>
      </c>
      <c r="I3704">
        <v>0</v>
      </c>
      <c r="J3704">
        <v>0</v>
      </c>
      <c r="K3704">
        <v>0</v>
      </c>
      <c r="L3704">
        <v>0</v>
      </c>
      <c r="M3704">
        <v>0</v>
      </c>
      <c r="N3704">
        <v>70</v>
      </c>
      <c r="O3704">
        <v>0</v>
      </c>
      <c r="P3704">
        <v>0</v>
      </c>
      <c r="Q3704">
        <v>0</v>
      </c>
      <c r="R3704">
        <v>0</v>
      </c>
      <c r="S3704">
        <v>0</v>
      </c>
      <c r="T3704">
        <v>0</v>
      </c>
      <c r="U3704">
        <v>0</v>
      </c>
      <c r="V3704">
        <v>0</v>
      </c>
      <c r="W3704">
        <v>0</v>
      </c>
      <c r="X3704">
        <v>0</v>
      </c>
      <c r="Z3704">
        <v>0</v>
      </c>
      <c r="AA3704">
        <v>0</v>
      </c>
      <c r="AB3704">
        <v>0</v>
      </c>
      <c r="AC3704">
        <v>0</v>
      </c>
      <c r="AD3704" t="s">
        <v>6794</v>
      </c>
    </row>
    <row r="3705" spans="1:30" x14ac:dyDescent="0.25">
      <c r="H3705" t="s">
        <v>6795</v>
      </c>
    </row>
    <row r="3706" spans="1:30" x14ac:dyDescent="0.25">
      <c r="A3706">
        <v>1850</v>
      </c>
      <c r="B3706">
        <v>1077</v>
      </c>
      <c r="C3706" t="s">
        <v>6796</v>
      </c>
      <c r="D3706" t="s">
        <v>75</v>
      </c>
      <c r="E3706" t="s">
        <v>39</v>
      </c>
      <c r="F3706" t="s">
        <v>6797</v>
      </c>
      <c r="G3706" t="str">
        <f>"00208144"</f>
        <v>00208144</v>
      </c>
      <c r="H3706" t="s">
        <v>6798</v>
      </c>
      <c r="I3706">
        <v>0</v>
      </c>
      <c r="J3706">
        <v>0</v>
      </c>
      <c r="K3706">
        <v>0</v>
      </c>
      <c r="L3706">
        <v>0</v>
      </c>
      <c r="M3706">
        <v>0</v>
      </c>
      <c r="N3706">
        <v>0</v>
      </c>
      <c r="O3706">
        <v>0</v>
      </c>
      <c r="P3706">
        <v>0</v>
      </c>
      <c r="Q3706">
        <v>0</v>
      </c>
      <c r="R3706">
        <v>0</v>
      </c>
      <c r="S3706">
        <v>0</v>
      </c>
      <c r="T3706">
        <v>0</v>
      </c>
      <c r="U3706">
        <v>0</v>
      </c>
      <c r="V3706">
        <v>4</v>
      </c>
      <c r="W3706">
        <v>28</v>
      </c>
      <c r="X3706">
        <v>0</v>
      </c>
      <c r="Z3706">
        <v>0</v>
      </c>
      <c r="AA3706">
        <v>0</v>
      </c>
      <c r="AB3706">
        <v>0</v>
      </c>
      <c r="AC3706">
        <v>0</v>
      </c>
      <c r="AD3706" t="s">
        <v>6799</v>
      </c>
    </row>
    <row r="3707" spans="1:30" x14ac:dyDescent="0.25">
      <c r="H3707" t="s">
        <v>2957</v>
      </c>
    </row>
    <row r="3708" spans="1:30" x14ac:dyDescent="0.25">
      <c r="A3708">
        <v>1851</v>
      </c>
      <c r="B3708">
        <v>3051</v>
      </c>
      <c r="C3708" t="s">
        <v>6800</v>
      </c>
      <c r="D3708" t="s">
        <v>223</v>
      </c>
      <c r="E3708" t="s">
        <v>1039</v>
      </c>
      <c r="F3708" t="s">
        <v>6801</v>
      </c>
      <c r="G3708" t="str">
        <f>"00319289"</f>
        <v>00319289</v>
      </c>
      <c r="H3708" t="s">
        <v>1540</v>
      </c>
      <c r="I3708">
        <v>0</v>
      </c>
      <c r="J3708">
        <v>0</v>
      </c>
      <c r="K3708">
        <v>0</v>
      </c>
      <c r="L3708">
        <v>0</v>
      </c>
      <c r="M3708">
        <v>100</v>
      </c>
      <c r="N3708">
        <v>30</v>
      </c>
      <c r="O3708">
        <v>0</v>
      </c>
      <c r="P3708">
        <v>0</v>
      </c>
      <c r="Q3708">
        <v>0</v>
      </c>
      <c r="R3708">
        <v>0</v>
      </c>
      <c r="S3708">
        <v>0</v>
      </c>
      <c r="T3708">
        <v>0</v>
      </c>
      <c r="U3708">
        <v>0</v>
      </c>
      <c r="V3708">
        <v>5</v>
      </c>
      <c r="W3708">
        <v>35</v>
      </c>
      <c r="X3708">
        <v>0</v>
      </c>
      <c r="Z3708">
        <v>0</v>
      </c>
      <c r="AA3708">
        <v>0</v>
      </c>
      <c r="AB3708">
        <v>0</v>
      </c>
      <c r="AC3708">
        <v>0</v>
      </c>
      <c r="AD3708" t="s">
        <v>412</v>
      </c>
    </row>
    <row r="3709" spans="1:30" x14ac:dyDescent="0.25">
      <c r="H3709" t="s">
        <v>6802</v>
      </c>
    </row>
    <row r="3710" spans="1:30" x14ac:dyDescent="0.25">
      <c r="A3710">
        <v>1852</v>
      </c>
      <c r="B3710">
        <v>4609</v>
      </c>
      <c r="C3710" t="s">
        <v>6803</v>
      </c>
      <c r="D3710" t="s">
        <v>40</v>
      </c>
      <c r="E3710" t="s">
        <v>39</v>
      </c>
      <c r="F3710" t="s">
        <v>6804</v>
      </c>
      <c r="G3710" t="str">
        <f>"00027876"</f>
        <v>00027876</v>
      </c>
      <c r="H3710" t="s">
        <v>1825</v>
      </c>
      <c r="I3710">
        <v>0</v>
      </c>
      <c r="J3710">
        <v>0</v>
      </c>
      <c r="K3710">
        <v>0</v>
      </c>
      <c r="L3710">
        <v>0</v>
      </c>
      <c r="M3710">
        <v>0</v>
      </c>
      <c r="N3710">
        <v>30</v>
      </c>
      <c r="O3710">
        <v>0</v>
      </c>
      <c r="P3710">
        <v>0</v>
      </c>
      <c r="Q3710">
        <v>0</v>
      </c>
      <c r="R3710">
        <v>0</v>
      </c>
      <c r="S3710">
        <v>0</v>
      </c>
      <c r="T3710">
        <v>0</v>
      </c>
      <c r="U3710">
        <v>0</v>
      </c>
      <c r="V3710">
        <v>10</v>
      </c>
      <c r="W3710">
        <v>70</v>
      </c>
      <c r="X3710">
        <v>0</v>
      </c>
      <c r="Z3710">
        <v>0</v>
      </c>
      <c r="AA3710">
        <v>0</v>
      </c>
      <c r="AB3710">
        <v>0</v>
      </c>
      <c r="AC3710">
        <v>0</v>
      </c>
      <c r="AD3710" t="s">
        <v>6805</v>
      </c>
    </row>
    <row r="3711" spans="1:30" x14ac:dyDescent="0.25">
      <c r="H3711" t="s">
        <v>6806</v>
      </c>
    </row>
    <row r="3712" spans="1:30" x14ac:dyDescent="0.25">
      <c r="A3712">
        <v>1853</v>
      </c>
      <c r="B3712">
        <v>4556</v>
      </c>
      <c r="C3712" t="s">
        <v>120</v>
      </c>
      <c r="D3712" t="s">
        <v>6807</v>
      </c>
      <c r="E3712" t="s">
        <v>40</v>
      </c>
      <c r="F3712" t="s">
        <v>6808</v>
      </c>
      <c r="G3712" t="str">
        <f>"00357706"</f>
        <v>00357706</v>
      </c>
      <c r="H3712" t="s">
        <v>3999</v>
      </c>
      <c r="I3712">
        <v>0</v>
      </c>
      <c r="J3712">
        <v>0</v>
      </c>
      <c r="K3712">
        <v>0</v>
      </c>
      <c r="L3712">
        <v>0</v>
      </c>
      <c r="M3712">
        <v>0</v>
      </c>
      <c r="N3712">
        <v>0</v>
      </c>
      <c r="O3712">
        <v>0</v>
      </c>
      <c r="P3712">
        <v>0</v>
      </c>
      <c r="Q3712">
        <v>0</v>
      </c>
      <c r="R3712">
        <v>0</v>
      </c>
      <c r="S3712">
        <v>0</v>
      </c>
      <c r="T3712">
        <v>0</v>
      </c>
      <c r="U3712">
        <v>0</v>
      </c>
      <c r="V3712">
        <v>24</v>
      </c>
      <c r="W3712">
        <v>168</v>
      </c>
      <c r="X3712">
        <v>0</v>
      </c>
      <c r="Z3712">
        <v>0</v>
      </c>
      <c r="AA3712">
        <v>0</v>
      </c>
      <c r="AB3712">
        <v>0</v>
      </c>
      <c r="AC3712">
        <v>0</v>
      </c>
      <c r="AD3712" t="s">
        <v>6809</v>
      </c>
    </row>
    <row r="3713" spans="1:30" x14ac:dyDescent="0.25">
      <c r="H3713">
        <v>1249</v>
      </c>
    </row>
    <row r="3714" spans="1:30" x14ac:dyDescent="0.25">
      <c r="A3714">
        <v>1854</v>
      </c>
      <c r="B3714">
        <v>2772</v>
      </c>
      <c r="C3714" t="s">
        <v>6810</v>
      </c>
      <c r="D3714" t="s">
        <v>166</v>
      </c>
      <c r="E3714" t="s">
        <v>40</v>
      </c>
      <c r="F3714" t="s">
        <v>6811</v>
      </c>
      <c r="G3714" t="str">
        <f>"00344871"</f>
        <v>00344871</v>
      </c>
      <c r="H3714">
        <v>770</v>
      </c>
      <c r="I3714">
        <v>0</v>
      </c>
      <c r="J3714">
        <v>0</v>
      </c>
      <c r="K3714">
        <v>0</v>
      </c>
      <c r="L3714">
        <v>0</v>
      </c>
      <c r="M3714">
        <v>0</v>
      </c>
      <c r="N3714">
        <v>70</v>
      </c>
      <c r="O3714">
        <v>0</v>
      </c>
      <c r="P3714">
        <v>0</v>
      </c>
      <c r="Q3714">
        <v>0</v>
      </c>
      <c r="R3714">
        <v>0</v>
      </c>
      <c r="S3714">
        <v>0</v>
      </c>
      <c r="T3714">
        <v>0</v>
      </c>
      <c r="U3714">
        <v>0</v>
      </c>
      <c r="V3714">
        <v>0</v>
      </c>
      <c r="W3714">
        <v>0</v>
      </c>
      <c r="X3714">
        <v>0</v>
      </c>
      <c r="Z3714">
        <v>1</v>
      </c>
      <c r="AA3714">
        <v>0</v>
      </c>
      <c r="AB3714">
        <v>0</v>
      </c>
      <c r="AC3714">
        <v>0</v>
      </c>
      <c r="AD3714">
        <v>840</v>
      </c>
    </row>
    <row r="3715" spans="1:30" x14ac:dyDescent="0.25">
      <c r="H3715" t="s">
        <v>6812</v>
      </c>
    </row>
    <row r="3716" spans="1:30" x14ac:dyDescent="0.25">
      <c r="A3716">
        <v>1855</v>
      </c>
      <c r="B3716">
        <v>1729</v>
      </c>
      <c r="C3716" t="s">
        <v>6813</v>
      </c>
      <c r="D3716" t="s">
        <v>6814</v>
      </c>
      <c r="E3716" t="s">
        <v>6815</v>
      </c>
      <c r="F3716" t="s">
        <v>6816</v>
      </c>
      <c r="G3716" t="str">
        <f>"00172316"</f>
        <v>00172316</v>
      </c>
      <c r="H3716" t="s">
        <v>2242</v>
      </c>
      <c r="I3716">
        <v>0</v>
      </c>
      <c r="J3716">
        <v>0</v>
      </c>
      <c r="K3716">
        <v>0</v>
      </c>
      <c r="L3716">
        <v>0</v>
      </c>
      <c r="M3716">
        <v>0</v>
      </c>
      <c r="N3716">
        <v>50</v>
      </c>
      <c r="O3716">
        <v>0</v>
      </c>
      <c r="P3716">
        <v>0</v>
      </c>
      <c r="Q3716">
        <v>0</v>
      </c>
      <c r="R3716">
        <v>0</v>
      </c>
      <c r="S3716">
        <v>0</v>
      </c>
      <c r="T3716">
        <v>0</v>
      </c>
      <c r="U3716">
        <v>0</v>
      </c>
      <c r="V3716">
        <v>11</v>
      </c>
      <c r="W3716">
        <v>77</v>
      </c>
      <c r="X3716">
        <v>0</v>
      </c>
      <c r="Z3716">
        <v>0</v>
      </c>
      <c r="AA3716">
        <v>0</v>
      </c>
      <c r="AB3716">
        <v>0</v>
      </c>
      <c r="AC3716">
        <v>0</v>
      </c>
      <c r="AD3716" t="s">
        <v>6817</v>
      </c>
    </row>
    <row r="3717" spans="1:30" x14ac:dyDescent="0.25">
      <c r="H3717" t="s">
        <v>6818</v>
      </c>
    </row>
    <row r="3718" spans="1:30" x14ac:dyDescent="0.25">
      <c r="A3718">
        <v>1856</v>
      </c>
      <c r="B3718">
        <v>5685</v>
      </c>
      <c r="C3718" t="s">
        <v>6498</v>
      </c>
      <c r="D3718" t="s">
        <v>75</v>
      </c>
      <c r="E3718" t="s">
        <v>535</v>
      </c>
      <c r="F3718" t="s">
        <v>6819</v>
      </c>
      <c r="G3718" t="str">
        <f>"00245995"</f>
        <v>00245995</v>
      </c>
      <c r="H3718" t="s">
        <v>2197</v>
      </c>
      <c r="I3718">
        <v>0</v>
      </c>
      <c r="J3718">
        <v>0</v>
      </c>
      <c r="K3718">
        <v>0</v>
      </c>
      <c r="L3718">
        <v>0</v>
      </c>
      <c r="M3718">
        <v>0</v>
      </c>
      <c r="N3718">
        <v>30</v>
      </c>
      <c r="O3718">
        <v>0</v>
      </c>
      <c r="P3718">
        <v>0</v>
      </c>
      <c r="Q3718">
        <v>0</v>
      </c>
      <c r="R3718">
        <v>0</v>
      </c>
      <c r="S3718">
        <v>0</v>
      </c>
      <c r="T3718">
        <v>0</v>
      </c>
      <c r="U3718">
        <v>0</v>
      </c>
      <c r="V3718">
        <v>16</v>
      </c>
      <c r="W3718">
        <v>112</v>
      </c>
      <c r="X3718">
        <v>0</v>
      </c>
      <c r="Z3718">
        <v>0</v>
      </c>
      <c r="AA3718">
        <v>0</v>
      </c>
      <c r="AB3718">
        <v>0</v>
      </c>
      <c r="AC3718">
        <v>0</v>
      </c>
      <c r="AD3718" t="s">
        <v>6820</v>
      </c>
    </row>
    <row r="3719" spans="1:30" x14ac:dyDescent="0.25">
      <c r="H3719" t="s">
        <v>6821</v>
      </c>
    </row>
    <row r="3720" spans="1:30" x14ac:dyDescent="0.25">
      <c r="A3720">
        <v>1857</v>
      </c>
      <c r="B3720">
        <v>5496</v>
      </c>
      <c r="C3720" t="s">
        <v>6822</v>
      </c>
      <c r="D3720" t="s">
        <v>694</v>
      </c>
      <c r="E3720" t="s">
        <v>183</v>
      </c>
      <c r="F3720" t="s">
        <v>6823</v>
      </c>
      <c r="G3720" t="str">
        <f>"201401000339"</f>
        <v>201401000339</v>
      </c>
      <c r="H3720" t="s">
        <v>562</v>
      </c>
      <c r="I3720">
        <v>0</v>
      </c>
      <c r="J3720">
        <v>0</v>
      </c>
      <c r="K3720">
        <v>0</v>
      </c>
      <c r="L3720">
        <v>0</v>
      </c>
      <c r="M3720">
        <v>0</v>
      </c>
      <c r="N3720">
        <v>30</v>
      </c>
      <c r="O3720">
        <v>0</v>
      </c>
      <c r="P3720">
        <v>0</v>
      </c>
      <c r="Q3720">
        <v>0</v>
      </c>
      <c r="R3720">
        <v>0</v>
      </c>
      <c r="S3720">
        <v>0</v>
      </c>
      <c r="T3720">
        <v>0</v>
      </c>
      <c r="U3720">
        <v>0</v>
      </c>
      <c r="V3720">
        <v>18</v>
      </c>
      <c r="W3720">
        <v>126</v>
      </c>
      <c r="X3720">
        <v>0</v>
      </c>
      <c r="Z3720">
        <v>0</v>
      </c>
      <c r="AA3720">
        <v>0</v>
      </c>
      <c r="AB3720">
        <v>0</v>
      </c>
      <c r="AC3720">
        <v>0</v>
      </c>
      <c r="AD3720" t="s">
        <v>6824</v>
      </c>
    </row>
    <row r="3721" spans="1:30" x14ac:dyDescent="0.25">
      <c r="H3721">
        <v>1247</v>
      </c>
    </row>
    <row r="3722" spans="1:30" x14ac:dyDescent="0.25">
      <c r="A3722">
        <v>1858</v>
      </c>
      <c r="B3722">
        <v>2243</v>
      </c>
      <c r="C3722" t="s">
        <v>6825</v>
      </c>
      <c r="D3722" t="s">
        <v>182</v>
      </c>
      <c r="E3722" t="s">
        <v>99</v>
      </c>
      <c r="F3722" t="s">
        <v>6826</v>
      </c>
      <c r="G3722" t="str">
        <f>"00320289"</f>
        <v>00320289</v>
      </c>
      <c r="H3722" t="s">
        <v>2291</v>
      </c>
      <c r="I3722">
        <v>0</v>
      </c>
      <c r="J3722">
        <v>0</v>
      </c>
      <c r="K3722">
        <v>0</v>
      </c>
      <c r="L3722">
        <v>0</v>
      </c>
      <c r="M3722">
        <v>0</v>
      </c>
      <c r="N3722">
        <v>30</v>
      </c>
      <c r="O3722">
        <v>0</v>
      </c>
      <c r="P3722">
        <v>0</v>
      </c>
      <c r="Q3722">
        <v>0</v>
      </c>
      <c r="R3722">
        <v>0</v>
      </c>
      <c r="S3722">
        <v>0</v>
      </c>
      <c r="T3722">
        <v>0</v>
      </c>
      <c r="U3722">
        <v>0</v>
      </c>
      <c r="V3722">
        <v>0</v>
      </c>
      <c r="W3722">
        <v>0</v>
      </c>
      <c r="X3722">
        <v>0</v>
      </c>
      <c r="Z3722">
        <v>0</v>
      </c>
      <c r="AA3722">
        <v>0</v>
      </c>
      <c r="AB3722">
        <v>0</v>
      </c>
      <c r="AC3722">
        <v>0</v>
      </c>
      <c r="AD3722" t="s">
        <v>6827</v>
      </c>
    </row>
    <row r="3723" spans="1:30" x14ac:dyDescent="0.25">
      <c r="H3723" t="s">
        <v>6828</v>
      </c>
    </row>
    <row r="3724" spans="1:30" x14ac:dyDescent="0.25">
      <c r="A3724">
        <v>1859</v>
      </c>
      <c r="B3724">
        <v>4011</v>
      </c>
      <c r="C3724" t="s">
        <v>6829</v>
      </c>
      <c r="D3724" t="s">
        <v>661</v>
      </c>
      <c r="E3724" t="s">
        <v>183</v>
      </c>
      <c r="F3724" t="s">
        <v>6830</v>
      </c>
      <c r="G3724" t="str">
        <f>"00199004"</f>
        <v>00199004</v>
      </c>
      <c r="H3724" t="s">
        <v>2291</v>
      </c>
      <c r="I3724">
        <v>0</v>
      </c>
      <c r="J3724">
        <v>0</v>
      </c>
      <c r="K3724">
        <v>0</v>
      </c>
      <c r="L3724">
        <v>0</v>
      </c>
      <c r="M3724">
        <v>0</v>
      </c>
      <c r="N3724">
        <v>30</v>
      </c>
      <c r="O3724">
        <v>0</v>
      </c>
      <c r="P3724">
        <v>0</v>
      </c>
      <c r="Q3724">
        <v>0</v>
      </c>
      <c r="R3724">
        <v>0</v>
      </c>
      <c r="S3724">
        <v>0</v>
      </c>
      <c r="T3724">
        <v>0</v>
      </c>
      <c r="U3724">
        <v>0</v>
      </c>
      <c r="V3724">
        <v>0</v>
      </c>
      <c r="W3724">
        <v>0</v>
      </c>
      <c r="X3724">
        <v>0</v>
      </c>
      <c r="Z3724">
        <v>0</v>
      </c>
      <c r="AA3724">
        <v>0</v>
      </c>
      <c r="AB3724">
        <v>0</v>
      </c>
      <c r="AC3724">
        <v>0</v>
      </c>
      <c r="AD3724" t="s">
        <v>6827</v>
      </c>
    </row>
    <row r="3725" spans="1:30" x14ac:dyDescent="0.25">
      <c r="H3725">
        <v>1248</v>
      </c>
    </row>
    <row r="3726" spans="1:30" x14ac:dyDescent="0.25">
      <c r="A3726">
        <v>1860</v>
      </c>
      <c r="B3726">
        <v>4421</v>
      </c>
      <c r="C3726" t="s">
        <v>6175</v>
      </c>
      <c r="D3726" t="s">
        <v>852</v>
      </c>
      <c r="E3726" t="s">
        <v>47</v>
      </c>
      <c r="F3726" t="s">
        <v>6831</v>
      </c>
      <c r="G3726" t="str">
        <f>"00231092"</f>
        <v>00231092</v>
      </c>
      <c r="H3726" t="s">
        <v>2291</v>
      </c>
      <c r="I3726">
        <v>0</v>
      </c>
      <c r="J3726">
        <v>0</v>
      </c>
      <c r="K3726">
        <v>0</v>
      </c>
      <c r="L3726">
        <v>0</v>
      </c>
      <c r="M3726">
        <v>0</v>
      </c>
      <c r="N3726">
        <v>30</v>
      </c>
      <c r="O3726">
        <v>0</v>
      </c>
      <c r="P3726">
        <v>0</v>
      </c>
      <c r="Q3726">
        <v>0</v>
      </c>
      <c r="R3726">
        <v>0</v>
      </c>
      <c r="S3726">
        <v>0</v>
      </c>
      <c r="T3726">
        <v>0</v>
      </c>
      <c r="U3726">
        <v>0</v>
      </c>
      <c r="V3726">
        <v>0</v>
      </c>
      <c r="W3726">
        <v>0</v>
      </c>
      <c r="X3726">
        <v>0</v>
      </c>
      <c r="Z3726">
        <v>1</v>
      </c>
      <c r="AA3726">
        <v>0</v>
      </c>
      <c r="AB3726">
        <v>0</v>
      </c>
      <c r="AC3726">
        <v>0</v>
      </c>
      <c r="AD3726" t="s">
        <v>6827</v>
      </c>
    </row>
    <row r="3727" spans="1:30" x14ac:dyDescent="0.25">
      <c r="H3727" t="s">
        <v>6832</v>
      </c>
    </row>
    <row r="3728" spans="1:30" x14ac:dyDescent="0.25">
      <c r="A3728">
        <v>1861</v>
      </c>
      <c r="B3728">
        <v>3843</v>
      </c>
      <c r="C3728" t="s">
        <v>6833</v>
      </c>
      <c r="D3728" t="s">
        <v>1878</v>
      </c>
      <c r="E3728" t="s">
        <v>40</v>
      </c>
      <c r="F3728" t="s">
        <v>6834</v>
      </c>
      <c r="G3728" t="str">
        <f>"00355192"</f>
        <v>00355192</v>
      </c>
      <c r="H3728" t="s">
        <v>1449</v>
      </c>
      <c r="I3728">
        <v>150</v>
      </c>
      <c r="J3728">
        <v>0</v>
      </c>
      <c r="K3728">
        <v>0</v>
      </c>
      <c r="L3728">
        <v>0</v>
      </c>
      <c r="M3728">
        <v>0</v>
      </c>
      <c r="N3728">
        <v>30</v>
      </c>
      <c r="O3728">
        <v>0</v>
      </c>
      <c r="P3728">
        <v>0</v>
      </c>
      <c r="Q3728">
        <v>0</v>
      </c>
      <c r="R3728">
        <v>0</v>
      </c>
      <c r="S3728">
        <v>0</v>
      </c>
      <c r="T3728">
        <v>0</v>
      </c>
      <c r="U3728">
        <v>0</v>
      </c>
      <c r="V3728">
        <v>0</v>
      </c>
      <c r="W3728">
        <v>0</v>
      </c>
      <c r="X3728">
        <v>0</v>
      </c>
      <c r="Z3728">
        <v>1</v>
      </c>
      <c r="AA3728">
        <v>0</v>
      </c>
      <c r="AB3728">
        <v>0</v>
      </c>
      <c r="AC3728">
        <v>0</v>
      </c>
      <c r="AD3728" t="s">
        <v>6835</v>
      </c>
    </row>
    <row r="3729" spans="1:30" x14ac:dyDescent="0.25">
      <c r="H3729" t="s">
        <v>6836</v>
      </c>
    </row>
    <row r="3730" spans="1:30" x14ac:dyDescent="0.25">
      <c r="A3730">
        <v>1862</v>
      </c>
      <c r="B3730">
        <v>1676</v>
      </c>
      <c r="C3730" t="s">
        <v>5970</v>
      </c>
      <c r="D3730" t="s">
        <v>166</v>
      </c>
      <c r="E3730" t="s">
        <v>1081</v>
      </c>
      <c r="F3730" t="s">
        <v>6837</v>
      </c>
      <c r="G3730" t="str">
        <f>"201511017759"</f>
        <v>201511017759</v>
      </c>
      <c r="H3730">
        <v>715</v>
      </c>
      <c r="I3730">
        <v>0</v>
      </c>
      <c r="J3730">
        <v>0</v>
      </c>
      <c r="K3730">
        <v>0</v>
      </c>
      <c r="L3730">
        <v>0</v>
      </c>
      <c r="M3730">
        <v>0</v>
      </c>
      <c r="N3730">
        <v>30</v>
      </c>
      <c r="O3730">
        <v>0</v>
      </c>
      <c r="P3730">
        <v>0</v>
      </c>
      <c r="Q3730">
        <v>0</v>
      </c>
      <c r="R3730">
        <v>0</v>
      </c>
      <c r="S3730">
        <v>0</v>
      </c>
      <c r="T3730">
        <v>0</v>
      </c>
      <c r="U3730">
        <v>0</v>
      </c>
      <c r="V3730">
        <v>13</v>
      </c>
      <c r="W3730">
        <v>91</v>
      </c>
      <c r="X3730">
        <v>0</v>
      </c>
      <c r="Z3730">
        <v>0</v>
      </c>
      <c r="AA3730">
        <v>0</v>
      </c>
      <c r="AB3730">
        <v>0</v>
      </c>
      <c r="AC3730">
        <v>0</v>
      </c>
      <c r="AD3730">
        <v>836</v>
      </c>
    </row>
    <row r="3731" spans="1:30" x14ac:dyDescent="0.25">
      <c r="H3731" t="s">
        <v>6838</v>
      </c>
    </row>
    <row r="3732" spans="1:30" x14ac:dyDescent="0.25">
      <c r="A3732">
        <v>1863</v>
      </c>
      <c r="B3732">
        <v>982</v>
      </c>
      <c r="C3732" t="s">
        <v>6839</v>
      </c>
      <c r="D3732" t="s">
        <v>6840</v>
      </c>
      <c r="E3732" t="s">
        <v>176</v>
      </c>
      <c r="F3732" t="s">
        <v>6841</v>
      </c>
      <c r="G3732" t="str">
        <f>"201405000509"</f>
        <v>201405000509</v>
      </c>
      <c r="H3732" t="s">
        <v>696</v>
      </c>
      <c r="I3732">
        <v>0</v>
      </c>
      <c r="J3732">
        <v>0</v>
      </c>
      <c r="K3732">
        <v>0</v>
      </c>
      <c r="L3732">
        <v>0</v>
      </c>
      <c r="M3732">
        <v>0</v>
      </c>
      <c r="N3732">
        <v>30</v>
      </c>
      <c r="O3732">
        <v>0</v>
      </c>
      <c r="P3732">
        <v>30</v>
      </c>
      <c r="Q3732">
        <v>0</v>
      </c>
      <c r="R3732">
        <v>0</v>
      </c>
      <c r="S3732">
        <v>0</v>
      </c>
      <c r="T3732">
        <v>0</v>
      </c>
      <c r="U3732">
        <v>0</v>
      </c>
      <c r="V3732">
        <v>0</v>
      </c>
      <c r="W3732">
        <v>0</v>
      </c>
      <c r="X3732">
        <v>0</v>
      </c>
      <c r="Z3732">
        <v>0</v>
      </c>
      <c r="AA3732">
        <v>0</v>
      </c>
      <c r="AB3732">
        <v>0</v>
      </c>
      <c r="AC3732">
        <v>0</v>
      </c>
      <c r="AD3732" t="s">
        <v>6842</v>
      </c>
    </row>
    <row r="3733" spans="1:30" x14ac:dyDescent="0.25">
      <c r="H3733" t="s">
        <v>1758</v>
      </c>
    </row>
    <row r="3734" spans="1:30" x14ac:dyDescent="0.25">
      <c r="A3734">
        <v>1864</v>
      </c>
      <c r="B3734">
        <v>407</v>
      </c>
      <c r="C3734" t="s">
        <v>3121</v>
      </c>
      <c r="D3734" t="s">
        <v>115</v>
      </c>
      <c r="E3734" t="s">
        <v>183</v>
      </c>
      <c r="F3734" t="s">
        <v>6843</v>
      </c>
      <c r="G3734" t="str">
        <f>"201406000878"</f>
        <v>201406000878</v>
      </c>
      <c r="H3734" t="s">
        <v>1371</v>
      </c>
      <c r="I3734">
        <v>0</v>
      </c>
      <c r="J3734">
        <v>0</v>
      </c>
      <c r="K3734">
        <v>0</v>
      </c>
      <c r="L3734">
        <v>0</v>
      </c>
      <c r="M3734">
        <v>0</v>
      </c>
      <c r="N3734">
        <v>30</v>
      </c>
      <c r="O3734">
        <v>0</v>
      </c>
      <c r="P3734">
        <v>0</v>
      </c>
      <c r="Q3734">
        <v>0</v>
      </c>
      <c r="R3734">
        <v>0</v>
      </c>
      <c r="S3734">
        <v>0</v>
      </c>
      <c r="T3734">
        <v>0</v>
      </c>
      <c r="U3734">
        <v>0</v>
      </c>
      <c r="V3734">
        <v>6</v>
      </c>
      <c r="W3734">
        <v>42</v>
      </c>
      <c r="X3734">
        <v>0</v>
      </c>
      <c r="Z3734">
        <v>0</v>
      </c>
      <c r="AA3734">
        <v>0</v>
      </c>
      <c r="AB3734">
        <v>0</v>
      </c>
      <c r="AC3734">
        <v>0</v>
      </c>
      <c r="AD3734" t="s">
        <v>6844</v>
      </c>
    </row>
    <row r="3735" spans="1:30" x14ac:dyDescent="0.25">
      <c r="H3735" t="s">
        <v>6845</v>
      </c>
    </row>
    <row r="3736" spans="1:30" x14ac:dyDescent="0.25">
      <c r="A3736">
        <v>1865</v>
      </c>
      <c r="B3736">
        <v>3686</v>
      </c>
      <c r="C3736" t="s">
        <v>6846</v>
      </c>
      <c r="D3736" t="s">
        <v>335</v>
      </c>
      <c r="E3736" t="s">
        <v>162</v>
      </c>
      <c r="F3736" t="s">
        <v>6847</v>
      </c>
      <c r="G3736" t="str">
        <f>"00201968"</f>
        <v>00201968</v>
      </c>
      <c r="H3736" t="s">
        <v>789</v>
      </c>
      <c r="I3736">
        <v>0</v>
      </c>
      <c r="J3736">
        <v>0</v>
      </c>
      <c r="K3736">
        <v>0</v>
      </c>
      <c r="L3736">
        <v>0</v>
      </c>
      <c r="M3736">
        <v>0</v>
      </c>
      <c r="N3736">
        <v>30</v>
      </c>
      <c r="O3736">
        <v>0</v>
      </c>
      <c r="P3736">
        <v>0</v>
      </c>
      <c r="Q3736">
        <v>0</v>
      </c>
      <c r="R3736">
        <v>0</v>
      </c>
      <c r="S3736">
        <v>0</v>
      </c>
      <c r="T3736">
        <v>0</v>
      </c>
      <c r="U3736">
        <v>0</v>
      </c>
      <c r="V3736">
        <v>0</v>
      </c>
      <c r="W3736">
        <v>0</v>
      </c>
      <c r="X3736">
        <v>0</v>
      </c>
      <c r="Z3736">
        <v>0</v>
      </c>
      <c r="AA3736">
        <v>0</v>
      </c>
      <c r="AB3736">
        <v>0</v>
      </c>
      <c r="AC3736">
        <v>0</v>
      </c>
      <c r="AD3736" t="s">
        <v>6848</v>
      </c>
    </row>
    <row r="3737" spans="1:30" x14ac:dyDescent="0.25">
      <c r="H3737" t="s">
        <v>6849</v>
      </c>
    </row>
    <row r="3738" spans="1:30" x14ac:dyDescent="0.25">
      <c r="A3738">
        <v>1866</v>
      </c>
      <c r="B3738">
        <v>4585</v>
      </c>
      <c r="C3738" t="s">
        <v>6850</v>
      </c>
      <c r="D3738" t="s">
        <v>51</v>
      </c>
      <c r="E3738" t="s">
        <v>1081</v>
      </c>
      <c r="F3738" t="s">
        <v>6851</v>
      </c>
      <c r="G3738" t="str">
        <f>"00010170"</f>
        <v>00010170</v>
      </c>
      <c r="H3738" t="s">
        <v>789</v>
      </c>
      <c r="I3738">
        <v>0</v>
      </c>
      <c r="J3738">
        <v>0</v>
      </c>
      <c r="K3738">
        <v>0</v>
      </c>
      <c r="L3738">
        <v>0</v>
      </c>
      <c r="M3738">
        <v>0</v>
      </c>
      <c r="N3738">
        <v>30</v>
      </c>
      <c r="O3738">
        <v>0</v>
      </c>
      <c r="P3738">
        <v>0</v>
      </c>
      <c r="Q3738">
        <v>0</v>
      </c>
      <c r="R3738">
        <v>0</v>
      </c>
      <c r="S3738">
        <v>0</v>
      </c>
      <c r="T3738">
        <v>0</v>
      </c>
      <c r="U3738">
        <v>0</v>
      </c>
      <c r="V3738">
        <v>0</v>
      </c>
      <c r="W3738">
        <v>0</v>
      </c>
      <c r="X3738">
        <v>0</v>
      </c>
      <c r="Z3738">
        <v>2</v>
      </c>
      <c r="AA3738">
        <v>0</v>
      </c>
      <c r="AB3738">
        <v>0</v>
      </c>
      <c r="AC3738">
        <v>0</v>
      </c>
      <c r="AD3738" t="s">
        <v>6848</v>
      </c>
    </row>
    <row r="3739" spans="1:30" x14ac:dyDescent="0.25">
      <c r="H3739" t="s">
        <v>6852</v>
      </c>
    </row>
    <row r="3740" spans="1:30" x14ac:dyDescent="0.25">
      <c r="A3740">
        <v>1867</v>
      </c>
      <c r="B3740">
        <v>1687</v>
      </c>
      <c r="C3740" t="s">
        <v>6853</v>
      </c>
      <c r="D3740" t="s">
        <v>681</v>
      </c>
      <c r="E3740" t="s">
        <v>378</v>
      </c>
      <c r="F3740" t="s">
        <v>6854</v>
      </c>
      <c r="G3740" t="str">
        <f>"00229126"</f>
        <v>00229126</v>
      </c>
      <c r="H3740" t="s">
        <v>789</v>
      </c>
      <c r="I3740">
        <v>0</v>
      </c>
      <c r="J3740">
        <v>0</v>
      </c>
      <c r="K3740">
        <v>0</v>
      </c>
      <c r="L3740">
        <v>0</v>
      </c>
      <c r="M3740">
        <v>0</v>
      </c>
      <c r="N3740">
        <v>30</v>
      </c>
      <c r="O3740">
        <v>0</v>
      </c>
      <c r="P3740">
        <v>0</v>
      </c>
      <c r="Q3740">
        <v>0</v>
      </c>
      <c r="R3740">
        <v>0</v>
      </c>
      <c r="S3740">
        <v>0</v>
      </c>
      <c r="T3740">
        <v>0</v>
      </c>
      <c r="U3740">
        <v>0</v>
      </c>
      <c r="V3740">
        <v>0</v>
      </c>
      <c r="W3740">
        <v>0</v>
      </c>
      <c r="X3740">
        <v>0</v>
      </c>
      <c r="Z3740">
        <v>2</v>
      </c>
      <c r="AA3740">
        <v>0</v>
      </c>
      <c r="AB3740">
        <v>0</v>
      </c>
      <c r="AC3740">
        <v>0</v>
      </c>
      <c r="AD3740" t="s">
        <v>6848</v>
      </c>
    </row>
    <row r="3741" spans="1:30" x14ac:dyDescent="0.25">
      <c r="H3741" t="s">
        <v>6855</v>
      </c>
    </row>
    <row r="3742" spans="1:30" x14ac:dyDescent="0.25">
      <c r="A3742">
        <v>1868</v>
      </c>
      <c r="B3742">
        <v>2425</v>
      </c>
      <c r="C3742" t="s">
        <v>6856</v>
      </c>
      <c r="D3742" t="s">
        <v>92</v>
      </c>
      <c r="E3742" t="s">
        <v>33</v>
      </c>
      <c r="F3742" t="s">
        <v>6857</v>
      </c>
      <c r="G3742" t="str">
        <f>"201603000075"</f>
        <v>201603000075</v>
      </c>
      <c r="H3742">
        <v>748</v>
      </c>
      <c r="I3742">
        <v>0</v>
      </c>
      <c r="J3742">
        <v>0</v>
      </c>
      <c r="K3742">
        <v>0</v>
      </c>
      <c r="L3742">
        <v>0</v>
      </c>
      <c r="M3742">
        <v>0</v>
      </c>
      <c r="N3742">
        <v>30</v>
      </c>
      <c r="O3742">
        <v>0</v>
      </c>
      <c r="P3742">
        <v>0</v>
      </c>
      <c r="Q3742">
        <v>0</v>
      </c>
      <c r="R3742">
        <v>0</v>
      </c>
      <c r="S3742">
        <v>0</v>
      </c>
      <c r="T3742">
        <v>0</v>
      </c>
      <c r="U3742">
        <v>0</v>
      </c>
      <c r="V3742">
        <v>8</v>
      </c>
      <c r="W3742">
        <v>56</v>
      </c>
      <c r="X3742">
        <v>0</v>
      </c>
      <c r="Z3742">
        <v>0</v>
      </c>
      <c r="AA3742">
        <v>0</v>
      </c>
      <c r="AB3742">
        <v>0</v>
      </c>
      <c r="AC3742">
        <v>0</v>
      </c>
      <c r="AD3742">
        <v>834</v>
      </c>
    </row>
    <row r="3743" spans="1:30" x14ac:dyDescent="0.25">
      <c r="H3743" t="s">
        <v>6858</v>
      </c>
    </row>
    <row r="3744" spans="1:30" x14ac:dyDescent="0.25">
      <c r="A3744">
        <v>1869</v>
      </c>
      <c r="B3744">
        <v>2568</v>
      </c>
      <c r="C3744" t="s">
        <v>6859</v>
      </c>
      <c r="D3744" t="s">
        <v>677</v>
      </c>
      <c r="E3744" t="s">
        <v>39</v>
      </c>
      <c r="F3744" t="s">
        <v>6860</v>
      </c>
      <c r="G3744" t="str">
        <f>"201406006744"</f>
        <v>201406006744</v>
      </c>
      <c r="H3744" t="s">
        <v>6861</v>
      </c>
      <c r="I3744">
        <v>0</v>
      </c>
      <c r="J3744">
        <v>0</v>
      </c>
      <c r="K3744">
        <v>0</v>
      </c>
      <c r="L3744">
        <v>0</v>
      </c>
      <c r="M3744">
        <v>0</v>
      </c>
      <c r="N3744">
        <v>70</v>
      </c>
      <c r="O3744">
        <v>0</v>
      </c>
      <c r="P3744">
        <v>0</v>
      </c>
      <c r="Q3744">
        <v>0</v>
      </c>
      <c r="R3744">
        <v>0</v>
      </c>
      <c r="S3744">
        <v>0</v>
      </c>
      <c r="T3744">
        <v>0</v>
      </c>
      <c r="U3744">
        <v>0</v>
      </c>
      <c r="V3744">
        <v>2</v>
      </c>
      <c r="W3744">
        <v>14</v>
      </c>
      <c r="X3744">
        <v>0</v>
      </c>
      <c r="Z3744">
        <v>2</v>
      </c>
      <c r="AA3744">
        <v>0</v>
      </c>
      <c r="AB3744">
        <v>8</v>
      </c>
      <c r="AC3744">
        <v>136</v>
      </c>
      <c r="AD3744" t="s">
        <v>6316</v>
      </c>
    </row>
    <row r="3745" spans="1:30" x14ac:dyDescent="0.25">
      <c r="H3745" t="s">
        <v>521</v>
      </c>
    </row>
    <row r="3746" spans="1:30" x14ac:dyDescent="0.25">
      <c r="A3746">
        <v>1870</v>
      </c>
      <c r="B3746">
        <v>5497</v>
      </c>
      <c r="C3746" t="s">
        <v>6862</v>
      </c>
      <c r="D3746" t="s">
        <v>330</v>
      </c>
      <c r="E3746" t="s">
        <v>79</v>
      </c>
      <c r="F3746" t="s">
        <v>6863</v>
      </c>
      <c r="G3746" t="str">
        <f>"201406011898"</f>
        <v>201406011898</v>
      </c>
      <c r="H3746" t="s">
        <v>705</v>
      </c>
      <c r="I3746">
        <v>0</v>
      </c>
      <c r="J3746">
        <v>0</v>
      </c>
      <c r="K3746">
        <v>0</v>
      </c>
      <c r="L3746">
        <v>0</v>
      </c>
      <c r="M3746">
        <v>0</v>
      </c>
      <c r="N3746">
        <v>70</v>
      </c>
      <c r="O3746">
        <v>0</v>
      </c>
      <c r="P3746">
        <v>0</v>
      </c>
      <c r="Q3746">
        <v>0</v>
      </c>
      <c r="R3746">
        <v>0</v>
      </c>
      <c r="S3746">
        <v>0</v>
      </c>
      <c r="T3746">
        <v>0</v>
      </c>
      <c r="U3746">
        <v>0</v>
      </c>
      <c r="V3746">
        <v>0</v>
      </c>
      <c r="W3746">
        <v>0</v>
      </c>
      <c r="X3746">
        <v>0</v>
      </c>
      <c r="Z3746">
        <v>0</v>
      </c>
      <c r="AA3746">
        <v>0</v>
      </c>
      <c r="AB3746">
        <v>0</v>
      </c>
      <c r="AC3746">
        <v>0</v>
      </c>
      <c r="AD3746" t="s">
        <v>6864</v>
      </c>
    </row>
    <row r="3747" spans="1:30" x14ac:dyDescent="0.25">
      <c r="H3747" t="s">
        <v>6865</v>
      </c>
    </row>
    <row r="3748" spans="1:30" x14ac:dyDescent="0.25">
      <c r="A3748">
        <v>1871</v>
      </c>
      <c r="B3748">
        <v>4411</v>
      </c>
      <c r="C3748" t="s">
        <v>6866</v>
      </c>
      <c r="D3748" t="s">
        <v>296</v>
      </c>
      <c r="E3748" t="s">
        <v>1660</v>
      </c>
      <c r="F3748" t="s">
        <v>6867</v>
      </c>
      <c r="G3748" t="str">
        <f>"201412005835"</f>
        <v>201412005835</v>
      </c>
      <c r="H3748" t="s">
        <v>4333</v>
      </c>
      <c r="I3748">
        <v>0</v>
      </c>
      <c r="J3748">
        <v>0</v>
      </c>
      <c r="K3748">
        <v>0</v>
      </c>
      <c r="L3748">
        <v>0</v>
      </c>
      <c r="M3748">
        <v>0</v>
      </c>
      <c r="N3748">
        <v>30</v>
      </c>
      <c r="O3748">
        <v>0</v>
      </c>
      <c r="P3748">
        <v>0</v>
      </c>
      <c r="Q3748">
        <v>0</v>
      </c>
      <c r="R3748">
        <v>0</v>
      </c>
      <c r="S3748">
        <v>0</v>
      </c>
      <c r="T3748">
        <v>0</v>
      </c>
      <c r="U3748">
        <v>0</v>
      </c>
      <c r="V3748">
        <v>5</v>
      </c>
      <c r="W3748">
        <v>35</v>
      </c>
      <c r="X3748">
        <v>0</v>
      </c>
      <c r="Z3748">
        <v>0</v>
      </c>
      <c r="AA3748">
        <v>0</v>
      </c>
      <c r="AB3748">
        <v>0</v>
      </c>
      <c r="AC3748">
        <v>0</v>
      </c>
      <c r="AD3748" t="s">
        <v>6868</v>
      </c>
    </row>
    <row r="3749" spans="1:30" x14ac:dyDescent="0.25">
      <c r="H3749" t="s">
        <v>6869</v>
      </c>
    </row>
    <row r="3750" spans="1:30" x14ac:dyDescent="0.25">
      <c r="A3750">
        <v>1872</v>
      </c>
      <c r="B3750">
        <v>1797</v>
      </c>
      <c r="C3750" t="s">
        <v>6870</v>
      </c>
      <c r="D3750" t="s">
        <v>51</v>
      </c>
      <c r="E3750" t="s">
        <v>251</v>
      </c>
      <c r="F3750" t="s">
        <v>6871</v>
      </c>
      <c r="G3750" t="str">
        <f>"00311840"</f>
        <v>00311840</v>
      </c>
      <c r="H3750" t="s">
        <v>1315</v>
      </c>
      <c r="I3750">
        <v>0</v>
      </c>
      <c r="J3750">
        <v>0</v>
      </c>
      <c r="K3750">
        <v>0</v>
      </c>
      <c r="L3750">
        <v>0</v>
      </c>
      <c r="M3750">
        <v>0</v>
      </c>
      <c r="N3750">
        <v>50</v>
      </c>
      <c r="O3750">
        <v>0</v>
      </c>
      <c r="P3750">
        <v>0</v>
      </c>
      <c r="Q3750">
        <v>0</v>
      </c>
      <c r="R3750">
        <v>0</v>
      </c>
      <c r="S3750">
        <v>0</v>
      </c>
      <c r="T3750">
        <v>0</v>
      </c>
      <c r="U3750">
        <v>0</v>
      </c>
      <c r="V3750">
        <v>12</v>
      </c>
      <c r="W3750">
        <v>84</v>
      </c>
      <c r="X3750">
        <v>0</v>
      </c>
      <c r="Z3750">
        <v>0</v>
      </c>
      <c r="AA3750">
        <v>0</v>
      </c>
      <c r="AB3750">
        <v>0</v>
      </c>
      <c r="AC3750">
        <v>0</v>
      </c>
      <c r="AD3750" t="s">
        <v>6872</v>
      </c>
    </row>
    <row r="3751" spans="1:30" x14ac:dyDescent="0.25">
      <c r="H3751" t="s">
        <v>6873</v>
      </c>
    </row>
    <row r="3752" spans="1:30" x14ac:dyDescent="0.25">
      <c r="A3752">
        <v>1873</v>
      </c>
      <c r="B3752">
        <v>5862</v>
      </c>
      <c r="C3752" t="s">
        <v>6874</v>
      </c>
      <c r="D3752" t="s">
        <v>879</v>
      </c>
      <c r="E3752" t="s">
        <v>176</v>
      </c>
      <c r="F3752" t="s">
        <v>6875</v>
      </c>
      <c r="G3752" t="str">
        <f>"00202894"</f>
        <v>00202894</v>
      </c>
      <c r="H3752" t="s">
        <v>2197</v>
      </c>
      <c r="I3752">
        <v>0</v>
      </c>
      <c r="J3752">
        <v>0</v>
      </c>
      <c r="K3752">
        <v>0</v>
      </c>
      <c r="L3752">
        <v>0</v>
      </c>
      <c r="M3752">
        <v>0</v>
      </c>
      <c r="N3752">
        <v>30</v>
      </c>
      <c r="O3752">
        <v>0</v>
      </c>
      <c r="P3752">
        <v>0</v>
      </c>
      <c r="Q3752">
        <v>0</v>
      </c>
      <c r="R3752">
        <v>0</v>
      </c>
      <c r="S3752">
        <v>0</v>
      </c>
      <c r="T3752">
        <v>0</v>
      </c>
      <c r="U3752">
        <v>0</v>
      </c>
      <c r="V3752">
        <v>15</v>
      </c>
      <c r="W3752">
        <v>105</v>
      </c>
      <c r="X3752">
        <v>0</v>
      </c>
      <c r="Z3752">
        <v>0</v>
      </c>
      <c r="AA3752">
        <v>0</v>
      </c>
      <c r="AB3752">
        <v>0</v>
      </c>
      <c r="AC3752">
        <v>0</v>
      </c>
      <c r="AD3752" t="s">
        <v>6876</v>
      </c>
    </row>
    <row r="3753" spans="1:30" x14ac:dyDescent="0.25">
      <c r="H3753" t="s">
        <v>6877</v>
      </c>
    </row>
    <row r="3754" spans="1:30" x14ac:dyDescent="0.25">
      <c r="A3754">
        <v>1874</v>
      </c>
      <c r="B3754">
        <v>3299</v>
      </c>
      <c r="C3754" t="s">
        <v>6878</v>
      </c>
      <c r="D3754" t="s">
        <v>196</v>
      </c>
      <c r="E3754" t="s">
        <v>47</v>
      </c>
      <c r="F3754" t="s">
        <v>6879</v>
      </c>
      <c r="G3754" t="str">
        <f>"00019657"</f>
        <v>00019657</v>
      </c>
      <c r="H3754" t="s">
        <v>219</v>
      </c>
      <c r="I3754">
        <v>0</v>
      </c>
      <c r="J3754">
        <v>0</v>
      </c>
      <c r="K3754">
        <v>0</v>
      </c>
      <c r="L3754">
        <v>0</v>
      </c>
      <c r="M3754">
        <v>0</v>
      </c>
      <c r="N3754">
        <v>30</v>
      </c>
      <c r="O3754">
        <v>0</v>
      </c>
      <c r="P3754">
        <v>0</v>
      </c>
      <c r="Q3754">
        <v>0</v>
      </c>
      <c r="R3754">
        <v>0</v>
      </c>
      <c r="S3754">
        <v>0</v>
      </c>
      <c r="T3754">
        <v>0</v>
      </c>
      <c r="U3754">
        <v>0</v>
      </c>
      <c r="V3754">
        <v>-3</v>
      </c>
      <c r="W3754">
        <v>-21</v>
      </c>
      <c r="X3754">
        <v>0</v>
      </c>
      <c r="Z3754">
        <v>0</v>
      </c>
      <c r="AA3754">
        <v>0</v>
      </c>
      <c r="AB3754">
        <v>3</v>
      </c>
      <c r="AC3754">
        <v>51</v>
      </c>
      <c r="AD3754" t="s">
        <v>6880</v>
      </c>
    </row>
    <row r="3755" spans="1:30" x14ac:dyDescent="0.25">
      <c r="H3755" t="s">
        <v>6881</v>
      </c>
    </row>
    <row r="3756" spans="1:30" x14ac:dyDescent="0.25">
      <c r="A3756">
        <v>1875</v>
      </c>
      <c r="B3756">
        <v>3328</v>
      </c>
      <c r="C3756" t="s">
        <v>6882</v>
      </c>
      <c r="D3756" t="s">
        <v>1986</v>
      </c>
      <c r="E3756" t="s">
        <v>378</v>
      </c>
      <c r="F3756" t="s">
        <v>6883</v>
      </c>
      <c r="G3756" t="str">
        <f>"00362011"</f>
        <v>00362011</v>
      </c>
      <c r="H3756" t="s">
        <v>2321</v>
      </c>
      <c r="I3756">
        <v>0</v>
      </c>
      <c r="J3756">
        <v>0</v>
      </c>
      <c r="K3756">
        <v>0</v>
      </c>
      <c r="L3756">
        <v>0</v>
      </c>
      <c r="M3756">
        <v>0</v>
      </c>
      <c r="N3756">
        <v>0</v>
      </c>
      <c r="O3756">
        <v>0</v>
      </c>
      <c r="P3756">
        <v>0</v>
      </c>
      <c r="Q3756">
        <v>0</v>
      </c>
      <c r="R3756">
        <v>0</v>
      </c>
      <c r="S3756">
        <v>0</v>
      </c>
      <c r="T3756">
        <v>0</v>
      </c>
      <c r="U3756">
        <v>0</v>
      </c>
      <c r="V3756">
        <v>0</v>
      </c>
      <c r="W3756">
        <v>0</v>
      </c>
      <c r="X3756">
        <v>0</v>
      </c>
      <c r="Z3756">
        <v>0</v>
      </c>
      <c r="AA3756">
        <v>0</v>
      </c>
      <c r="AB3756">
        <v>5</v>
      </c>
      <c r="AC3756">
        <v>85</v>
      </c>
      <c r="AD3756" t="s">
        <v>6884</v>
      </c>
    </row>
    <row r="3757" spans="1:30" x14ac:dyDescent="0.25">
      <c r="H3757">
        <v>1249</v>
      </c>
    </row>
    <row r="3758" spans="1:30" x14ac:dyDescent="0.25">
      <c r="A3758">
        <v>1876</v>
      </c>
      <c r="B3758">
        <v>1327</v>
      </c>
      <c r="C3758" t="s">
        <v>1284</v>
      </c>
      <c r="D3758" t="s">
        <v>3085</v>
      </c>
      <c r="E3758" t="s">
        <v>47</v>
      </c>
      <c r="F3758" t="s">
        <v>6885</v>
      </c>
      <c r="G3758" t="str">
        <f>"00153407"</f>
        <v>00153407</v>
      </c>
      <c r="H3758" t="s">
        <v>514</v>
      </c>
      <c r="I3758">
        <v>0</v>
      </c>
      <c r="J3758">
        <v>0</v>
      </c>
      <c r="K3758">
        <v>0</v>
      </c>
      <c r="L3758">
        <v>0</v>
      </c>
      <c r="M3758">
        <v>0</v>
      </c>
      <c r="N3758">
        <v>30</v>
      </c>
      <c r="O3758">
        <v>0</v>
      </c>
      <c r="P3758">
        <v>0</v>
      </c>
      <c r="Q3758">
        <v>0</v>
      </c>
      <c r="R3758">
        <v>0</v>
      </c>
      <c r="S3758">
        <v>0</v>
      </c>
      <c r="T3758">
        <v>0</v>
      </c>
      <c r="U3758">
        <v>0</v>
      </c>
      <c r="V3758">
        <v>7</v>
      </c>
      <c r="W3758">
        <v>49</v>
      </c>
      <c r="X3758">
        <v>0</v>
      </c>
      <c r="Z3758">
        <v>0</v>
      </c>
      <c r="AA3758">
        <v>0</v>
      </c>
      <c r="AB3758">
        <v>0</v>
      </c>
      <c r="AC3758">
        <v>0</v>
      </c>
      <c r="AD3758" t="s">
        <v>6886</v>
      </c>
    </row>
    <row r="3759" spans="1:30" x14ac:dyDescent="0.25">
      <c r="H3759" t="s">
        <v>6887</v>
      </c>
    </row>
    <row r="3760" spans="1:30" x14ac:dyDescent="0.25">
      <c r="A3760">
        <v>1877</v>
      </c>
      <c r="B3760">
        <v>3391</v>
      </c>
      <c r="C3760" t="s">
        <v>5739</v>
      </c>
      <c r="D3760" t="s">
        <v>98</v>
      </c>
      <c r="E3760" t="s">
        <v>6888</v>
      </c>
      <c r="F3760" t="s">
        <v>6889</v>
      </c>
      <c r="G3760" t="str">
        <f>"00368309"</f>
        <v>00368309</v>
      </c>
      <c r="H3760" t="s">
        <v>241</v>
      </c>
      <c r="I3760">
        <v>0</v>
      </c>
      <c r="J3760">
        <v>0</v>
      </c>
      <c r="K3760">
        <v>0</v>
      </c>
      <c r="L3760">
        <v>0</v>
      </c>
      <c r="M3760">
        <v>0</v>
      </c>
      <c r="N3760">
        <v>70</v>
      </c>
      <c r="O3760">
        <v>0</v>
      </c>
      <c r="P3760">
        <v>0</v>
      </c>
      <c r="Q3760">
        <v>0</v>
      </c>
      <c r="R3760">
        <v>0</v>
      </c>
      <c r="S3760">
        <v>0</v>
      </c>
      <c r="T3760">
        <v>0</v>
      </c>
      <c r="U3760">
        <v>0</v>
      </c>
      <c r="V3760">
        <v>6</v>
      </c>
      <c r="W3760">
        <v>42</v>
      </c>
      <c r="X3760">
        <v>0</v>
      </c>
      <c r="Z3760">
        <v>2</v>
      </c>
      <c r="AA3760">
        <v>0</v>
      </c>
      <c r="AB3760">
        <v>0</v>
      </c>
      <c r="AC3760">
        <v>0</v>
      </c>
      <c r="AD3760" t="s">
        <v>6886</v>
      </c>
    </row>
    <row r="3761" spans="1:30" x14ac:dyDescent="0.25">
      <c r="H3761" t="s">
        <v>6890</v>
      </c>
    </row>
    <row r="3762" spans="1:30" x14ac:dyDescent="0.25">
      <c r="A3762">
        <v>1878</v>
      </c>
      <c r="B3762">
        <v>5548</v>
      </c>
      <c r="C3762" t="s">
        <v>467</v>
      </c>
      <c r="D3762" t="s">
        <v>335</v>
      </c>
      <c r="E3762" t="s">
        <v>40</v>
      </c>
      <c r="F3762" t="s">
        <v>6891</v>
      </c>
      <c r="G3762" t="str">
        <f>"00360428"</f>
        <v>00360428</v>
      </c>
      <c r="H3762">
        <v>781</v>
      </c>
      <c r="I3762">
        <v>0</v>
      </c>
      <c r="J3762">
        <v>0</v>
      </c>
      <c r="K3762">
        <v>0</v>
      </c>
      <c r="L3762">
        <v>0</v>
      </c>
      <c r="M3762">
        <v>0</v>
      </c>
      <c r="N3762">
        <v>50</v>
      </c>
      <c r="O3762">
        <v>0</v>
      </c>
      <c r="P3762">
        <v>0</v>
      </c>
      <c r="Q3762">
        <v>0</v>
      </c>
      <c r="R3762">
        <v>0</v>
      </c>
      <c r="S3762">
        <v>0</v>
      </c>
      <c r="T3762">
        <v>0</v>
      </c>
      <c r="U3762">
        <v>0</v>
      </c>
      <c r="V3762">
        <v>0</v>
      </c>
      <c r="W3762">
        <v>0</v>
      </c>
      <c r="X3762">
        <v>0</v>
      </c>
      <c r="Z3762">
        <v>0</v>
      </c>
      <c r="AA3762">
        <v>0</v>
      </c>
      <c r="AB3762">
        <v>0</v>
      </c>
      <c r="AC3762">
        <v>0</v>
      </c>
      <c r="AD3762">
        <v>831</v>
      </c>
    </row>
    <row r="3763" spans="1:30" x14ac:dyDescent="0.25">
      <c r="H3763" t="s">
        <v>6892</v>
      </c>
    </row>
    <row r="3764" spans="1:30" x14ac:dyDescent="0.25">
      <c r="A3764">
        <v>1879</v>
      </c>
      <c r="B3764">
        <v>4038</v>
      </c>
      <c r="C3764" t="s">
        <v>33</v>
      </c>
      <c r="D3764" t="s">
        <v>182</v>
      </c>
      <c r="E3764" t="s">
        <v>400</v>
      </c>
      <c r="F3764" t="s">
        <v>6893</v>
      </c>
      <c r="G3764" t="str">
        <f>"00192379"</f>
        <v>00192379</v>
      </c>
      <c r="H3764" t="s">
        <v>2836</v>
      </c>
      <c r="I3764">
        <v>0</v>
      </c>
      <c r="J3764">
        <v>0</v>
      </c>
      <c r="K3764">
        <v>0</v>
      </c>
      <c r="L3764">
        <v>0</v>
      </c>
      <c r="M3764">
        <v>0</v>
      </c>
      <c r="N3764">
        <v>30</v>
      </c>
      <c r="O3764">
        <v>0</v>
      </c>
      <c r="P3764">
        <v>0</v>
      </c>
      <c r="Q3764">
        <v>0</v>
      </c>
      <c r="R3764">
        <v>0</v>
      </c>
      <c r="S3764">
        <v>0</v>
      </c>
      <c r="T3764">
        <v>0</v>
      </c>
      <c r="U3764">
        <v>0</v>
      </c>
      <c r="V3764">
        <v>0</v>
      </c>
      <c r="W3764">
        <v>0</v>
      </c>
      <c r="X3764">
        <v>0</v>
      </c>
      <c r="Z3764">
        <v>0</v>
      </c>
      <c r="AA3764">
        <v>0</v>
      </c>
      <c r="AB3764">
        <v>0</v>
      </c>
      <c r="AC3764">
        <v>0</v>
      </c>
      <c r="AD3764" t="s">
        <v>6894</v>
      </c>
    </row>
    <row r="3765" spans="1:30" x14ac:dyDescent="0.25">
      <c r="H3765">
        <v>1247</v>
      </c>
    </row>
    <row r="3766" spans="1:30" x14ac:dyDescent="0.25">
      <c r="A3766">
        <v>1880</v>
      </c>
      <c r="B3766">
        <v>5084</v>
      </c>
      <c r="C3766" t="s">
        <v>5717</v>
      </c>
      <c r="D3766" t="s">
        <v>694</v>
      </c>
      <c r="E3766" t="s">
        <v>162</v>
      </c>
      <c r="F3766" t="s">
        <v>6895</v>
      </c>
      <c r="G3766" t="str">
        <f>"00027715"</f>
        <v>00027715</v>
      </c>
      <c r="H3766" t="s">
        <v>4333</v>
      </c>
      <c r="I3766">
        <v>0</v>
      </c>
      <c r="J3766">
        <v>0</v>
      </c>
      <c r="K3766">
        <v>0</v>
      </c>
      <c r="L3766">
        <v>0</v>
      </c>
      <c r="M3766">
        <v>0</v>
      </c>
      <c r="N3766">
        <v>0</v>
      </c>
      <c r="O3766">
        <v>0</v>
      </c>
      <c r="P3766">
        <v>0</v>
      </c>
      <c r="Q3766">
        <v>0</v>
      </c>
      <c r="R3766">
        <v>0</v>
      </c>
      <c r="S3766">
        <v>0</v>
      </c>
      <c r="T3766">
        <v>0</v>
      </c>
      <c r="U3766">
        <v>0</v>
      </c>
      <c r="V3766">
        <v>9</v>
      </c>
      <c r="W3766">
        <v>63</v>
      </c>
      <c r="X3766">
        <v>0</v>
      </c>
      <c r="Z3766">
        <v>0</v>
      </c>
      <c r="AA3766">
        <v>0</v>
      </c>
      <c r="AB3766">
        <v>0</v>
      </c>
      <c r="AC3766">
        <v>0</v>
      </c>
      <c r="AD3766" t="s">
        <v>6894</v>
      </c>
    </row>
    <row r="3767" spans="1:30" x14ac:dyDescent="0.25">
      <c r="H3767" t="s">
        <v>6896</v>
      </c>
    </row>
    <row r="3768" spans="1:30" x14ac:dyDescent="0.25">
      <c r="A3768">
        <v>1881</v>
      </c>
      <c r="B3768">
        <v>4699</v>
      </c>
      <c r="C3768" t="s">
        <v>6897</v>
      </c>
      <c r="D3768" t="s">
        <v>420</v>
      </c>
      <c r="E3768" t="s">
        <v>1391</v>
      </c>
      <c r="F3768" t="s">
        <v>6898</v>
      </c>
      <c r="G3768" t="str">
        <f>"00361330"</f>
        <v>00361330</v>
      </c>
      <c r="H3768">
        <v>759</v>
      </c>
      <c r="I3768">
        <v>0</v>
      </c>
      <c r="J3768">
        <v>0</v>
      </c>
      <c r="K3768">
        <v>0</v>
      </c>
      <c r="L3768">
        <v>0</v>
      </c>
      <c r="M3768">
        <v>0</v>
      </c>
      <c r="N3768">
        <v>70</v>
      </c>
      <c r="O3768">
        <v>0</v>
      </c>
      <c r="P3768">
        <v>0</v>
      </c>
      <c r="Q3768">
        <v>0</v>
      </c>
      <c r="R3768">
        <v>0</v>
      </c>
      <c r="S3768">
        <v>0</v>
      </c>
      <c r="T3768">
        <v>0</v>
      </c>
      <c r="U3768">
        <v>0</v>
      </c>
      <c r="V3768">
        <v>0</v>
      </c>
      <c r="W3768">
        <v>0</v>
      </c>
      <c r="X3768">
        <v>0</v>
      </c>
      <c r="Z3768">
        <v>0</v>
      </c>
      <c r="AA3768">
        <v>0</v>
      </c>
      <c r="AB3768">
        <v>0</v>
      </c>
      <c r="AC3768">
        <v>0</v>
      </c>
      <c r="AD3768">
        <v>829</v>
      </c>
    </row>
    <row r="3769" spans="1:30" x14ac:dyDescent="0.25">
      <c r="H3769" t="s">
        <v>6899</v>
      </c>
    </row>
    <row r="3770" spans="1:30" x14ac:dyDescent="0.25">
      <c r="A3770">
        <v>1882</v>
      </c>
      <c r="B3770">
        <v>494</v>
      </c>
      <c r="C3770" t="s">
        <v>795</v>
      </c>
      <c r="D3770" t="s">
        <v>6900</v>
      </c>
      <c r="E3770" t="s">
        <v>291</v>
      </c>
      <c r="F3770" t="s">
        <v>6901</v>
      </c>
      <c r="G3770" t="str">
        <f>"00075863"</f>
        <v>00075863</v>
      </c>
      <c r="H3770">
        <v>693</v>
      </c>
      <c r="I3770">
        <v>0</v>
      </c>
      <c r="J3770">
        <v>0</v>
      </c>
      <c r="K3770">
        <v>0</v>
      </c>
      <c r="L3770">
        <v>0</v>
      </c>
      <c r="M3770">
        <v>0</v>
      </c>
      <c r="N3770">
        <v>0</v>
      </c>
      <c r="O3770">
        <v>0</v>
      </c>
      <c r="P3770">
        <v>0</v>
      </c>
      <c r="Q3770">
        <v>0</v>
      </c>
      <c r="R3770">
        <v>0</v>
      </c>
      <c r="S3770">
        <v>0</v>
      </c>
      <c r="T3770">
        <v>0</v>
      </c>
      <c r="U3770">
        <v>0</v>
      </c>
      <c r="V3770">
        <v>0</v>
      </c>
      <c r="W3770">
        <v>0</v>
      </c>
      <c r="X3770">
        <v>0</v>
      </c>
      <c r="Z3770">
        <v>3</v>
      </c>
      <c r="AA3770">
        <v>0</v>
      </c>
      <c r="AB3770">
        <v>8</v>
      </c>
      <c r="AC3770">
        <v>136</v>
      </c>
      <c r="AD3770">
        <v>829</v>
      </c>
    </row>
    <row r="3771" spans="1:30" x14ac:dyDescent="0.25">
      <c r="H3771">
        <v>1249</v>
      </c>
    </row>
    <row r="3772" spans="1:30" x14ac:dyDescent="0.25">
      <c r="A3772">
        <v>1883</v>
      </c>
      <c r="B3772">
        <v>5463</v>
      </c>
      <c r="C3772" t="s">
        <v>6902</v>
      </c>
      <c r="D3772" t="s">
        <v>6903</v>
      </c>
      <c r="E3772" t="s">
        <v>51</v>
      </c>
      <c r="F3772" t="s">
        <v>6904</v>
      </c>
      <c r="G3772" t="str">
        <f>"201511014242"</f>
        <v>201511014242</v>
      </c>
      <c r="H3772" t="s">
        <v>1136</v>
      </c>
      <c r="I3772">
        <v>0</v>
      </c>
      <c r="J3772">
        <v>0</v>
      </c>
      <c r="K3772">
        <v>0</v>
      </c>
      <c r="L3772">
        <v>0</v>
      </c>
      <c r="M3772">
        <v>0</v>
      </c>
      <c r="N3772">
        <v>50</v>
      </c>
      <c r="O3772">
        <v>0</v>
      </c>
      <c r="P3772">
        <v>0</v>
      </c>
      <c r="Q3772">
        <v>0</v>
      </c>
      <c r="R3772">
        <v>0</v>
      </c>
      <c r="S3772">
        <v>0</v>
      </c>
      <c r="T3772">
        <v>0</v>
      </c>
      <c r="U3772">
        <v>0</v>
      </c>
      <c r="V3772">
        <v>0</v>
      </c>
      <c r="W3772">
        <v>0</v>
      </c>
      <c r="X3772">
        <v>0</v>
      </c>
      <c r="Z3772">
        <v>2</v>
      </c>
      <c r="AA3772">
        <v>0</v>
      </c>
      <c r="AB3772">
        <v>0</v>
      </c>
      <c r="AC3772">
        <v>0</v>
      </c>
      <c r="AD3772" t="s">
        <v>6905</v>
      </c>
    </row>
    <row r="3773" spans="1:30" x14ac:dyDescent="0.25">
      <c r="H3773" t="s">
        <v>6906</v>
      </c>
    </row>
    <row r="3774" spans="1:30" x14ac:dyDescent="0.25">
      <c r="A3774">
        <v>1884</v>
      </c>
      <c r="B3774">
        <v>2251</v>
      </c>
      <c r="C3774" t="s">
        <v>6907</v>
      </c>
      <c r="D3774" t="s">
        <v>51</v>
      </c>
      <c r="E3774" t="s">
        <v>140</v>
      </c>
      <c r="F3774" t="s">
        <v>6908</v>
      </c>
      <c r="G3774" t="str">
        <f>"201406009686"</f>
        <v>201406009686</v>
      </c>
      <c r="H3774" t="s">
        <v>3999</v>
      </c>
      <c r="I3774">
        <v>0</v>
      </c>
      <c r="J3774">
        <v>0</v>
      </c>
      <c r="K3774">
        <v>0</v>
      </c>
      <c r="L3774">
        <v>0</v>
      </c>
      <c r="M3774">
        <v>0</v>
      </c>
      <c r="N3774">
        <v>30</v>
      </c>
      <c r="O3774">
        <v>0</v>
      </c>
      <c r="P3774">
        <v>0</v>
      </c>
      <c r="Q3774">
        <v>0</v>
      </c>
      <c r="R3774">
        <v>0</v>
      </c>
      <c r="S3774">
        <v>0</v>
      </c>
      <c r="T3774">
        <v>0</v>
      </c>
      <c r="U3774">
        <v>0</v>
      </c>
      <c r="V3774">
        <v>18</v>
      </c>
      <c r="W3774">
        <v>126</v>
      </c>
      <c r="X3774">
        <v>0</v>
      </c>
      <c r="Z3774">
        <v>1</v>
      </c>
      <c r="AA3774">
        <v>0</v>
      </c>
      <c r="AB3774">
        <v>0</v>
      </c>
      <c r="AC3774">
        <v>0</v>
      </c>
      <c r="AD3774" t="s">
        <v>6909</v>
      </c>
    </row>
    <row r="3775" spans="1:30" x14ac:dyDescent="0.25">
      <c r="H3775" t="s">
        <v>6910</v>
      </c>
    </row>
    <row r="3776" spans="1:30" x14ac:dyDescent="0.25">
      <c r="A3776">
        <v>1885</v>
      </c>
      <c r="B3776">
        <v>134</v>
      </c>
      <c r="C3776" t="s">
        <v>6911</v>
      </c>
      <c r="D3776" t="s">
        <v>1485</v>
      </c>
      <c r="E3776" t="s">
        <v>151</v>
      </c>
      <c r="F3776" t="s">
        <v>6912</v>
      </c>
      <c r="G3776" t="str">
        <f>"00210569"</f>
        <v>00210569</v>
      </c>
      <c r="H3776" t="s">
        <v>988</v>
      </c>
      <c r="I3776">
        <v>0</v>
      </c>
      <c r="J3776">
        <v>0</v>
      </c>
      <c r="K3776">
        <v>0</v>
      </c>
      <c r="L3776">
        <v>0</v>
      </c>
      <c r="M3776">
        <v>0</v>
      </c>
      <c r="N3776">
        <v>50</v>
      </c>
      <c r="O3776">
        <v>0</v>
      </c>
      <c r="P3776">
        <v>0</v>
      </c>
      <c r="Q3776">
        <v>0</v>
      </c>
      <c r="R3776">
        <v>0</v>
      </c>
      <c r="S3776">
        <v>0</v>
      </c>
      <c r="T3776">
        <v>0</v>
      </c>
      <c r="U3776">
        <v>0</v>
      </c>
      <c r="V3776">
        <v>0</v>
      </c>
      <c r="W3776">
        <v>0</v>
      </c>
      <c r="X3776">
        <v>0</v>
      </c>
      <c r="Z3776">
        <v>0</v>
      </c>
      <c r="AA3776">
        <v>0</v>
      </c>
      <c r="AB3776">
        <v>0</v>
      </c>
      <c r="AC3776">
        <v>0</v>
      </c>
      <c r="AD3776" t="s">
        <v>6913</v>
      </c>
    </row>
    <row r="3777" spans="1:30" x14ac:dyDescent="0.25">
      <c r="H3777">
        <v>1247</v>
      </c>
    </row>
    <row r="3778" spans="1:30" x14ac:dyDescent="0.25">
      <c r="A3778">
        <v>1886</v>
      </c>
      <c r="B3778">
        <v>4462</v>
      </c>
      <c r="C3778" t="s">
        <v>6914</v>
      </c>
      <c r="D3778" t="s">
        <v>6915</v>
      </c>
      <c r="E3778" t="s">
        <v>51</v>
      </c>
      <c r="F3778" t="s">
        <v>6916</v>
      </c>
      <c r="G3778" t="str">
        <f>"00007478"</f>
        <v>00007478</v>
      </c>
      <c r="H3778" t="s">
        <v>3427</v>
      </c>
      <c r="I3778">
        <v>0</v>
      </c>
      <c r="J3778">
        <v>0</v>
      </c>
      <c r="K3778">
        <v>0</v>
      </c>
      <c r="L3778">
        <v>0</v>
      </c>
      <c r="M3778">
        <v>0</v>
      </c>
      <c r="N3778">
        <v>30</v>
      </c>
      <c r="O3778">
        <v>0</v>
      </c>
      <c r="P3778">
        <v>0</v>
      </c>
      <c r="Q3778">
        <v>0</v>
      </c>
      <c r="R3778">
        <v>0</v>
      </c>
      <c r="S3778">
        <v>0</v>
      </c>
      <c r="T3778">
        <v>0</v>
      </c>
      <c r="U3778">
        <v>0</v>
      </c>
      <c r="V3778">
        <v>15</v>
      </c>
      <c r="W3778">
        <v>105</v>
      </c>
      <c r="X3778">
        <v>0</v>
      </c>
      <c r="Z3778">
        <v>0</v>
      </c>
      <c r="AA3778">
        <v>0</v>
      </c>
      <c r="AB3778">
        <v>0</v>
      </c>
      <c r="AC3778">
        <v>0</v>
      </c>
      <c r="AD3778" t="s">
        <v>6917</v>
      </c>
    </row>
    <row r="3779" spans="1:30" x14ac:dyDescent="0.25">
      <c r="H3779" t="s">
        <v>6918</v>
      </c>
    </row>
    <row r="3780" spans="1:30" x14ac:dyDescent="0.25">
      <c r="A3780">
        <v>1887</v>
      </c>
      <c r="B3780">
        <v>3654</v>
      </c>
      <c r="C3780" t="s">
        <v>6919</v>
      </c>
      <c r="D3780" t="s">
        <v>6920</v>
      </c>
      <c r="E3780" t="s">
        <v>87</v>
      </c>
      <c r="F3780" t="s">
        <v>6921</v>
      </c>
      <c r="G3780" t="str">
        <f>"00339423"</f>
        <v>00339423</v>
      </c>
      <c r="H3780" t="s">
        <v>146</v>
      </c>
      <c r="I3780">
        <v>0</v>
      </c>
      <c r="J3780">
        <v>0</v>
      </c>
      <c r="K3780">
        <v>0</v>
      </c>
      <c r="L3780">
        <v>0</v>
      </c>
      <c r="M3780">
        <v>0</v>
      </c>
      <c r="N3780">
        <v>70</v>
      </c>
      <c r="O3780">
        <v>0</v>
      </c>
      <c r="P3780">
        <v>0</v>
      </c>
      <c r="Q3780">
        <v>0</v>
      </c>
      <c r="R3780">
        <v>0</v>
      </c>
      <c r="S3780">
        <v>0</v>
      </c>
      <c r="T3780">
        <v>0</v>
      </c>
      <c r="U3780">
        <v>0</v>
      </c>
      <c r="V3780">
        <v>0</v>
      </c>
      <c r="W3780">
        <v>0</v>
      </c>
      <c r="X3780">
        <v>0</v>
      </c>
      <c r="Z3780">
        <v>0</v>
      </c>
      <c r="AA3780">
        <v>0</v>
      </c>
      <c r="AB3780">
        <v>0</v>
      </c>
      <c r="AC3780">
        <v>0</v>
      </c>
      <c r="AD3780" t="s">
        <v>6922</v>
      </c>
    </row>
    <row r="3781" spans="1:30" x14ac:dyDescent="0.25">
      <c r="H3781" t="s">
        <v>6923</v>
      </c>
    </row>
    <row r="3782" spans="1:30" x14ac:dyDescent="0.25">
      <c r="A3782">
        <v>1888</v>
      </c>
      <c r="B3782">
        <v>1830</v>
      </c>
      <c r="C3782" t="s">
        <v>6924</v>
      </c>
      <c r="D3782" t="s">
        <v>420</v>
      </c>
      <c r="E3782" t="s">
        <v>40</v>
      </c>
      <c r="F3782" t="s">
        <v>6925</v>
      </c>
      <c r="G3782" t="str">
        <f>"00179922"</f>
        <v>00179922</v>
      </c>
      <c r="H3782" t="s">
        <v>258</v>
      </c>
      <c r="I3782">
        <v>0</v>
      </c>
      <c r="J3782">
        <v>0</v>
      </c>
      <c r="K3782">
        <v>0</v>
      </c>
      <c r="L3782">
        <v>0</v>
      </c>
      <c r="M3782">
        <v>0</v>
      </c>
      <c r="N3782">
        <v>30</v>
      </c>
      <c r="O3782">
        <v>0</v>
      </c>
      <c r="P3782">
        <v>0</v>
      </c>
      <c r="Q3782">
        <v>0</v>
      </c>
      <c r="R3782">
        <v>0</v>
      </c>
      <c r="S3782">
        <v>0</v>
      </c>
      <c r="T3782">
        <v>0</v>
      </c>
      <c r="U3782">
        <v>0</v>
      </c>
      <c r="V3782">
        <v>0</v>
      </c>
      <c r="W3782">
        <v>0</v>
      </c>
      <c r="X3782">
        <v>0</v>
      </c>
      <c r="Z3782">
        <v>2</v>
      </c>
      <c r="AA3782">
        <v>0</v>
      </c>
      <c r="AB3782">
        <v>0</v>
      </c>
      <c r="AC3782">
        <v>0</v>
      </c>
      <c r="AD3782" t="s">
        <v>6926</v>
      </c>
    </row>
    <row r="3783" spans="1:30" x14ac:dyDescent="0.25">
      <c r="H3783" t="s">
        <v>6927</v>
      </c>
    </row>
    <row r="3784" spans="1:30" x14ac:dyDescent="0.25">
      <c r="A3784">
        <v>1889</v>
      </c>
      <c r="B3784">
        <v>4085</v>
      </c>
      <c r="C3784" t="s">
        <v>6928</v>
      </c>
      <c r="D3784" t="s">
        <v>47</v>
      </c>
      <c r="E3784" t="s">
        <v>151</v>
      </c>
      <c r="F3784" t="s">
        <v>6929</v>
      </c>
      <c r="G3784" t="str">
        <f>"00135267"</f>
        <v>00135267</v>
      </c>
      <c r="H3784" t="s">
        <v>519</v>
      </c>
      <c r="I3784">
        <v>0</v>
      </c>
      <c r="J3784">
        <v>0</v>
      </c>
      <c r="K3784">
        <v>0</v>
      </c>
      <c r="L3784">
        <v>0</v>
      </c>
      <c r="M3784">
        <v>0</v>
      </c>
      <c r="N3784">
        <v>70</v>
      </c>
      <c r="O3784">
        <v>0</v>
      </c>
      <c r="P3784">
        <v>0</v>
      </c>
      <c r="Q3784">
        <v>0</v>
      </c>
      <c r="R3784">
        <v>0</v>
      </c>
      <c r="S3784">
        <v>0</v>
      </c>
      <c r="T3784">
        <v>0</v>
      </c>
      <c r="U3784">
        <v>0</v>
      </c>
      <c r="V3784">
        <v>0</v>
      </c>
      <c r="W3784">
        <v>0</v>
      </c>
      <c r="X3784">
        <v>0</v>
      </c>
      <c r="Z3784">
        <v>0</v>
      </c>
      <c r="AA3784">
        <v>0</v>
      </c>
      <c r="AB3784">
        <v>0</v>
      </c>
      <c r="AC3784">
        <v>0</v>
      </c>
      <c r="AD3784" t="s">
        <v>6930</v>
      </c>
    </row>
    <row r="3785" spans="1:30" x14ac:dyDescent="0.25">
      <c r="H3785" t="s">
        <v>6931</v>
      </c>
    </row>
    <row r="3786" spans="1:30" x14ac:dyDescent="0.25">
      <c r="A3786">
        <v>1890</v>
      </c>
      <c r="B3786">
        <v>2838</v>
      </c>
      <c r="C3786" t="s">
        <v>3035</v>
      </c>
      <c r="D3786" t="s">
        <v>1570</v>
      </c>
      <c r="E3786" t="s">
        <v>40</v>
      </c>
      <c r="F3786" t="s">
        <v>6932</v>
      </c>
      <c r="G3786" t="str">
        <f>"201504001039"</f>
        <v>201504001039</v>
      </c>
      <c r="H3786" t="s">
        <v>2197</v>
      </c>
      <c r="I3786">
        <v>0</v>
      </c>
      <c r="J3786">
        <v>0</v>
      </c>
      <c r="K3786">
        <v>0</v>
      </c>
      <c r="L3786">
        <v>0</v>
      </c>
      <c r="M3786">
        <v>0</v>
      </c>
      <c r="N3786">
        <v>30</v>
      </c>
      <c r="O3786">
        <v>0</v>
      </c>
      <c r="P3786">
        <v>0</v>
      </c>
      <c r="Q3786">
        <v>0</v>
      </c>
      <c r="R3786">
        <v>0</v>
      </c>
      <c r="S3786">
        <v>0</v>
      </c>
      <c r="T3786">
        <v>0</v>
      </c>
      <c r="U3786">
        <v>0</v>
      </c>
      <c r="V3786">
        <v>14</v>
      </c>
      <c r="W3786">
        <v>98</v>
      </c>
      <c r="X3786">
        <v>0</v>
      </c>
      <c r="Z3786">
        <v>0</v>
      </c>
      <c r="AA3786">
        <v>0</v>
      </c>
      <c r="AB3786">
        <v>0</v>
      </c>
      <c r="AC3786">
        <v>0</v>
      </c>
      <c r="AD3786" t="s">
        <v>6933</v>
      </c>
    </row>
    <row r="3787" spans="1:30" x14ac:dyDescent="0.25">
      <c r="H3787" t="s">
        <v>4929</v>
      </c>
    </row>
    <row r="3788" spans="1:30" x14ac:dyDescent="0.25">
      <c r="A3788">
        <v>1891</v>
      </c>
      <c r="B3788">
        <v>4633</v>
      </c>
      <c r="C3788" t="s">
        <v>6934</v>
      </c>
      <c r="D3788" t="s">
        <v>15</v>
      </c>
      <c r="E3788" t="s">
        <v>595</v>
      </c>
      <c r="F3788" t="s">
        <v>6935</v>
      </c>
      <c r="G3788" t="str">
        <f>"00017616"</f>
        <v>00017616</v>
      </c>
      <c r="H3788" t="s">
        <v>562</v>
      </c>
      <c r="I3788">
        <v>0</v>
      </c>
      <c r="J3788">
        <v>0</v>
      </c>
      <c r="K3788">
        <v>0</v>
      </c>
      <c r="L3788">
        <v>0</v>
      </c>
      <c r="M3788">
        <v>0</v>
      </c>
      <c r="N3788">
        <v>30</v>
      </c>
      <c r="O3788">
        <v>0</v>
      </c>
      <c r="P3788">
        <v>0</v>
      </c>
      <c r="Q3788">
        <v>0</v>
      </c>
      <c r="R3788">
        <v>0</v>
      </c>
      <c r="S3788">
        <v>0</v>
      </c>
      <c r="T3788">
        <v>0</v>
      </c>
      <c r="U3788">
        <v>0</v>
      </c>
      <c r="V3788">
        <v>16</v>
      </c>
      <c r="W3788">
        <v>112</v>
      </c>
      <c r="X3788">
        <v>0</v>
      </c>
      <c r="Z3788">
        <v>0</v>
      </c>
      <c r="AA3788">
        <v>0</v>
      </c>
      <c r="AB3788">
        <v>0</v>
      </c>
      <c r="AC3788">
        <v>0</v>
      </c>
      <c r="AD3788" t="s">
        <v>6936</v>
      </c>
    </row>
    <row r="3789" spans="1:30" x14ac:dyDescent="0.25">
      <c r="H3789" t="s">
        <v>6937</v>
      </c>
    </row>
    <row r="3790" spans="1:30" x14ac:dyDescent="0.25">
      <c r="A3790">
        <v>1892</v>
      </c>
      <c r="B3790">
        <v>565</v>
      </c>
      <c r="C3790" t="s">
        <v>6938</v>
      </c>
      <c r="D3790" t="s">
        <v>107</v>
      </c>
      <c r="E3790" t="s">
        <v>140</v>
      </c>
      <c r="F3790" t="s">
        <v>6939</v>
      </c>
      <c r="G3790" t="str">
        <f>"00159205"</f>
        <v>00159205</v>
      </c>
      <c r="H3790">
        <v>825</v>
      </c>
      <c r="I3790">
        <v>0</v>
      </c>
      <c r="J3790">
        <v>0</v>
      </c>
      <c r="K3790">
        <v>0</v>
      </c>
      <c r="L3790">
        <v>0</v>
      </c>
      <c r="M3790">
        <v>0</v>
      </c>
      <c r="N3790">
        <v>0</v>
      </c>
      <c r="O3790">
        <v>0</v>
      </c>
      <c r="P3790">
        <v>0</v>
      </c>
      <c r="Q3790">
        <v>0</v>
      </c>
      <c r="R3790">
        <v>0</v>
      </c>
      <c r="S3790">
        <v>0</v>
      </c>
      <c r="T3790">
        <v>0</v>
      </c>
      <c r="U3790">
        <v>0</v>
      </c>
      <c r="V3790">
        <v>0</v>
      </c>
      <c r="W3790">
        <v>0</v>
      </c>
      <c r="X3790">
        <v>0</v>
      </c>
      <c r="Z3790">
        <v>0</v>
      </c>
      <c r="AA3790">
        <v>0</v>
      </c>
      <c r="AB3790">
        <v>0</v>
      </c>
      <c r="AC3790">
        <v>0</v>
      </c>
      <c r="AD3790">
        <v>825</v>
      </c>
    </row>
    <row r="3791" spans="1:30" x14ac:dyDescent="0.25">
      <c r="H3791" t="s">
        <v>6940</v>
      </c>
    </row>
    <row r="3792" spans="1:30" x14ac:dyDescent="0.25">
      <c r="A3792">
        <v>1893</v>
      </c>
      <c r="B3792">
        <v>1441</v>
      </c>
      <c r="C3792" t="s">
        <v>6941</v>
      </c>
      <c r="D3792" t="s">
        <v>6942</v>
      </c>
      <c r="E3792" t="s">
        <v>6943</v>
      </c>
      <c r="F3792" t="s">
        <v>6944</v>
      </c>
      <c r="G3792" t="str">
        <f>"00300704"</f>
        <v>00300704</v>
      </c>
      <c r="H3792">
        <v>638</v>
      </c>
      <c r="I3792">
        <v>0</v>
      </c>
      <c r="J3792">
        <v>0</v>
      </c>
      <c r="K3792">
        <v>0</v>
      </c>
      <c r="L3792">
        <v>0</v>
      </c>
      <c r="M3792">
        <v>0</v>
      </c>
      <c r="N3792">
        <v>0</v>
      </c>
      <c r="O3792">
        <v>0</v>
      </c>
      <c r="P3792">
        <v>0</v>
      </c>
      <c r="Q3792">
        <v>0</v>
      </c>
      <c r="R3792">
        <v>0</v>
      </c>
      <c r="S3792">
        <v>0</v>
      </c>
      <c r="T3792">
        <v>0</v>
      </c>
      <c r="U3792">
        <v>0</v>
      </c>
      <c r="V3792">
        <v>0</v>
      </c>
      <c r="W3792">
        <v>0</v>
      </c>
      <c r="X3792">
        <v>0</v>
      </c>
      <c r="Z3792">
        <v>2</v>
      </c>
      <c r="AA3792">
        <v>0</v>
      </c>
      <c r="AB3792">
        <v>11</v>
      </c>
      <c r="AC3792">
        <v>187</v>
      </c>
      <c r="AD3792">
        <v>825</v>
      </c>
    </row>
    <row r="3793" spans="1:30" x14ac:dyDescent="0.25">
      <c r="H3793">
        <v>1249</v>
      </c>
    </row>
    <row r="3794" spans="1:30" x14ac:dyDescent="0.25">
      <c r="A3794">
        <v>1894</v>
      </c>
      <c r="B3794">
        <v>887</v>
      </c>
      <c r="C3794" t="s">
        <v>6945</v>
      </c>
      <c r="D3794" t="s">
        <v>6946</v>
      </c>
      <c r="E3794" t="s">
        <v>151</v>
      </c>
      <c r="F3794" t="s">
        <v>6947</v>
      </c>
      <c r="G3794" t="str">
        <f>"00201997"</f>
        <v>00201997</v>
      </c>
      <c r="H3794" t="s">
        <v>896</v>
      </c>
      <c r="I3794">
        <v>0</v>
      </c>
      <c r="J3794">
        <v>0</v>
      </c>
      <c r="K3794">
        <v>0</v>
      </c>
      <c r="L3794">
        <v>0</v>
      </c>
      <c r="M3794">
        <v>0</v>
      </c>
      <c r="N3794">
        <v>30</v>
      </c>
      <c r="O3794">
        <v>0</v>
      </c>
      <c r="P3794">
        <v>0</v>
      </c>
      <c r="Q3794">
        <v>0</v>
      </c>
      <c r="R3794">
        <v>0</v>
      </c>
      <c r="S3794">
        <v>0</v>
      </c>
      <c r="T3794">
        <v>0</v>
      </c>
      <c r="U3794">
        <v>0</v>
      </c>
      <c r="V3794">
        <v>0</v>
      </c>
      <c r="W3794">
        <v>0</v>
      </c>
      <c r="X3794">
        <v>0</v>
      </c>
      <c r="Z3794">
        <v>0</v>
      </c>
      <c r="AA3794">
        <v>0</v>
      </c>
      <c r="AB3794">
        <v>0</v>
      </c>
      <c r="AC3794">
        <v>0</v>
      </c>
      <c r="AD3794" t="s">
        <v>6948</v>
      </c>
    </row>
    <row r="3795" spans="1:30" x14ac:dyDescent="0.25">
      <c r="H3795" t="s">
        <v>1652</v>
      </c>
    </row>
    <row r="3796" spans="1:30" x14ac:dyDescent="0.25">
      <c r="A3796">
        <v>1895</v>
      </c>
      <c r="B3796">
        <v>4278</v>
      </c>
      <c r="C3796" t="s">
        <v>6949</v>
      </c>
      <c r="D3796" t="s">
        <v>6950</v>
      </c>
      <c r="E3796" t="s">
        <v>1276</v>
      </c>
      <c r="F3796" t="s">
        <v>6951</v>
      </c>
      <c r="G3796" t="str">
        <f>"00365526"</f>
        <v>00365526</v>
      </c>
      <c r="H3796" t="s">
        <v>896</v>
      </c>
      <c r="I3796">
        <v>0</v>
      </c>
      <c r="J3796">
        <v>0</v>
      </c>
      <c r="K3796">
        <v>0</v>
      </c>
      <c r="L3796">
        <v>0</v>
      </c>
      <c r="M3796">
        <v>0</v>
      </c>
      <c r="N3796">
        <v>30</v>
      </c>
      <c r="O3796">
        <v>0</v>
      </c>
      <c r="P3796">
        <v>0</v>
      </c>
      <c r="Q3796">
        <v>0</v>
      </c>
      <c r="R3796">
        <v>0</v>
      </c>
      <c r="S3796">
        <v>0</v>
      </c>
      <c r="T3796">
        <v>0</v>
      </c>
      <c r="U3796">
        <v>0</v>
      </c>
      <c r="V3796">
        <v>0</v>
      </c>
      <c r="W3796">
        <v>0</v>
      </c>
      <c r="X3796">
        <v>0</v>
      </c>
      <c r="Z3796">
        <v>0</v>
      </c>
      <c r="AA3796">
        <v>0</v>
      </c>
      <c r="AB3796">
        <v>0</v>
      </c>
      <c r="AC3796">
        <v>0</v>
      </c>
      <c r="AD3796" t="s">
        <v>6948</v>
      </c>
    </row>
    <row r="3797" spans="1:30" x14ac:dyDescent="0.25">
      <c r="H3797" t="s">
        <v>6952</v>
      </c>
    </row>
    <row r="3798" spans="1:30" x14ac:dyDescent="0.25">
      <c r="A3798">
        <v>1896</v>
      </c>
      <c r="B3798">
        <v>3258</v>
      </c>
      <c r="C3798" t="s">
        <v>6953</v>
      </c>
      <c r="D3798" t="s">
        <v>830</v>
      </c>
      <c r="E3798" t="s">
        <v>47</v>
      </c>
      <c r="F3798" t="s">
        <v>6954</v>
      </c>
      <c r="G3798" t="str">
        <f>"00221937"</f>
        <v>00221937</v>
      </c>
      <c r="H3798" t="s">
        <v>896</v>
      </c>
      <c r="I3798">
        <v>0</v>
      </c>
      <c r="J3798">
        <v>0</v>
      </c>
      <c r="K3798">
        <v>0</v>
      </c>
      <c r="L3798">
        <v>0</v>
      </c>
      <c r="M3798">
        <v>0</v>
      </c>
      <c r="N3798">
        <v>30</v>
      </c>
      <c r="O3798">
        <v>0</v>
      </c>
      <c r="P3798">
        <v>0</v>
      </c>
      <c r="Q3798">
        <v>0</v>
      </c>
      <c r="R3798">
        <v>0</v>
      </c>
      <c r="S3798">
        <v>0</v>
      </c>
      <c r="T3798">
        <v>0</v>
      </c>
      <c r="U3798">
        <v>0</v>
      </c>
      <c r="V3798">
        <v>0</v>
      </c>
      <c r="W3798">
        <v>0</v>
      </c>
      <c r="X3798">
        <v>0</v>
      </c>
      <c r="Z3798">
        <v>2</v>
      </c>
      <c r="AA3798">
        <v>0</v>
      </c>
      <c r="AB3798">
        <v>0</v>
      </c>
      <c r="AC3798">
        <v>0</v>
      </c>
      <c r="AD3798" t="s">
        <v>6948</v>
      </c>
    </row>
    <row r="3799" spans="1:30" x14ac:dyDescent="0.25">
      <c r="H3799" t="s">
        <v>4306</v>
      </c>
    </row>
    <row r="3800" spans="1:30" x14ac:dyDescent="0.25">
      <c r="A3800">
        <v>1897</v>
      </c>
      <c r="B3800">
        <v>5515</v>
      </c>
      <c r="C3800" t="s">
        <v>2597</v>
      </c>
      <c r="D3800" t="s">
        <v>223</v>
      </c>
      <c r="E3800" t="s">
        <v>51</v>
      </c>
      <c r="F3800" t="s">
        <v>6955</v>
      </c>
      <c r="G3800" t="str">
        <f>"00364367"</f>
        <v>00364367</v>
      </c>
      <c r="H3800" t="s">
        <v>1768</v>
      </c>
      <c r="I3800">
        <v>0</v>
      </c>
      <c r="J3800">
        <v>0</v>
      </c>
      <c r="K3800">
        <v>0</v>
      </c>
      <c r="L3800">
        <v>0</v>
      </c>
      <c r="M3800">
        <v>0</v>
      </c>
      <c r="N3800">
        <v>0</v>
      </c>
      <c r="O3800">
        <v>0</v>
      </c>
      <c r="P3800">
        <v>0</v>
      </c>
      <c r="Q3800">
        <v>0</v>
      </c>
      <c r="R3800">
        <v>0</v>
      </c>
      <c r="S3800">
        <v>0</v>
      </c>
      <c r="T3800">
        <v>0</v>
      </c>
      <c r="U3800">
        <v>0</v>
      </c>
      <c r="V3800">
        <v>0</v>
      </c>
      <c r="W3800">
        <v>0</v>
      </c>
      <c r="X3800">
        <v>0</v>
      </c>
      <c r="Z3800">
        <v>2</v>
      </c>
      <c r="AA3800">
        <v>0</v>
      </c>
      <c r="AB3800">
        <v>0</v>
      </c>
      <c r="AC3800">
        <v>0</v>
      </c>
      <c r="AD3800" t="s">
        <v>1768</v>
      </c>
    </row>
    <row r="3801" spans="1:30" x14ac:dyDescent="0.25">
      <c r="H3801" t="s">
        <v>6956</v>
      </c>
    </row>
    <row r="3802" spans="1:30" x14ac:dyDescent="0.25">
      <c r="A3802">
        <v>1898</v>
      </c>
      <c r="B3802">
        <v>3412</v>
      </c>
      <c r="C3802" t="s">
        <v>6957</v>
      </c>
      <c r="D3802" t="s">
        <v>6958</v>
      </c>
      <c r="E3802" t="s">
        <v>140</v>
      </c>
      <c r="F3802" t="s">
        <v>6959</v>
      </c>
      <c r="G3802" t="str">
        <f>"00370075"</f>
        <v>00370075</v>
      </c>
      <c r="H3802" t="s">
        <v>1572</v>
      </c>
      <c r="I3802">
        <v>0</v>
      </c>
      <c r="J3802">
        <v>0</v>
      </c>
      <c r="K3802">
        <v>0</v>
      </c>
      <c r="L3802">
        <v>0</v>
      </c>
      <c r="M3802">
        <v>0</v>
      </c>
      <c r="N3802">
        <v>0</v>
      </c>
      <c r="O3802">
        <v>0</v>
      </c>
      <c r="P3802">
        <v>0</v>
      </c>
      <c r="Q3802">
        <v>0</v>
      </c>
      <c r="R3802">
        <v>0</v>
      </c>
      <c r="S3802">
        <v>0</v>
      </c>
      <c r="T3802">
        <v>0</v>
      </c>
      <c r="U3802">
        <v>0</v>
      </c>
      <c r="V3802">
        <v>15</v>
      </c>
      <c r="W3802">
        <v>105</v>
      </c>
      <c r="X3802">
        <v>0</v>
      </c>
      <c r="Z3802">
        <v>0</v>
      </c>
      <c r="AA3802">
        <v>0</v>
      </c>
      <c r="AB3802">
        <v>0</v>
      </c>
      <c r="AC3802">
        <v>0</v>
      </c>
      <c r="AD3802" t="s">
        <v>6960</v>
      </c>
    </row>
    <row r="3803" spans="1:30" x14ac:dyDescent="0.25">
      <c r="H3803">
        <v>1247</v>
      </c>
    </row>
    <row r="3804" spans="1:30" x14ac:dyDescent="0.25">
      <c r="A3804">
        <v>1899</v>
      </c>
      <c r="B3804">
        <v>689</v>
      </c>
      <c r="C3804" t="s">
        <v>6961</v>
      </c>
      <c r="D3804" t="s">
        <v>694</v>
      </c>
      <c r="E3804" t="s">
        <v>40</v>
      </c>
      <c r="F3804" t="s">
        <v>6962</v>
      </c>
      <c r="G3804" t="str">
        <f>"00108745"</f>
        <v>00108745</v>
      </c>
      <c r="H3804" t="s">
        <v>1091</v>
      </c>
      <c r="I3804">
        <v>0</v>
      </c>
      <c r="J3804">
        <v>0</v>
      </c>
      <c r="K3804">
        <v>0</v>
      </c>
      <c r="L3804">
        <v>0</v>
      </c>
      <c r="M3804">
        <v>0</v>
      </c>
      <c r="N3804">
        <v>30</v>
      </c>
      <c r="O3804">
        <v>0</v>
      </c>
      <c r="P3804">
        <v>0</v>
      </c>
      <c r="Q3804">
        <v>0</v>
      </c>
      <c r="R3804">
        <v>0</v>
      </c>
      <c r="S3804">
        <v>0</v>
      </c>
      <c r="T3804">
        <v>0</v>
      </c>
      <c r="U3804">
        <v>0</v>
      </c>
      <c r="V3804">
        <v>12</v>
      </c>
      <c r="W3804">
        <v>84</v>
      </c>
      <c r="X3804">
        <v>0</v>
      </c>
      <c r="Z3804">
        <v>0</v>
      </c>
      <c r="AA3804">
        <v>0</v>
      </c>
      <c r="AB3804">
        <v>0</v>
      </c>
      <c r="AC3804">
        <v>0</v>
      </c>
      <c r="AD3804" t="s">
        <v>6963</v>
      </c>
    </row>
    <row r="3805" spans="1:30" x14ac:dyDescent="0.25">
      <c r="H3805" t="s">
        <v>549</v>
      </c>
    </row>
    <row r="3806" spans="1:30" x14ac:dyDescent="0.25">
      <c r="A3806">
        <v>1900</v>
      </c>
      <c r="B3806">
        <v>277</v>
      </c>
      <c r="C3806" t="s">
        <v>6964</v>
      </c>
      <c r="D3806" t="s">
        <v>335</v>
      </c>
      <c r="E3806" t="s">
        <v>39</v>
      </c>
      <c r="F3806" t="s">
        <v>6965</v>
      </c>
      <c r="G3806" t="str">
        <f>"201406010984"</f>
        <v>201406010984</v>
      </c>
      <c r="H3806" t="s">
        <v>2866</v>
      </c>
      <c r="I3806">
        <v>0</v>
      </c>
      <c r="J3806">
        <v>0</v>
      </c>
      <c r="K3806">
        <v>0</v>
      </c>
      <c r="L3806">
        <v>0</v>
      </c>
      <c r="M3806">
        <v>0</v>
      </c>
      <c r="N3806">
        <v>30</v>
      </c>
      <c r="O3806">
        <v>0</v>
      </c>
      <c r="P3806">
        <v>0</v>
      </c>
      <c r="Q3806">
        <v>0</v>
      </c>
      <c r="R3806">
        <v>0</v>
      </c>
      <c r="S3806">
        <v>0</v>
      </c>
      <c r="T3806">
        <v>0</v>
      </c>
      <c r="U3806">
        <v>0</v>
      </c>
      <c r="V3806">
        <v>20</v>
      </c>
      <c r="W3806">
        <v>140</v>
      </c>
      <c r="X3806">
        <v>0</v>
      </c>
      <c r="Z3806">
        <v>0</v>
      </c>
      <c r="AA3806">
        <v>0</v>
      </c>
      <c r="AB3806">
        <v>0</v>
      </c>
      <c r="AC3806">
        <v>0</v>
      </c>
      <c r="AD3806" t="s">
        <v>6966</v>
      </c>
    </row>
    <row r="3807" spans="1:30" x14ac:dyDescent="0.25">
      <c r="H3807" t="s">
        <v>6967</v>
      </c>
    </row>
    <row r="3808" spans="1:30" x14ac:dyDescent="0.25">
      <c r="A3808">
        <v>1901</v>
      </c>
      <c r="B3808">
        <v>1988</v>
      </c>
      <c r="C3808" t="s">
        <v>6968</v>
      </c>
      <c r="D3808" t="s">
        <v>6969</v>
      </c>
      <c r="E3808" t="s">
        <v>6970</v>
      </c>
      <c r="F3808" t="s">
        <v>6971</v>
      </c>
      <c r="G3808" t="str">
        <f>"00224753"</f>
        <v>00224753</v>
      </c>
      <c r="H3808">
        <v>792</v>
      </c>
      <c r="I3808">
        <v>0</v>
      </c>
      <c r="J3808">
        <v>0</v>
      </c>
      <c r="K3808">
        <v>0</v>
      </c>
      <c r="L3808">
        <v>0</v>
      </c>
      <c r="M3808">
        <v>0</v>
      </c>
      <c r="N3808">
        <v>30</v>
      </c>
      <c r="O3808">
        <v>0</v>
      </c>
      <c r="P3808">
        <v>0</v>
      </c>
      <c r="Q3808">
        <v>0</v>
      </c>
      <c r="R3808">
        <v>0</v>
      </c>
      <c r="S3808">
        <v>0</v>
      </c>
      <c r="T3808">
        <v>0</v>
      </c>
      <c r="U3808">
        <v>0</v>
      </c>
      <c r="V3808">
        <v>0</v>
      </c>
      <c r="W3808">
        <v>0</v>
      </c>
      <c r="X3808">
        <v>0</v>
      </c>
      <c r="Z3808">
        <v>2</v>
      </c>
      <c r="AA3808">
        <v>0</v>
      </c>
      <c r="AB3808">
        <v>0</v>
      </c>
      <c r="AC3808">
        <v>0</v>
      </c>
      <c r="AD3808">
        <v>822</v>
      </c>
    </row>
    <row r="3809" spans="1:30" x14ac:dyDescent="0.25">
      <c r="H3809" t="s">
        <v>6972</v>
      </c>
    </row>
    <row r="3810" spans="1:30" x14ac:dyDescent="0.25">
      <c r="A3810">
        <v>1902</v>
      </c>
      <c r="B3810">
        <v>3023</v>
      </c>
      <c r="C3810" t="s">
        <v>6973</v>
      </c>
      <c r="D3810" t="s">
        <v>103</v>
      </c>
      <c r="E3810" t="s">
        <v>183</v>
      </c>
      <c r="F3810" t="s">
        <v>6974</v>
      </c>
      <c r="G3810" t="str">
        <f>"200812000236"</f>
        <v>200812000236</v>
      </c>
      <c r="H3810">
        <v>737</v>
      </c>
      <c r="I3810">
        <v>0</v>
      </c>
      <c r="J3810">
        <v>0</v>
      </c>
      <c r="K3810">
        <v>0</v>
      </c>
      <c r="L3810">
        <v>0</v>
      </c>
      <c r="M3810">
        <v>0</v>
      </c>
      <c r="N3810">
        <v>50</v>
      </c>
      <c r="O3810">
        <v>0</v>
      </c>
      <c r="P3810">
        <v>0</v>
      </c>
      <c r="Q3810">
        <v>0</v>
      </c>
      <c r="R3810">
        <v>0</v>
      </c>
      <c r="S3810">
        <v>0</v>
      </c>
      <c r="T3810">
        <v>0</v>
      </c>
      <c r="U3810">
        <v>0</v>
      </c>
      <c r="V3810">
        <v>5</v>
      </c>
      <c r="W3810">
        <v>35</v>
      </c>
      <c r="X3810">
        <v>0</v>
      </c>
      <c r="Z3810">
        <v>0</v>
      </c>
      <c r="AA3810">
        <v>0</v>
      </c>
      <c r="AB3810">
        <v>0</v>
      </c>
      <c r="AC3810">
        <v>0</v>
      </c>
      <c r="AD3810">
        <v>822</v>
      </c>
    </row>
    <row r="3811" spans="1:30" x14ac:dyDescent="0.25">
      <c r="H3811" t="s">
        <v>6975</v>
      </c>
    </row>
    <row r="3812" spans="1:30" x14ac:dyDescent="0.25">
      <c r="A3812">
        <v>1903</v>
      </c>
      <c r="B3812">
        <v>6145</v>
      </c>
      <c r="C3812" t="s">
        <v>6976</v>
      </c>
      <c r="D3812" t="s">
        <v>40</v>
      </c>
      <c r="E3812" t="s">
        <v>509</v>
      </c>
      <c r="F3812" t="s">
        <v>6977</v>
      </c>
      <c r="G3812" t="str">
        <f>"201502004127"</f>
        <v>201502004127</v>
      </c>
      <c r="H3812">
        <v>715</v>
      </c>
      <c r="I3812">
        <v>0</v>
      </c>
      <c r="J3812">
        <v>0</v>
      </c>
      <c r="K3812">
        <v>0</v>
      </c>
      <c r="L3812">
        <v>0</v>
      </c>
      <c r="M3812">
        <v>0</v>
      </c>
      <c r="N3812">
        <v>30</v>
      </c>
      <c r="O3812">
        <v>0</v>
      </c>
      <c r="P3812">
        <v>0</v>
      </c>
      <c r="Q3812">
        <v>0</v>
      </c>
      <c r="R3812">
        <v>0</v>
      </c>
      <c r="S3812">
        <v>0</v>
      </c>
      <c r="T3812">
        <v>0</v>
      </c>
      <c r="U3812">
        <v>0</v>
      </c>
      <c r="V3812">
        <v>11</v>
      </c>
      <c r="W3812">
        <v>77</v>
      </c>
      <c r="X3812">
        <v>0</v>
      </c>
      <c r="Z3812">
        <v>0</v>
      </c>
      <c r="AA3812">
        <v>0</v>
      </c>
      <c r="AB3812">
        <v>0</v>
      </c>
      <c r="AC3812">
        <v>0</v>
      </c>
      <c r="AD3812">
        <v>822</v>
      </c>
    </row>
    <row r="3813" spans="1:30" x14ac:dyDescent="0.25">
      <c r="H3813" t="s">
        <v>6978</v>
      </c>
    </row>
    <row r="3814" spans="1:30" x14ac:dyDescent="0.25">
      <c r="A3814">
        <v>1904</v>
      </c>
      <c r="B3814">
        <v>4258</v>
      </c>
      <c r="C3814" t="s">
        <v>6979</v>
      </c>
      <c r="D3814" t="s">
        <v>75</v>
      </c>
      <c r="E3814" t="s">
        <v>162</v>
      </c>
      <c r="F3814" t="s">
        <v>6980</v>
      </c>
      <c r="G3814" t="str">
        <f>"00107865"</f>
        <v>00107865</v>
      </c>
      <c r="H3814" t="s">
        <v>5317</v>
      </c>
      <c r="I3814">
        <v>0</v>
      </c>
      <c r="J3814">
        <v>0</v>
      </c>
      <c r="K3814">
        <v>0</v>
      </c>
      <c r="L3814">
        <v>0</v>
      </c>
      <c r="M3814">
        <v>0</v>
      </c>
      <c r="N3814">
        <v>30</v>
      </c>
      <c r="O3814">
        <v>0</v>
      </c>
      <c r="P3814">
        <v>0</v>
      </c>
      <c r="Q3814">
        <v>0</v>
      </c>
      <c r="R3814">
        <v>0</v>
      </c>
      <c r="S3814">
        <v>0</v>
      </c>
      <c r="T3814">
        <v>0</v>
      </c>
      <c r="U3814">
        <v>0</v>
      </c>
      <c r="V3814">
        <v>7</v>
      </c>
      <c r="W3814">
        <v>49</v>
      </c>
      <c r="X3814">
        <v>0</v>
      </c>
      <c r="Z3814">
        <v>0</v>
      </c>
      <c r="AA3814">
        <v>0</v>
      </c>
      <c r="AB3814">
        <v>6</v>
      </c>
      <c r="AC3814">
        <v>102</v>
      </c>
      <c r="AD3814" t="s">
        <v>6981</v>
      </c>
    </row>
    <row r="3815" spans="1:30" x14ac:dyDescent="0.25">
      <c r="H3815">
        <v>1247</v>
      </c>
    </row>
    <row r="3816" spans="1:30" x14ac:dyDescent="0.25">
      <c r="A3816">
        <v>1905</v>
      </c>
      <c r="B3816">
        <v>5761</v>
      </c>
      <c r="C3816" t="s">
        <v>6982</v>
      </c>
      <c r="D3816" t="s">
        <v>636</v>
      </c>
      <c r="E3816" t="s">
        <v>162</v>
      </c>
      <c r="F3816" t="s">
        <v>6983</v>
      </c>
      <c r="G3816" t="str">
        <f>"00358425"</f>
        <v>00358425</v>
      </c>
      <c r="H3816" t="s">
        <v>4706</v>
      </c>
      <c r="I3816">
        <v>0</v>
      </c>
      <c r="J3816">
        <v>0</v>
      </c>
      <c r="K3816">
        <v>0</v>
      </c>
      <c r="L3816">
        <v>0</v>
      </c>
      <c r="M3816">
        <v>0</v>
      </c>
      <c r="N3816">
        <v>0</v>
      </c>
      <c r="O3816">
        <v>0</v>
      </c>
      <c r="P3816">
        <v>0</v>
      </c>
      <c r="Q3816">
        <v>0</v>
      </c>
      <c r="R3816">
        <v>0</v>
      </c>
      <c r="S3816">
        <v>0</v>
      </c>
      <c r="T3816">
        <v>0</v>
      </c>
      <c r="U3816">
        <v>0</v>
      </c>
      <c r="V3816">
        <v>26</v>
      </c>
      <c r="W3816">
        <v>182</v>
      </c>
      <c r="X3816">
        <v>0</v>
      </c>
      <c r="Z3816">
        <v>0</v>
      </c>
      <c r="AA3816">
        <v>0</v>
      </c>
      <c r="AB3816">
        <v>0</v>
      </c>
      <c r="AC3816">
        <v>0</v>
      </c>
      <c r="AD3816" t="s">
        <v>6984</v>
      </c>
    </row>
    <row r="3817" spans="1:30" x14ac:dyDescent="0.25">
      <c r="H3817">
        <v>1250</v>
      </c>
    </row>
    <row r="3818" spans="1:30" x14ac:dyDescent="0.25">
      <c r="A3818">
        <v>1906</v>
      </c>
      <c r="B3818">
        <v>5127</v>
      </c>
      <c r="C3818" t="s">
        <v>3139</v>
      </c>
      <c r="D3818" t="s">
        <v>6985</v>
      </c>
      <c r="E3818" t="s">
        <v>40</v>
      </c>
      <c r="F3818" t="s">
        <v>6986</v>
      </c>
      <c r="G3818" t="str">
        <f>"00241250"</f>
        <v>00241250</v>
      </c>
      <c r="H3818" t="s">
        <v>168</v>
      </c>
      <c r="I3818">
        <v>0</v>
      </c>
      <c r="J3818">
        <v>0</v>
      </c>
      <c r="K3818">
        <v>0</v>
      </c>
      <c r="L3818">
        <v>0</v>
      </c>
      <c r="M3818">
        <v>0</v>
      </c>
      <c r="N3818">
        <v>30</v>
      </c>
      <c r="O3818">
        <v>0</v>
      </c>
      <c r="P3818">
        <v>0</v>
      </c>
      <c r="Q3818">
        <v>0</v>
      </c>
      <c r="R3818">
        <v>0</v>
      </c>
      <c r="S3818">
        <v>0</v>
      </c>
      <c r="T3818">
        <v>0</v>
      </c>
      <c r="U3818">
        <v>0</v>
      </c>
      <c r="V3818">
        <v>0</v>
      </c>
      <c r="W3818">
        <v>0</v>
      </c>
      <c r="X3818">
        <v>0</v>
      </c>
      <c r="Z3818">
        <v>0</v>
      </c>
      <c r="AA3818">
        <v>0</v>
      </c>
      <c r="AB3818">
        <v>0</v>
      </c>
      <c r="AC3818">
        <v>0</v>
      </c>
      <c r="AD3818" t="s">
        <v>6987</v>
      </c>
    </row>
    <row r="3819" spans="1:30" x14ac:dyDescent="0.25">
      <c r="H3819" t="s">
        <v>6988</v>
      </c>
    </row>
    <row r="3820" spans="1:30" x14ac:dyDescent="0.25">
      <c r="A3820">
        <v>1907</v>
      </c>
      <c r="B3820">
        <v>4925</v>
      </c>
      <c r="C3820" t="s">
        <v>6989</v>
      </c>
      <c r="D3820" t="s">
        <v>6990</v>
      </c>
      <c r="E3820" t="s">
        <v>509</v>
      </c>
      <c r="F3820" t="s">
        <v>6991</v>
      </c>
      <c r="G3820" t="str">
        <f>"201402004996"</f>
        <v>201402004996</v>
      </c>
      <c r="H3820" t="s">
        <v>2928</v>
      </c>
      <c r="I3820">
        <v>0</v>
      </c>
      <c r="J3820">
        <v>0</v>
      </c>
      <c r="K3820">
        <v>0</v>
      </c>
      <c r="L3820">
        <v>0</v>
      </c>
      <c r="M3820">
        <v>0</v>
      </c>
      <c r="N3820">
        <v>30</v>
      </c>
      <c r="O3820">
        <v>0</v>
      </c>
      <c r="P3820">
        <v>0</v>
      </c>
      <c r="Q3820">
        <v>0</v>
      </c>
      <c r="R3820">
        <v>0</v>
      </c>
      <c r="S3820">
        <v>0</v>
      </c>
      <c r="T3820">
        <v>0</v>
      </c>
      <c r="U3820">
        <v>0</v>
      </c>
      <c r="V3820">
        <v>9</v>
      </c>
      <c r="W3820">
        <v>63</v>
      </c>
      <c r="X3820">
        <v>0</v>
      </c>
      <c r="Z3820">
        <v>0</v>
      </c>
      <c r="AA3820">
        <v>0</v>
      </c>
      <c r="AB3820">
        <v>0</v>
      </c>
      <c r="AC3820">
        <v>0</v>
      </c>
      <c r="AD3820" t="s">
        <v>6992</v>
      </c>
    </row>
    <row r="3821" spans="1:30" x14ac:dyDescent="0.25">
      <c r="H3821" t="s">
        <v>6993</v>
      </c>
    </row>
    <row r="3822" spans="1:30" x14ac:dyDescent="0.25">
      <c r="A3822">
        <v>1908</v>
      </c>
      <c r="B3822">
        <v>3405</v>
      </c>
      <c r="C3822" t="s">
        <v>6994</v>
      </c>
      <c r="D3822" t="s">
        <v>1502</v>
      </c>
      <c r="E3822" t="s">
        <v>6995</v>
      </c>
      <c r="F3822" t="s">
        <v>6996</v>
      </c>
      <c r="G3822" t="str">
        <f>"00342629"</f>
        <v>00342629</v>
      </c>
      <c r="H3822">
        <v>770</v>
      </c>
      <c r="I3822">
        <v>0</v>
      </c>
      <c r="J3822">
        <v>0</v>
      </c>
      <c r="K3822">
        <v>0</v>
      </c>
      <c r="L3822">
        <v>0</v>
      </c>
      <c r="M3822">
        <v>0</v>
      </c>
      <c r="N3822">
        <v>50</v>
      </c>
      <c r="O3822">
        <v>0</v>
      </c>
      <c r="P3822">
        <v>0</v>
      </c>
      <c r="Q3822">
        <v>0</v>
      </c>
      <c r="R3822">
        <v>0</v>
      </c>
      <c r="S3822">
        <v>0</v>
      </c>
      <c r="T3822">
        <v>0</v>
      </c>
      <c r="U3822">
        <v>0</v>
      </c>
      <c r="V3822">
        <v>0</v>
      </c>
      <c r="W3822">
        <v>0</v>
      </c>
      <c r="X3822">
        <v>0</v>
      </c>
      <c r="Z3822">
        <v>0</v>
      </c>
      <c r="AA3822">
        <v>0</v>
      </c>
      <c r="AB3822">
        <v>0</v>
      </c>
      <c r="AC3822">
        <v>0</v>
      </c>
      <c r="AD3822">
        <v>820</v>
      </c>
    </row>
    <row r="3823" spans="1:30" x14ac:dyDescent="0.25">
      <c r="H3823" t="s">
        <v>6997</v>
      </c>
    </row>
    <row r="3824" spans="1:30" x14ac:dyDescent="0.25">
      <c r="A3824">
        <v>1909</v>
      </c>
      <c r="B3824">
        <v>2033</v>
      </c>
      <c r="C3824" t="s">
        <v>6998</v>
      </c>
      <c r="D3824" t="s">
        <v>46</v>
      </c>
      <c r="E3824" t="s">
        <v>1620</v>
      </c>
      <c r="F3824" t="s">
        <v>6999</v>
      </c>
      <c r="G3824" t="str">
        <f>"00150046"</f>
        <v>00150046</v>
      </c>
      <c r="H3824" t="s">
        <v>264</v>
      </c>
      <c r="I3824">
        <v>0</v>
      </c>
      <c r="J3824">
        <v>0</v>
      </c>
      <c r="K3824">
        <v>0</v>
      </c>
      <c r="L3824">
        <v>0</v>
      </c>
      <c r="M3824">
        <v>0</v>
      </c>
      <c r="N3824">
        <v>30</v>
      </c>
      <c r="O3824">
        <v>0</v>
      </c>
      <c r="P3824">
        <v>0</v>
      </c>
      <c r="Q3824">
        <v>0</v>
      </c>
      <c r="R3824">
        <v>0</v>
      </c>
      <c r="S3824">
        <v>0</v>
      </c>
      <c r="T3824">
        <v>0</v>
      </c>
      <c r="U3824">
        <v>0</v>
      </c>
      <c r="V3824">
        <v>0</v>
      </c>
      <c r="W3824">
        <v>0</v>
      </c>
      <c r="X3824">
        <v>0</v>
      </c>
      <c r="Z3824">
        <v>0</v>
      </c>
      <c r="AA3824">
        <v>0</v>
      </c>
      <c r="AB3824">
        <v>0</v>
      </c>
      <c r="AC3824">
        <v>0</v>
      </c>
      <c r="AD3824" t="s">
        <v>7000</v>
      </c>
    </row>
    <row r="3825" spans="1:30" x14ac:dyDescent="0.25">
      <c r="H3825" t="s">
        <v>7001</v>
      </c>
    </row>
    <row r="3826" spans="1:30" x14ac:dyDescent="0.25">
      <c r="A3826">
        <v>1910</v>
      </c>
      <c r="B3826">
        <v>4004</v>
      </c>
      <c r="C3826" t="s">
        <v>7002</v>
      </c>
      <c r="D3826" t="s">
        <v>98</v>
      </c>
      <c r="E3826" t="s">
        <v>47</v>
      </c>
      <c r="F3826" t="s">
        <v>7003</v>
      </c>
      <c r="G3826" t="str">
        <f>"00362731"</f>
        <v>00362731</v>
      </c>
      <c r="H3826" t="s">
        <v>264</v>
      </c>
      <c r="I3826">
        <v>0</v>
      </c>
      <c r="J3826">
        <v>0</v>
      </c>
      <c r="K3826">
        <v>0</v>
      </c>
      <c r="L3826">
        <v>0</v>
      </c>
      <c r="M3826">
        <v>0</v>
      </c>
      <c r="N3826">
        <v>30</v>
      </c>
      <c r="O3826">
        <v>0</v>
      </c>
      <c r="P3826">
        <v>0</v>
      </c>
      <c r="Q3826">
        <v>0</v>
      </c>
      <c r="R3826">
        <v>0</v>
      </c>
      <c r="S3826">
        <v>0</v>
      </c>
      <c r="T3826">
        <v>0</v>
      </c>
      <c r="U3826">
        <v>0</v>
      </c>
      <c r="V3826">
        <v>0</v>
      </c>
      <c r="W3826">
        <v>0</v>
      </c>
      <c r="X3826">
        <v>0</v>
      </c>
      <c r="Z3826">
        <v>0</v>
      </c>
      <c r="AA3826">
        <v>0</v>
      </c>
      <c r="AB3826">
        <v>0</v>
      </c>
      <c r="AC3826">
        <v>0</v>
      </c>
      <c r="AD3826" t="s">
        <v>7000</v>
      </c>
    </row>
    <row r="3827" spans="1:30" x14ac:dyDescent="0.25">
      <c r="H3827" t="s">
        <v>1758</v>
      </c>
    </row>
    <row r="3828" spans="1:30" x14ac:dyDescent="0.25">
      <c r="A3828">
        <v>1911</v>
      </c>
      <c r="B3828">
        <v>3643</v>
      </c>
      <c r="C3828" t="s">
        <v>3174</v>
      </c>
      <c r="D3828" t="s">
        <v>595</v>
      </c>
      <c r="E3828" t="s">
        <v>107</v>
      </c>
      <c r="F3828" t="s">
        <v>7004</v>
      </c>
      <c r="G3828" t="str">
        <f>"00290968"</f>
        <v>00290968</v>
      </c>
      <c r="H3828" t="s">
        <v>369</v>
      </c>
      <c r="I3828">
        <v>0</v>
      </c>
      <c r="J3828">
        <v>0</v>
      </c>
      <c r="K3828">
        <v>0</v>
      </c>
      <c r="L3828">
        <v>0</v>
      </c>
      <c r="M3828">
        <v>0</v>
      </c>
      <c r="N3828">
        <v>30</v>
      </c>
      <c r="O3828">
        <v>0</v>
      </c>
      <c r="P3828">
        <v>0</v>
      </c>
      <c r="Q3828">
        <v>0</v>
      </c>
      <c r="R3828">
        <v>0</v>
      </c>
      <c r="S3828">
        <v>0</v>
      </c>
      <c r="T3828">
        <v>0</v>
      </c>
      <c r="U3828">
        <v>0</v>
      </c>
      <c r="V3828">
        <v>19</v>
      </c>
      <c r="W3828">
        <v>133</v>
      </c>
      <c r="X3828">
        <v>0</v>
      </c>
      <c r="Z3828">
        <v>0</v>
      </c>
      <c r="AA3828">
        <v>0</v>
      </c>
      <c r="AB3828">
        <v>0</v>
      </c>
      <c r="AC3828">
        <v>0</v>
      </c>
      <c r="AD3828" t="s">
        <v>7005</v>
      </c>
    </row>
    <row r="3829" spans="1:30" x14ac:dyDescent="0.25">
      <c r="H3829" t="s">
        <v>7006</v>
      </c>
    </row>
    <row r="3830" spans="1:30" x14ac:dyDescent="0.25">
      <c r="A3830">
        <v>1912</v>
      </c>
      <c r="B3830">
        <v>2593</v>
      </c>
      <c r="C3830" t="s">
        <v>7007</v>
      </c>
      <c r="D3830" t="s">
        <v>2713</v>
      </c>
      <c r="E3830" t="s">
        <v>47</v>
      </c>
      <c r="F3830" t="s">
        <v>7008</v>
      </c>
      <c r="G3830" t="str">
        <f>"200801010569"</f>
        <v>200801010569</v>
      </c>
      <c r="H3830" t="s">
        <v>1695</v>
      </c>
      <c r="I3830">
        <v>0</v>
      </c>
      <c r="J3830">
        <v>0</v>
      </c>
      <c r="K3830">
        <v>0</v>
      </c>
      <c r="L3830">
        <v>0</v>
      </c>
      <c r="M3830">
        <v>0</v>
      </c>
      <c r="N3830">
        <v>50</v>
      </c>
      <c r="O3830">
        <v>0</v>
      </c>
      <c r="P3830">
        <v>0</v>
      </c>
      <c r="Q3830">
        <v>0</v>
      </c>
      <c r="R3830">
        <v>0</v>
      </c>
      <c r="S3830">
        <v>0</v>
      </c>
      <c r="T3830">
        <v>0</v>
      </c>
      <c r="U3830">
        <v>0</v>
      </c>
      <c r="V3830">
        <v>18</v>
      </c>
      <c r="W3830">
        <v>126</v>
      </c>
      <c r="X3830">
        <v>6</v>
      </c>
      <c r="Y3830">
        <v>1251</v>
      </c>
      <c r="Z3830">
        <v>2</v>
      </c>
      <c r="AA3830">
        <v>0</v>
      </c>
      <c r="AB3830">
        <v>0</v>
      </c>
      <c r="AC3830">
        <v>0</v>
      </c>
      <c r="AD3830" t="s">
        <v>6219</v>
      </c>
    </row>
    <row r="3831" spans="1:30" x14ac:dyDescent="0.25">
      <c r="H3831">
        <v>1251</v>
      </c>
    </row>
    <row r="3832" spans="1:30" x14ac:dyDescent="0.25">
      <c r="A3832">
        <v>1913</v>
      </c>
      <c r="B3832">
        <v>886</v>
      </c>
      <c r="C3832" t="s">
        <v>899</v>
      </c>
      <c r="D3832" t="s">
        <v>7009</v>
      </c>
      <c r="E3832" t="s">
        <v>33</v>
      </c>
      <c r="F3832" t="s">
        <v>7010</v>
      </c>
      <c r="G3832" t="str">
        <f>"200802010724"</f>
        <v>200802010724</v>
      </c>
      <c r="H3832" t="s">
        <v>241</v>
      </c>
      <c r="I3832">
        <v>0</v>
      </c>
      <c r="J3832">
        <v>0</v>
      </c>
      <c r="K3832">
        <v>0</v>
      </c>
      <c r="L3832">
        <v>0</v>
      </c>
      <c r="M3832">
        <v>0</v>
      </c>
      <c r="N3832">
        <v>30</v>
      </c>
      <c r="O3832">
        <v>0</v>
      </c>
      <c r="P3832">
        <v>0</v>
      </c>
      <c r="Q3832">
        <v>0</v>
      </c>
      <c r="R3832">
        <v>0</v>
      </c>
      <c r="S3832">
        <v>0</v>
      </c>
      <c r="T3832">
        <v>0</v>
      </c>
      <c r="U3832">
        <v>0</v>
      </c>
      <c r="V3832">
        <v>10</v>
      </c>
      <c r="W3832">
        <v>70</v>
      </c>
      <c r="X3832">
        <v>0</v>
      </c>
      <c r="Z3832">
        <v>0</v>
      </c>
      <c r="AA3832">
        <v>0</v>
      </c>
      <c r="AB3832">
        <v>0</v>
      </c>
      <c r="AC3832">
        <v>0</v>
      </c>
      <c r="AD3832" t="s">
        <v>7011</v>
      </c>
    </row>
    <row r="3833" spans="1:30" x14ac:dyDescent="0.25">
      <c r="H3833" t="s">
        <v>7012</v>
      </c>
    </row>
    <row r="3834" spans="1:30" x14ac:dyDescent="0.25">
      <c r="A3834">
        <v>1914</v>
      </c>
      <c r="B3834">
        <v>2939</v>
      </c>
      <c r="C3834" t="s">
        <v>7013</v>
      </c>
      <c r="D3834" t="s">
        <v>162</v>
      </c>
      <c r="E3834" t="s">
        <v>39</v>
      </c>
      <c r="F3834" t="s">
        <v>7014</v>
      </c>
      <c r="G3834" t="str">
        <f>"201411001221"</f>
        <v>201411001221</v>
      </c>
      <c r="H3834" t="s">
        <v>293</v>
      </c>
      <c r="I3834">
        <v>0</v>
      </c>
      <c r="J3834">
        <v>0</v>
      </c>
      <c r="K3834">
        <v>0</v>
      </c>
      <c r="L3834">
        <v>0</v>
      </c>
      <c r="M3834">
        <v>0</v>
      </c>
      <c r="N3834">
        <v>0</v>
      </c>
      <c r="O3834">
        <v>0</v>
      </c>
      <c r="P3834">
        <v>0</v>
      </c>
      <c r="Q3834">
        <v>0</v>
      </c>
      <c r="R3834">
        <v>0</v>
      </c>
      <c r="S3834">
        <v>0</v>
      </c>
      <c r="T3834">
        <v>0</v>
      </c>
      <c r="U3834">
        <v>0</v>
      </c>
      <c r="V3834">
        <v>0</v>
      </c>
      <c r="W3834">
        <v>0</v>
      </c>
      <c r="X3834">
        <v>0</v>
      </c>
      <c r="Z3834">
        <v>0</v>
      </c>
      <c r="AA3834">
        <v>0</v>
      </c>
      <c r="AB3834">
        <v>5</v>
      </c>
      <c r="AC3834">
        <v>85</v>
      </c>
      <c r="AD3834" t="s">
        <v>7015</v>
      </c>
    </row>
    <row r="3835" spans="1:30" x14ac:dyDescent="0.25">
      <c r="H3835" t="s">
        <v>7016</v>
      </c>
    </row>
    <row r="3836" spans="1:30" x14ac:dyDescent="0.25">
      <c r="A3836">
        <v>1915</v>
      </c>
      <c r="B3836">
        <v>3603</v>
      </c>
      <c r="C3836" t="s">
        <v>7017</v>
      </c>
      <c r="D3836" t="s">
        <v>474</v>
      </c>
      <c r="E3836" t="s">
        <v>162</v>
      </c>
      <c r="F3836" t="s">
        <v>7018</v>
      </c>
      <c r="G3836" t="str">
        <f>"201002000433"</f>
        <v>201002000433</v>
      </c>
      <c r="H3836" t="s">
        <v>422</v>
      </c>
      <c r="I3836">
        <v>0</v>
      </c>
      <c r="J3836">
        <v>0</v>
      </c>
      <c r="K3836">
        <v>0</v>
      </c>
      <c r="L3836">
        <v>0</v>
      </c>
      <c r="M3836">
        <v>100</v>
      </c>
      <c r="N3836">
        <v>30</v>
      </c>
      <c r="O3836">
        <v>0</v>
      </c>
      <c r="P3836">
        <v>0</v>
      </c>
      <c r="Q3836">
        <v>0</v>
      </c>
      <c r="R3836">
        <v>0</v>
      </c>
      <c r="S3836">
        <v>0</v>
      </c>
      <c r="T3836">
        <v>0</v>
      </c>
      <c r="U3836">
        <v>0</v>
      </c>
      <c r="V3836">
        <v>0</v>
      </c>
      <c r="W3836">
        <v>0</v>
      </c>
      <c r="X3836">
        <v>0</v>
      </c>
      <c r="Z3836">
        <v>0</v>
      </c>
      <c r="AA3836">
        <v>0</v>
      </c>
      <c r="AB3836">
        <v>0</v>
      </c>
      <c r="AC3836">
        <v>0</v>
      </c>
      <c r="AD3836" t="s">
        <v>7019</v>
      </c>
    </row>
    <row r="3837" spans="1:30" x14ac:dyDescent="0.25">
      <c r="H3837" t="s">
        <v>7020</v>
      </c>
    </row>
    <row r="3838" spans="1:30" x14ac:dyDescent="0.25">
      <c r="A3838">
        <v>1916</v>
      </c>
      <c r="B3838">
        <v>3071</v>
      </c>
      <c r="C3838" t="s">
        <v>7021</v>
      </c>
      <c r="D3838" t="s">
        <v>7022</v>
      </c>
      <c r="E3838" t="s">
        <v>1502</v>
      </c>
      <c r="F3838" t="s">
        <v>7023</v>
      </c>
      <c r="G3838" t="str">
        <f>"00223337"</f>
        <v>00223337</v>
      </c>
      <c r="H3838" t="s">
        <v>1572</v>
      </c>
      <c r="I3838">
        <v>0</v>
      </c>
      <c r="J3838">
        <v>0</v>
      </c>
      <c r="K3838">
        <v>0</v>
      </c>
      <c r="L3838">
        <v>0</v>
      </c>
      <c r="M3838">
        <v>0</v>
      </c>
      <c r="N3838">
        <v>50</v>
      </c>
      <c r="O3838">
        <v>50</v>
      </c>
      <c r="P3838">
        <v>0</v>
      </c>
      <c r="Q3838">
        <v>0</v>
      </c>
      <c r="R3838">
        <v>0</v>
      </c>
      <c r="S3838">
        <v>0</v>
      </c>
      <c r="T3838">
        <v>0</v>
      </c>
      <c r="U3838">
        <v>0</v>
      </c>
      <c r="V3838">
        <v>0</v>
      </c>
      <c r="W3838">
        <v>0</v>
      </c>
      <c r="X3838">
        <v>0</v>
      </c>
      <c r="Z3838">
        <v>0</v>
      </c>
      <c r="AA3838">
        <v>0</v>
      </c>
      <c r="AB3838">
        <v>0</v>
      </c>
      <c r="AC3838">
        <v>0</v>
      </c>
      <c r="AD3838" t="s">
        <v>7024</v>
      </c>
    </row>
    <row r="3839" spans="1:30" x14ac:dyDescent="0.25">
      <c r="H3839" t="s">
        <v>451</v>
      </c>
    </row>
    <row r="3840" spans="1:30" x14ac:dyDescent="0.25">
      <c r="A3840">
        <v>1917</v>
      </c>
      <c r="B3840">
        <v>497</v>
      </c>
      <c r="C3840" t="s">
        <v>7025</v>
      </c>
      <c r="D3840" t="s">
        <v>196</v>
      </c>
      <c r="E3840" t="s">
        <v>7026</v>
      </c>
      <c r="F3840" t="s">
        <v>7027</v>
      </c>
      <c r="G3840" t="str">
        <f>"00279303"</f>
        <v>00279303</v>
      </c>
      <c r="H3840" t="s">
        <v>1572</v>
      </c>
      <c r="I3840">
        <v>0</v>
      </c>
      <c r="J3840">
        <v>0</v>
      </c>
      <c r="K3840">
        <v>0</v>
      </c>
      <c r="L3840">
        <v>0</v>
      </c>
      <c r="M3840">
        <v>0</v>
      </c>
      <c r="N3840">
        <v>50</v>
      </c>
      <c r="O3840">
        <v>50</v>
      </c>
      <c r="P3840">
        <v>0</v>
      </c>
      <c r="Q3840">
        <v>0</v>
      </c>
      <c r="R3840">
        <v>0</v>
      </c>
      <c r="S3840">
        <v>0</v>
      </c>
      <c r="T3840">
        <v>0</v>
      </c>
      <c r="U3840">
        <v>0</v>
      </c>
      <c r="V3840">
        <v>0</v>
      </c>
      <c r="W3840">
        <v>0</v>
      </c>
      <c r="X3840">
        <v>0</v>
      </c>
      <c r="Z3840">
        <v>2</v>
      </c>
      <c r="AA3840">
        <v>0</v>
      </c>
      <c r="AB3840">
        <v>0</v>
      </c>
      <c r="AC3840">
        <v>0</v>
      </c>
      <c r="AD3840" t="s">
        <v>7024</v>
      </c>
    </row>
    <row r="3841" spans="1:30" x14ac:dyDescent="0.25">
      <c r="H3841" t="s">
        <v>521</v>
      </c>
    </row>
    <row r="3842" spans="1:30" x14ac:dyDescent="0.25">
      <c r="A3842">
        <v>1918</v>
      </c>
      <c r="B3842">
        <v>5269</v>
      </c>
      <c r="C3842" t="s">
        <v>7028</v>
      </c>
      <c r="D3842" t="s">
        <v>183</v>
      </c>
      <c r="E3842" t="s">
        <v>40</v>
      </c>
      <c r="F3842" t="s">
        <v>7029</v>
      </c>
      <c r="G3842" t="str">
        <f>"00365647"</f>
        <v>00365647</v>
      </c>
      <c r="H3842" t="s">
        <v>2534</v>
      </c>
      <c r="I3842">
        <v>0</v>
      </c>
      <c r="J3842">
        <v>0</v>
      </c>
      <c r="K3842">
        <v>0</v>
      </c>
      <c r="L3842">
        <v>0</v>
      </c>
      <c r="M3842">
        <v>0</v>
      </c>
      <c r="N3842">
        <v>70</v>
      </c>
      <c r="O3842">
        <v>0</v>
      </c>
      <c r="P3842">
        <v>0</v>
      </c>
      <c r="Q3842">
        <v>0</v>
      </c>
      <c r="R3842">
        <v>0</v>
      </c>
      <c r="S3842">
        <v>0</v>
      </c>
      <c r="T3842">
        <v>0</v>
      </c>
      <c r="U3842">
        <v>0</v>
      </c>
      <c r="V3842">
        <v>-12</v>
      </c>
      <c r="W3842">
        <v>-84</v>
      </c>
      <c r="X3842">
        <v>0</v>
      </c>
      <c r="Z3842">
        <v>0</v>
      </c>
      <c r="AA3842">
        <v>0</v>
      </c>
      <c r="AB3842">
        <v>12</v>
      </c>
      <c r="AC3842">
        <v>204</v>
      </c>
      <c r="AD3842" t="s">
        <v>7030</v>
      </c>
    </row>
    <row r="3843" spans="1:30" x14ac:dyDescent="0.25">
      <c r="H3843" t="s">
        <v>7031</v>
      </c>
    </row>
    <row r="3844" spans="1:30" x14ac:dyDescent="0.25">
      <c r="A3844">
        <v>1919</v>
      </c>
      <c r="B3844">
        <v>1320</v>
      </c>
      <c r="C3844" t="s">
        <v>7032</v>
      </c>
      <c r="D3844" t="s">
        <v>482</v>
      </c>
      <c r="E3844" t="s">
        <v>309</v>
      </c>
      <c r="F3844" t="s">
        <v>7033</v>
      </c>
      <c r="G3844" t="str">
        <f>"00305492"</f>
        <v>00305492</v>
      </c>
      <c r="H3844" t="s">
        <v>1949</v>
      </c>
      <c r="I3844">
        <v>0</v>
      </c>
      <c r="J3844">
        <v>0</v>
      </c>
      <c r="K3844">
        <v>0</v>
      </c>
      <c r="L3844">
        <v>0</v>
      </c>
      <c r="M3844">
        <v>0</v>
      </c>
      <c r="N3844">
        <v>30</v>
      </c>
      <c r="O3844">
        <v>0</v>
      </c>
      <c r="P3844">
        <v>0</v>
      </c>
      <c r="Q3844">
        <v>0</v>
      </c>
      <c r="R3844">
        <v>0</v>
      </c>
      <c r="S3844">
        <v>0</v>
      </c>
      <c r="T3844">
        <v>0</v>
      </c>
      <c r="U3844">
        <v>0</v>
      </c>
      <c r="V3844">
        <v>9</v>
      </c>
      <c r="W3844">
        <v>63</v>
      </c>
      <c r="X3844">
        <v>0</v>
      </c>
      <c r="Z3844">
        <v>0</v>
      </c>
      <c r="AA3844">
        <v>0</v>
      </c>
      <c r="AB3844">
        <v>0</v>
      </c>
      <c r="AC3844">
        <v>0</v>
      </c>
      <c r="AD3844" t="s">
        <v>7034</v>
      </c>
    </row>
    <row r="3845" spans="1:30" x14ac:dyDescent="0.25">
      <c r="H3845" t="s">
        <v>1758</v>
      </c>
    </row>
    <row r="3846" spans="1:30" x14ac:dyDescent="0.25">
      <c r="A3846">
        <v>1920</v>
      </c>
      <c r="B3846">
        <v>1186</v>
      </c>
      <c r="C3846" t="s">
        <v>7035</v>
      </c>
      <c r="D3846" t="s">
        <v>373</v>
      </c>
      <c r="E3846" t="s">
        <v>1276</v>
      </c>
      <c r="F3846" t="s">
        <v>7036</v>
      </c>
      <c r="G3846" t="str">
        <f>"00143264"</f>
        <v>00143264</v>
      </c>
      <c r="H3846" t="s">
        <v>1294</v>
      </c>
      <c r="I3846">
        <v>0</v>
      </c>
      <c r="J3846">
        <v>0</v>
      </c>
      <c r="K3846">
        <v>0</v>
      </c>
      <c r="L3846">
        <v>0</v>
      </c>
      <c r="M3846">
        <v>0</v>
      </c>
      <c r="N3846">
        <v>30</v>
      </c>
      <c r="O3846">
        <v>0</v>
      </c>
      <c r="P3846">
        <v>0</v>
      </c>
      <c r="Q3846">
        <v>0</v>
      </c>
      <c r="R3846">
        <v>0</v>
      </c>
      <c r="S3846">
        <v>0</v>
      </c>
      <c r="T3846">
        <v>0</v>
      </c>
      <c r="U3846">
        <v>0</v>
      </c>
      <c r="V3846">
        <v>14</v>
      </c>
      <c r="W3846">
        <v>98</v>
      </c>
      <c r="X3846">
        <v>0</v>
      </c>
      <c r="Z3846">
        <v>0</v>
      </c>
      <c r="AA3846">
        <v>0</v>
      </c>
      <c r="AB3846">
        <v>0</v>
      </c>
      <c r="AC3846">
        <v>0</v>
      </c>
      <c r="AD3846" t="s">
        <v>7037</v>
      </c>
    </row>
    <row r="3847" spans="1:30" x14ac:dyDescent="0.25">
      <c r="H3847" t="s">
        <v>7038</v>
      </c>
    </row>
    <row r="3848" spans="1:30" x14ac:dyDescent="0.25">
      <c r="A3848">
        <v>1921</v>
      </c>
      <c r="B3848">
        <v>5321</v>
      </c>
      <c r="C3848" t="s">
        <v>7039</v>
      </c>
      <c r="D3848" t="s">
        <v>4272</v>
      </c>
      <c r="E3848" t="s">
        <v>968</v>
      </c>
      <c r="F3848" t="s">
        <v>7040</v>
      </c>
      <c r="G3848" t="str">
        <f>"00200057"</f>
        <v>00200057</v>
      </c>
      <c r="H3848" t="s">
        <v>1101</v>
      </c>
      <c r="I3848">
        <v>0</v>
      </c>
      <c r="J3848">
        <v>0</v>
      </c>
      <c r="K3848">
        <v>0</v>
      </c>
      <c r="L3848">
        <v>0</v>
      </c>
      <c r="M3848">
        <v>0</v>
      </c>
      <c r="N3848">
        <v>70</v>
      </c>
      <c r="O3848">
        <v>0</v>
      </c>
      <c r="P3848">
        <v>0</v>
      </c>
      <c r="Q3848">
        <v>0</v>
      </c>
      <c r="R3848">
        <v>0</v>
      </c>
      <c r="S3848">
        <v>0</v>
      </c>
      <c r="T3848">
        <v>0</v>
      </c>
      <c r="U3848">
        <v>0</v>
      </c>
      <c r="V3848">
        <v>-6</v>
      </c>
      <c r="W3848">
        <v>-42</v>
      </c>
      <c r="X3848">
        <v>0</v>
      </c>
      <c r="Z3848">
        <v>0</v>
      </c>
      <c r="AA3848">
        <v>0</v>
      </c>
      <c r="AB3848">
        <v>6</v>
      </c>
      <c r="AC3848">
        <v>102</v>
      </c>
      <c r="AD3848" t="s">
        <v>7041</v>
      </c>
    </row>
    <row r="3849" spans="1:30" x14ac:dyDescent="0.25">
      <c r="H3849" t="s">
        <v>7042</v>
      </c>
    </row>
    <row r="3850" spans="1:30" x14ac:dyDescent="0.25">
      <c r="A3850">
        <v>1922</v>
      </c>
      <c r="B3850">
        <v>5325</v>
      </c>
      <c r="C3850" t="s">
        <v>7043</v>
      </c>
      <c r="D3850" t="s">
        <v>869</v>
      </c>
      <c r="E3850" t="s">
        <v>509</v>
      </c>
      <c r="F3850" t="s">
        <v>7044</v>
      </c>
      <c r="G3850" t="str">
        <f>"00366721"</f>
        <v>00366721</v>
      </c>
      <c r="H3850" t="s">
        <v>1261</v>
      </c>
      <c r="I3850">
        <v>0</v>
      </c>
      <c r="J3850">
        <v>0</v>
      </c>
      <c r="K3850">
        <v>0</v>
      </c>
      <c r="L3850">
        <v>0</v>
      </c>
      <c r="M3850">
        <v>0</v>
      </c>
      <c r="N3850">
        <v>0</v>
      </c>
      <c r="O3850">
        <v>0</v>
      </c>
      <c r="P3850">
        <v>0</v>
      </c>
      <c r="Q3850">
        <v>0</v>
      </c>
      <c r="R3850">
        <v>0</v>
      </c>
      <c r="S3850">
        <v>0</v>
      </c>
      <c r="T3850">
        <v>0</v>
      </c>
      <c r="U3850">
        <v>0</v>
      </c>
      <c r="V3850">
        <v>0</v>
      </c>
      <c r="W3850">
        <v>0</v>
      </c>
      <c r="X3850">
        <v>0</v>
      </c>
      <c r="Z3850">
        <v>1</v>
      </c>
      <c r="AA3850">
        <v>0</v>
      </c>
      <c r="AB3850">
        <v>9</v>
      </c>
      <c r="AC3850">
        <v>153</v>
      </c>
      <c r="AD3850" t="s">
        <v>7045</v>
      </c>
    </row>
    <row r="3851" spans="1:30" x14ac:dyDescent="0.25">
      <c r="H3851" t="s">
        <v>521</v>
      </c>
    </row>
    <row r="3852" spans="1:30" x14ac:dyDescent="0.25">
      <c r="A3852">
        <v>1923</v>
      </c>
      <c r="B3852">
        <v>936</v>
      </c>
      <c r="C3852" t="s">
        <v>3966</v>
      </c>
      <c r="D3852" t="s">
        <v>86</v>
      </c>
      <c r="E3852" t="s">
        <v>224</v>
      </c>
      <c r="F3852" t="s">
        <v>3967</v>
      </c>
      <c r="G3852" t="str">
        <f>"201402008298"</f>
        <v>201402008298</v>
      </c>
      <c r="H3852">
        <v>616</v>
      </c>
      <c r="I3852">
        <v>0</v>
      </c>
      <c r="J3852">
        <v>0</v>
      </c>
      <c r="K3852">
        <v>0</v>
      </c>
      <c r="L3852">
        <v>0</v>
      </c>
      <c r="M3852">
        <v>130</v>
      </c>
      <c r="N3852">
        <v>70</v>
      </c>
      <c r="O3852">
        <v>0</v>
      </c>
      <c r="P3852">
        <v>0</v>
      </c>
      <c r="Q3852">
        <v>0</v>
      </c>
      <c r="R3852">
        <v>0</v>
      </c>
      <c r="S3852">
        <v>0</v>
      </c>
      <c r="T3852">
        <v>0</v>
      </c>
      <c r="U3852">
        <v>0</v>
      </c>
      <c r="V3852">
        <v>0</v>
      </c>
      <c r="W3852">
        <v>0</v>
      </c>
      <c r="X3852">
        <v>0</v>
      </c>
      <c r="Z3852">
        <v>2</v>
      </c>
      <c r="AA3852">
        <v>0</v>
      </c>
      <c r="AB3852">
        <v>0</v>
      </c>
      <c r="AC3852">
        <v>0</v>
      </c>
      <c r="AD3852">
        <v>816</v>
      </c>
    </row>
    <row r="3853" spans="1:30" x14ac:dyDescent="0.25">
      <c r="H3853" t="s">
        <v>3968</v>
      </c>
    </row>
    <row r="3854" spans="1:30" x14ac:dyDescent="0.25">
      <c r="A3854">
        <v>1924</v>
      </c>
      <c r="B3854">
        <v>3543</v>
      </c>
      <c r="C3854" t="s">
        <v>7046</v>
      </c>
      <c r="D3854" t="s">
        <v>373</v>
      </c>
      <c r="E3854" t="s">
        <v>904</v>
      </c>
      <c r="F3854" t="s">
        <v>7047</v>
      </c>
      <c r="G3854" t="str">
        <f>"00346555"</f>
        <v>00346555</v>
      </c>
      <c r="H3854" t="s">
        <v>690</v>
      </c>
      <c r="I3854">
        <v>0</v>
      </c>
      <c r="J3854">
        <v>0</v>
      </c>
      <c r="K3854">
        <v>0</v>
      </c>
      <c r="L3854">
        <v>0</v>
      </c>
      <c r="M3854">
        <v>0</v>
      </c>
      <c r="N3854">
        <v>50</v>
      </c>
      <c r="O3854">
        <v>0</v>
      </c>
      <c r="P3854">
        <v>0</v>
      </c>
      <c r="Q3854">
        <v>0</v>
      </c>
      <c r="R3854">
        <v>0</v>
      </c>
      <c r="S3854">
        <v>0</v>
      </c>
      <c r="T3854">
        <v>0</v>
      </c>
      <c r="U3854">
        <v>0</v>
      </c>
      <c r="V3854">
        <v>0</v>
      </c>
      <c r="W3854">
        <v>0</v>
      </c>
      <c r="X3854">
        <v>0</v>
      </c>
      <c r="Z3854">
        <v>0</v>
      </c>
      <c r="AA3854">
        <v>0</v>
      </c>
      <c r="AB3854">
        <v>0</v>
      </c>
      <c r="AC3854">
        <v>0</v>
      </c>
      <c r="AD3854" t="s">
        <v>7048</v>
      </c>
    </row>
    <row r="3855" spans="1:30" x14ac:dyDescent="0.25">
      <c r="H3855" t="s">
        <v>7049</v>
      </c>
    </row>
    <row r="3856" spans="1:30" x14ac:dyDescent="0.25">
      <c r="A3856">
        <v>1925</v>
      </c>
      <c r="B3856">
        <v>6082</v>
      </c>
      <c r="C3856" t="s">
        <v>304</v>
      </c>
      <c r="D3856" t="s">
        <v>335</v>
      </c>
      <c r="E3856" t="s">
        <v>40</v>
      </c>
      <c r="F3856" t="s">
        <v>7050</v>
      </c>
      <c r="G3856" t="str">
        <f>"00278609"</f>
        <v>00278609</v>
      </c>
      <c r="H3856" t="s">
        <v>622</v>
      </c>
      <c r="I3856">
        <v>0</v>
      </c>
      <c r="J3856">
        <v>0</v>
      </c>
      <c r="K3856">
        <v>0</v>
      </c>
      <c r="L3856">
        <v>0</v>
      </c>
      <c r="M3856">
        <v>0</v>
      </c>
      <c r="N3856">
        <v>30</v>
      </c>
      <c r="O3856">
        <v>0</v>
      </c>
      <c r="P3856">
        <v>0</v>
      </c>
      <c r="Q3856">
        <v>0</v>
      </c>
      <c r="R3856">
        <v>0</v>
      </c>
      <c r="S3856">
        <v>0</v>
      </c>
      <c r="T3856">
        <v>0</v>
      </c>
      <c r="U3856">
        <v>0</v>
      </c>
      <c r="V3856">
        <v>0</v>
      </c>
      <c r="W3856">
        <v>0</v>
      </c>
      <c r="X3856">
        <v>0</v>
      </c>
      <c r="Z3856">
        <v>0</v>
      </c>
      <c r="AA3856">
        <v>0</v>
      </c>
      <c r="AB3856">
        <v>0</v>
      </c>
      <c r="AC3856">
        <v>0</v>
      </c>
      <c r="AD3856" t="s">
        <v>7051</v>
      </c>
    </row>
    <row r="3857" spans="1:30" x14ac:dyDescent="0.25">
      <c r="H3857" t="s">
        <v>521</v>
      </c>
    </row>
    <row r="3858" spans="1:30" x14ac:dyDescent="0.25">
      <c r="A3858">
        <v>1926</v>
      </c>
      <c r="B3858">
        <v>6292</v>
      </c>
      <c r="C3858" t="s">
        <v>7052</v>
      </c>
      <c r="D3858" t="s">
        <v>5216</v>
      </c>
      <c r="E3858" t="s">
        <v>7053</v>
      </c>
      <c r="F3858" t="s">
        <v>7054</v>
      </c>
      <c r="G3858" t="str">
        <f>"00344512"</f>
        <v>00344512</v>
      </c>
      <c r="H3858" t="s">
        <v>6798</v>
      </c>
      <c r="I3858">
        <v>0</v>
      </c>
      <c r="J3858">
        <v>0</v>
      </c>
      <c r="K3858">
        <v>0</v>
      </c>
      <c r="L3858">
        <v>0</v>
      </c>
      <c r="M3858">
        <v>0</v>
      </c>
      <c r="N3858">
        <v>0</v>
      </c>
      <c r="O3858">
        <v>0</v>
      </c>
      <c r="P3858">
        <v>0</v>
      </c>
      <c r="Q3858">
        <v>0</v>
      </c>
      <c r="R3858">
        <v>0</v>
      </c>
      <c r="S3858">
        <v>0</v>
      </c>
      <c r="T3858">
        <v>0</v>
      </c>
      <c r="U3858">
        <v>0</v>
      </c>
      <c r="V3858">
        <v>0</v>
      </c>
      <c r="W3858">
        <v>0</v>
      </c>
      <c r="X3858">
        <v>0</v>
      </c>
      <c r="Z3858">
        <v>0</v>
      </c>
      <c r="AA3858">
        <v>0</v>
      </c>
      <c r="AB3858">
        <v>0</v>
      </c>
      <c r="AC3858">
        <v>0</v>
      </c>
      <c r="AD3858" t="s">
        <v>6798</v>
      </c>
    </row>
    <row r="3859" spans="1:30" x14ac:dyDescent="0.25">
      <c r="H3859" t="s">
        <v>7055</v>
      </c>
    </row>
    <row r="3860" spans="1:30" x14ac:dyDescent="0.25">
      <c r="A3860">
        <v>1927</v>
      </c>
      <c r="B3860">
        <v>1336</v>
      </c>
      <c r="C3860" t="s">
        <v>7056</v>
      </c>
      <c r="D3860" t="s">
        <v>40</v>
      </c>
      <c r="E3860" t="s">
        <v>183</v>
      </c>
      <c r="F3860" t="s">
        <v>7057</v>
      </c>
      <c r="G3860" t="str">
        <f>"00026323"</f>
        <v>00026323</v>
      </c>
      <c r="H3860" t="s">
        <v>436</v>
      </c>
      <c r="I3860">
        <v>0</v>
      </c>
      <c r="J3860">
        <v>0</v>
      </c>
      <c r="K3860">
        <v>0</v>
      </c>
      <c r="L3860">
        <v>0</v>
      </c>
      <c r="M3860">
        <v>0</v>
      </c>
      <c r="N3860">
        <v>30</v>
      </c>
      <c r="O3860">
        <v>0</v>
      </c>
      <c r="P3860">
        <v>0</v>
      </c>
      <c r="Q3860">
        <v>0</v>
      </c>
      <c r="R3860">
        <v>0</v>
      </c>
      <c r="S3860">
        <v>0</v>
      </c>
      <c r="T3860">
        <v>0</v>
      </c>
      <c r="U3860">
        <v>0</v>
      </c>
      <c r="V3860">
        <v>0</v>
      </c>
      <c r="W3860">
        <v>0</v>
      </c>
      <c r="X3860">
        <v>0</v>
      </c>
      <c r="Z3860">
        <v>0</v>
      </c>
      <c r="AA3860">
        <v>0</v>
      </c>
      <c r="AB3860">
        <v>7</v>
      </c>
      <c r="AC3860">
        <v>119</v>
      </c>
      <c r="AD3860" t="s">
        <v>7058</v>
      </c>
    </row>
    <row r="3861" spans="1:30" x14ac:dyDescent="0.25">
      <c r="H3861" t="s">
        <v>7059</v>
      </c>
    </row>
    <row r="3862" spans="1:30" x14ac:dyDescent="0.25">
      <c r="A3862">
        <v>1928</v>
      </c>
      <c r="B3862">
        <v>2182</v>
      </c>
      <c r="C3862" t="s">
        <v>5345</v>
      </c>
      <c r="D3862" t="s">
        <v>150</v>
      </c>
      <c r="E3862" t="s">
        <v>33</v>
      </c>
      <c r="F3862" t="s">
        <v>7060</v>
      </c>
      <c r="G3862" t="str">
        <f>"00322743"</f>
        <v>00322743</v>
      </c>
      <c r="H3862" t="s">
        <v>110</v>
      </c>
      <c r="I3862">
        <v>0</v>
      </c>
      <c r="J3862">
        <v>0</v>
      </c>
      <c r="K3862">
        <v>0</v>
      </c>
      <c r="L3862">
        <v>0</v>
      </c>
      <c r="M3862">
        <v>0</v>
      </c>
      <c r="N3862">
        <v>30</v>
      </c>
      <c r="O3862">
        <v>0</v>
      </c>
      <c r="P3862">
        <v>0</v>
      </c>
      <c r="Q3862">
        <v>0</v>
      </c>
      <c r="R3862">
        <v>0</v>
      </c>
      <c r="S3862">
        <v>0</v>
      </c>
      <c r="T3862">
        <v>0</v>
      </c>
      <c r="U3862">
        <v>0</v>
      </c>
      <c r="V3862">
        <v>0</v>
      </c>
      <c r="W3862">
        <v>0</v>
      </c>
      <c r="X3862">
        <v>0</v>
      </c>
      <c r="Z3862">
        <v>0</v>
      </c>
      <c r="AA3862">
        <v>0</v>
      </c>
      <c r="AB3862">
        <v>0</v>
      </c>
      <c r="AC3862">
        <v>0</v>
      </c>
      <c r="AD3862" t="s">
        <v>7061</v>
      </c>
    </row>
    <row r="3863" spans="1:30" x14ac:dyDescent="0.25">
      <c r="H3863" t="s">
        <v>7062</v>
      </c>
    </row>
    <row r="3864" spans="1:30" x14ac:dyDescent="0.25">
      <c r="A3864">
        <v>1929</v>
      </c>
      <c r="B3864">
        <v>3990</v>
      </c>
      <c r="C3864" t="s">
        <v>2032</v>
      </c>
      <c r="D3864" t="s">
        <v>75</v>
      </c>
      <c r="E3864" t="s">
        <v>40</v>
      </c>
      <c r="F3864" t="s">
        <v>7063</v>
      </c>
      <c r="G3864" t="str">
        <f>"00198093"</f>
        <v>00198093</v>
      </c>
      <c r="H3864" t="s">
        <v>5687</v>
      </c>
      <c r="I3864">
        <v>0</v>
      </c>
      <c r="J3864">
        <v>0</v>
      </c>
      <c r="K3864">
        <v>0</v>
      </c>
      <c r="L3864">
        <v>0</v>
      </c>
      <c r="M3864">
        <v>0</v>
      </c>
      <c r="N3864">
        <v>30</v>
      </c>
      <c r="O3864">
        <v>0</v>
      </c>
      <c r="P3864">
        <v>0</v>
      </c>
      <c r="Q3864">
        <v>30</v>
      </c>
      <c r="R3864">
        <v>0</v>
      </c>
      <c r="S3864">
        <v>0</v>
      </c>
      <c r="T3864">
        <v>0</v>
      </c>
      <c r="U3864">
        <v>0</v>
      </c>
      <c r="V3864">
        <v>0</v>
      </c>
      <c r="W3864">
        <v>0</v>
      </c>
      <c r="X3864">
        <v>0</v>
      </c>
      <c r="Z3864">
        <v>0</v>
      </c>
      <c r="AA3864">
        <v>0</v>
      </c>
      <c r="AB3864">
        <v>8</v>
      </c>
      <c r="AC3864">
        <v>136</v>
      </c>
      <c r="AD3864" t="s">
        <v>7064</v>
      </c>
    </row>
    <row r="3865" spans="1:30" x14ac:dyDescent="0.25">
      <c r="H3865" t="s">
        <v>7065</v>
      </c>
    </row>
    <row r="3866" spans="1:30" x14ac:dyDescent="0.25">
      <c r="A3866">
        <v>1930</v>
      </c>
      <c r="B3866">
        <v>1935</v>
      </c>
      <c r="C3866" t="s">
        <v>7066</v>
      </c>
      <c r="D3866" t="s">
        <v>223</v>
      </c>
      <c r="E3866" t="s">
        <v>1276</v>
      </c>
      <c r="F3866" t="s">
        <v>7067</v>
      </c>
      <c r="G3866" t="str">
        <f>"00274585"</f>
        <v>00274585</v>
      </c>
      <c r="H3866">
        <v>814</v>
      </c>
      <c r="I3866">
        <v>0</v>
      </c>
      <c r="J3866">
        <v>0</v>
      </c>
      <c r="K3866">
        <v>0</v>
      </c>
      <c r="L3866">
        <v>0</v>
      </c>
      <c r="M3866">
        <v>0</v>
      </c>
      <c r="N3866">
        <v>0</v>
      </c>
      <c r="O3866">
        <v>0</v>
      </c>
      <c r="P3866">
        <v>0</v>
      </c>
      <c r="Q3866">
        <v>0</v>
      </c>
      <c r="R3866">
        <v>0</v>
      </c>
      <c r="S3866">
        <v>0</v>
      </c>
      <c r="T3866">
        <v>0</v>
      </c>
      <c r="U3866">
        <v>0</v>
      </c>
      <c r="V3866">
        <v>0</v>
      </c>
      <c r="W3866">
        <v>0</v>
      </c>
      <c r="X3866">
        <v>0</v>
      </c>
      <c r="Z3866">
        <v>0</v>
      </c>
      <c r="AA3866">
        <v>0</v>
      </c>
      <c r="AB3866">
        <v>0</v>
      </c>
      <c r="AC3866">
        <v>0</v>
      </c>
      <c r="AD3866">
        <v>814</v>
      </c>
    </row>
    <row r="3867" spans="1:30" x14ac:dyDescent="0.25">
      <c r="H3867" t="s">
        <v>7068</v>
      </c>
    </row>
    <row r="3868" spans="1:30" x14ac:dyDescent="0.25">
      <c r="A3868">
        <v>1931</v>
      </c>
      <c r="B3868">
        <v>4775</v>
      </c>
      <c r="C3868" t="s">
        <v>7069</v>
      </c>
      <c r="D3868" t="s">
        <v>59</v>
      </c>
      <c r="E3868" t="s">
        <v>224</v>
      </c>
      <c r="F3868" t="s">
        <v>7070</v>
      </c>
      <c r="G3868" t="str">
        <f>"00004011"</f>
        <v>00004011</v>
      </c>
      <c r="H3868" t="s">
        <v>2682</v>
      </c>
      <c r="I3868">
        <v>0</v>
      </c>
      <c r="J3868">
        <v>0</v>
      </c>
      <c r="K3868">
        <v>0</v>
      </c>
      <c r="L3868">
        <v>0</v>
      </c>
      <c r="M3868">
        <v>0</v>
      </c>
      <c r="N3868">
        <v>70</v>
      </c>
      <c r="O3868">
        <v>0</v>
      </c>
      <c r="P3868">
        <v>0</v>
      </c>
      <c r="Q3868">
        <v>0</v>
      </c>
      <c r="R3868">
        <v>0</v>
      </c>
      <c r="S3868">
        <v>0</v>
      </c>
      <c r="T3868">
        <v>0</v>
      </c>
      <c r="U3868">
        <v>0</v>
      </c>
      <c r="V3868">
        <v>0</v>
      </c>
      <c r="W3868">
        <v>0</v>
      </c>
      <c r="X3868">
        <v>0</v>
      </c>
      <c r="Z3868">
        <v>0</v>
      </c>
      <c r="AA3868">
        <v>0</v>
      </c>
      <c r="AB3868">
        <v>0</v>
      </c>
      <c r="AC3868">
        <v>0</v>
      </c>
      <c r="AD3868" t="s">
        <v>7071</v>
      </c>
    </row>
    <row r="3869" spans="1:30" x14ac:dyDescent="0.25">
      <c r="H3869" t="s">
        <v>7072</v>
      </c>
    </row>
    <row r="3870" spans="1:30" x14ac:dyDescent="0.25">
      <c r="A3870">
        <v>1932</v>
      </c>
      <c r="B3870">
        <v>5190</v>
      </c>
      <c r="C3870" t="s">
        <v>7073</v>
      </c>
      <c r="D3870" t="s">
        <v>7074</v>
      </c>
      <c r="E3870" t="s">
        <v>162</v>
      </c>
      <c r="F3870" t="s">
        <v>7075</v>
      </c>
      <c r="G3870" t="str">
        <f>"201511019811"</f>
        <v>201511019811</v>
      </c>
      <c r="H3870" t="s">
        <v>3132</v>
      </c>
      <c r="I3870">
        <v>0</v>
      </c>
      <c r="J3870">
        <v>0</v>
      </c>
      <c r="K3870">
        <v>0</v>
      </c>
      <c r="L3870">
        <v>0</v>
      </c>
      <c r="M3870">
        <v>0</v>
      </c>
      <c r="N3870">
        <v>30</v>
      </c>
      <c r="O3870">
        <v>0</v>
      </c>
      <c r="P3870">
        <v>0</v>
      </c>
      <c r="Q3870">
        <v>0</v>
      </c>
      <c r="R3870">
        <v>0</v>
      </c>
      <c r="S3870">
        <v>0</v>
      </c>
      <c r="T3870">
        <v>0</v>
      </c>
      <c r="U3870">
        <v>0</v>
      </c>
      <c r="V3870">
        <v>14</v>
      </c>
      <c r="W3870">
        <v>98</v>
      </c>
      <c r="X3870">
        <v>0</v>
      </c>
      <c r="Z3870">
        <v>1</v>
      </c>
      <c r="AA3870">
        <v>0</v>
      </c>
      <c r="AB3870">
        <v>0</v>
      </c>
      <c r="AC3870">
        <v>0</v>
      </c>
      <c r="AD3870" t="s">
        <v>7076</v>
      </c>
    </row>
    <row r="3871" spans="1:30" x14ac:dyDescent="0.25">
      <c r="H3871" t="s">
        <v>7077</v>
      </c>
    </row>
    <row r="3872" spans="1:30" x14ac:dyDescent="0.25">
      <c r="A3872">
        <v>1933</v>
      </c>
      <c r="B3872">
        <v>4963</v>
      </c>
      <c r="C3872" t="s">
        <v>7078</v>
      </c>
      <c r="D3872" t="s">
        <v>98</v>
      </c>
      <c r="E3872" t="s">
        <v>39</v>
      </c>
      <c r="F3872" t="s">
        <v>7079</v>
      </c>
      <c r="G3872" t="str">
        <f>"201003000134"</f>
        <v>201003000134</v>
      </c>
      <c r="H3872" t="s">
        <v>470</v>
      </c>
      <c r="I3872">
        <v>0</v>
      </c>
      <c r="J3872">
        <v>0</v>
      </c>
      <c r="K3872">
        <v>0</v>
      </c>
      <c r="L3872">
        <v>0</v>
      </c>
      <c r="M3872">
        <v>0</v>
      </c>
      <c r="N3872">
        <v>30</v>
      </c>
      <c r="O3872">
        <v>0</v>
      </c>
      <c r="P3872">
        <v>0</v>
      </c>
      <c r="Q3872">
        <v>0</v>
      </c>
      <c r="R3872">
        <v>0</v>
      </c>
      <c r="S3872">
        <v>0</v>
      </c>
      <c r="T3872">
        <v>0</v>
      </c>
      <c r="U3872">
        <v>0</v>
      </c>
      <c r="V3872">
        <v>0</v>
      </c>
      <c r="W3872">
        <v>0</v>
      </c>
      <c r="X3872">
        <v>0</v>
      </c>
      <c r="Z3872">
        <v>0</v>
      </c>
      <c r="AA3872">
        <v>0</v>
      </c>
      <c r="AB3872">
        <v>0</v>
      </c>
      <c r="AC3872">
        <v>0</v>
      </c>
      <c r="AD3872" t="s">
        <v>7080</v>
      </c>
    </row>
    <row r="3873" spans="1:30" x14ac:dyDescent="0.25">
      <c r="H3873" t="s">
        <v>7081</v>
      </c>
    </row>
    <row r="3874" spans="1:30" x14ac:dyDescent="0.25">
      <c r="A3874">
        <v>1934</v>
      </c>
      <c r="B3874">
        <v>1812</v>
      </c>
      <c r="C3874" t="s">
        <v>7082</v>
      </c>
      <c r="D3874" t="s">
        <v>7083</v>
      </c>
      <c r="E3874" t="s">
        <v>7084</v>
      </c>
      <c r="F3874" t="s">
        <v>7085</v>
      </c>
      <c r="G3874" t="str">
        <f>"00317337"</f>
        <v>00317337</v>
      </c>
      <c r="H3874" t="s">
        <v>470</v>
      </c>
      <c r="I3874">
        <v>0</v>
      </c>
      <c r="J3874">
        <v>0</v>
      </c>
      <c r="K3874">
        <v>0</v>
      </c>
      <c r="L3874">
        <v>0</v>
      </c>
      <c r="M3874">
        <v>0</v>
      </c>
      <c r="N3874">
        <v>30</v>
      </c>
      <c r="O3874">
        <v>0</v>
      </c>
      <c r="P3874">
        <v>0</v>
      </c>
      <c r="Q3874">
        <v>0</v>
      </c>
      <c r="R3874">
        <v>0</v>
      </c>
      <c r="S3874">
        <v>0</v>
      </c>
      <c r="T3874">
        <v>0</v>
      </c>
      <c r="U3874">
        <v>0</v>
      </c>
      <c r="V3874">
        <v>0</v>
      </c>
      <c r="W3874">
        <v>0</v>
      </c>
      <c r="X3874">
        <v>0</v>
      </c>
      <c r="Z3874">
        <v>0</v>
      </c>
      <c r="AA3874">
        <v>0</v>
      </c>
      <c r="AB3874">
        <v>0</v>
      </c>
      <c r="AC3874">
        <v>0</v>
      </c>
      <c r="AD3874" t="s">
        <v>7080</v>
      </c>
    </row>
    <row r="3875" spans="1:30" x14ac:dyDescent="0.25">
      <c r="H3875" t="s">
        <v>451</v>
      </c>
    </row>
    <row r="3876" spans="1:30" x14ac:dyDescent="0.25">
      <c r="A3876">
        <v>1935</v>
      </c>
      <c r="B3876">
        <v>2520</v>
      </c>
      <c r="C3876" t="s">
        <v>7086</v>
      </c>
      <c r="D3876" t="s">
        <v>5083</v>
      </c>
      <c r="E3876" t="s">
        <v>47</v>
      </c>
      <c r="F3876" t="s">
        <v>7087</v>
      </c>
      <c r="G3876" t="str">
        <f>"200801001174"</f>
        <v>200801001174</v>
      </c>
      <c r="H3876" t="s">
        <v>1957</v>
      </c>
      <c r="I3876">
        <v>0</v>
      </c>
      <c r="J3876">
        <v>0</v>
      </c>
      <c r="K3876">
        <v>0</v>
      </c>
      <c r="L3876">
        <v>0</v>
      </c>
      <c r="M3876">
        <v>0</v>
      </c>
      <c r="N3876">
        <v>0</v>
      </c>
      <c r="O3876">
        <v>0</v>
      </c>
      <c r="P3876">
        <v>0</v>
      </c>
      <c r="Q3876">
        <v>0</v>
      </c>
      <c r="R3876">
        <v>0</v>
      </c>
      <c r="S3876">
        <v>0</v>
      </c>
      <c r="T3876">
        <v>0</v>
      </c>
      <c r="U3876">
        <v>0</v>
      </c>
      <c r="V3876">
        <v>0</v>
      </c>
      <c r="W3876">
        <v>0</v>
      </c>
      <c r="X3876">
        <v>0</v>
      </c>
      <c r="Z3876">
        <v>0</v>
      </c>
      <c r="AA3876">
        <v>0</v>
      </c>
      <c r="AB3876">
        <v>0</v>
      </c>
      <c r="AC3876">
        <v>0</v>
      </c>
      <c r="AD3876" t="s">
        <v>1957</v>
      </c>
    </row>
    <row r="3877" spans="1:30" x14ac:dyDescent="0.25">
      <c r="H3877" t="s">
        <v>7088</v>
      </c>
    </row>
    <row r="3878" spans="1:30" x14ac:dyDescent="0.25">
      <c r="A3878">
        <v>1936</v>
      </c>
      <c r="B3878">
        <v>2410</v>
      </c>
      <c r="C3878" t="s">
        <v>7089</v>
      </c>
      <c r="D3878" t="s">
        <v>162</v>
      </c>
      <c r="E3878" t="s">
        <v>162</v>
      </c>
      <c r="F3878" t="s">
        <v>7090</v>
      </c>
      <c r="G3878" t="str">
        <f>"00140486"</f>
        <v>00140486</v>
      </c>
      <c r="H3878" t="s">
        <v>854</v>
      </c>
      <c r="I3878">
        <v>0</v>
      </c>
      <c r="J3878">
        <v>0</v>
      </c>
      <c r="K3878">
        <v>0</v>
      </c>
      <c r="L3878">
        <v>0</v>
      </c>
      <c r="M3878">
        <v>0</v>
      </c>
      <c r="N3878">
        <v>30</v>
      </c>
      <c r="O3878">
        <v>0</v>
      </c>
      <c r="P3878">
        <v>0</v>
      </c>
      <c r="Q3878">
        <v>0</v>
      </c>
      <c r="R3878">
        <v>0</v>
      </c>
      <c r="S3878">
        <v>0</v>
      </c>
      <c r="T3878">
        <v>0</v>
      </c>
      <c r="U3878">
        <v>0</v>
      </c>
      <c r="V3878">
        <v>10</v>
      </c>
      <c r="W3878">
        <v>70</v>
      </c>
      <c r="X3878">
        <v>0</v>
      </c>
      <c r="Z3878">
        <v>0</v>
      </c>
      <c r="AA3878">
        <v>0</v>
      </c>
      <c r="AB3878">
        <v>0</v>
      </c>
      <c r="AC3878">
        <v>0</v>
      </c>
      <c r="AD3878" t="s">
        <v>7091</v>
      </c>
    </row>
    <row r="3879" spans="1:30" x14ac:dyDescent="0.25">
      <c r="H3879" t="s">
        <v>7092</v>
      </c>
    </row>
    <row r="3880" spans="1:30" x14ac:dyDescent="0.25">
      <c r="A3880">
        <v>1937</v>
      </c>
      <c r="B3880">
        <v>6094</v>
      </c>
      <c r="C3880" t="s">
        <v>7093</v>
      </c>
      <c r="D3880" t="s">
        <v>143</v>
      </c>
      <c r="E3880" t="s">
        <v>176</v>
      </c>
      <c r="F3880" t="s">
        <v>7094</v>
      </c>
      <c r="G3880" t="str">
        <f>"00230729"</f>
        <v>00230729</v>
      </c>
      <c r="H3880" t="s">
        <v>3774</v>
      </c>
      <c r="I3880">
        <v>0</v>
      </c>
      <c r="J3880">
        <v>0</v>
      </c>
      <c r="K3880">
        <v>0</v>
      </c>
      <c r="L3880">
        <v>0</v>
      </c>
      <c r="M3880">
        <v>0</v>
      </c>
      <c r="N3880">
        <v>30</v>
      </c>
      <c r="O3880">
        <v>0</v>
      </c>
      <c r="P3880">
        <v>0</v>
      </c>
      <c r="Q3880">
        <v>0</v>
      </c>
      <c r="R3880">
        <v>0</v>
      </c>
      <c r="S3880">
        <v>0</v>
      </c>
      <c r="T3880">
        <v>0</v>
      </c>
      <c r="U3880">
        <v>0</v>
      </c>
      <c r="V3880">
        <v>0</v>
      </c>
      <c r="W3880">
        <v>0</v>
      </c>
      <c r="X3880">
        <v>0</v>
      </c>
      <c r="Z3880">
        <v>0</v>
      </c>
      <c r="AA3880">
        <v>0</v>
      </c>
      <c r="AB3880">
        <v>5</v>
      </c>
      <c r="AC3880">
        <v>85</v>
      </c>
      <c r="AD3880" t="s">
        <v>7095</v>
      </c>
    </row>
    <row r="3881" spans="1:30" x14ac:dyDescent="0.25">
      <c r="H3881" t="s">
        <v>7096</v>
      </c>
    </row>
    <row r="3882" spans="1:30" x14ac:dyDescent="0.25">
      <c r="A3882">
        <v>1938</v>
      </c>
      <c r="B3882">
        <v>5200</v>
      </c>
      <c r="C3882" t="s">
        <v>7097</v>
      </c>
      <c r="D3882" t="s">
        <v>1039</v>
      </c>
      <c r="E3882" t="s">
        <v>40</v>
      </c>
      <c r="F3882" t="s">
        <v>7098</v>
      </c>
      <c r="G3882" t="str">
        <f>"00137930"</f>
        <v>00137930</v>
      </c>
      <c r="H3882">
        <v>781</v>
      </c>
      <c r="I3882">
        <v>0</v>
      </c>
      <c r="J3882">
        <v>0</v>
      </c>
      <c r="K3882">
        <v>0</v>
      </c>
      <c r="L3882">
        <v>0</v>
      </c>
      <c r="M3882">
        <v>0</v>
      </c>
      <c r="N3882">
        <v>30</v>
      </c>
      <c r="O3882">
        <v>0</v>
      </c>
      <c r="P3882">
        <v>0</v>
      </c>
      <c r="Q3882">
        <v>0</v>
      </c>
      <c r="R3882">
        <v>0</v>
      </c>
      <c r="S3882">
        <v>0</v>
      </c>
      <c r="T3882">
        <v>0</v>
      </c>
      <c r="U3882">
        <v>0</v>
      </c>
      <c r="V3882">
        <v>0</v>
      </c>
      <c r="W3882">
        <v>0</v>
      </c>
      <c r="X3882">
        <v>0</v>
      </c>
      <c r="Z3882">
        <v>0</v>
      </c>
      <c r="AA3882">
        <v>0</v>
      </c>
      <c r="AB3882">
        <v>0</v>
      </c>
      <c r="AC3882">
        <v>0</v>
      </c>
      <c r="AD3882">
        <v>811</v>
      </c>
    </row>
    <row r="3883" spans="1:30" x14ac:dyDescent="0.25">
      <c r="H3883" t="s">
        <v>7099</v>
      </c>
    </row>
    <row r="3884" spans="1:30" x14ac:dyDescent="0.25">
      <c r="A3884">
        <v>1939</v>
      </c>
      <c r="B3884">
        <v>4347</v>
      </c>
      <c r="C3884" t="s">
        <v>7100</v>
      </c>
      <c r="D3884" t="s">
        <v>1937</v>
      </c>
      <c r="E3884" t="s">
        <v>107</v>
      </c>
      <c r="F3884" t="s">
        <v>7101</v>
      </c>
      <c r="G3884" t="str">
        <f>"00345562"</f>
        <v>00345562</v>
      </c>
      <c r="H3884" t="s">
        <v>1949</v>
      </c>
      <c r="I3884">
        <v>0</v>
      </c>
      <c r="J3884">
        <v>0</v>
      </c>
      <c r="K3884">
        <v>0</v>
      </c>
      <c r="L3884">
        <v>0</v>
      </c>
      <c r="M3884">
        <v>0</v>
      </c>
      <c r="N3884">
        <v>30</v>
      </c>
      <c r="O3884">
        <v>0</v>
      </c>
      <c r="P3884">
        <v>0</v>
      </c>
      <c r="Q3884">
        <v>0</v>
      </c>
      <c r="R3884">
        <v>0</v>
      </c>
      <c r="S3884">
        <v>0</v>
      </c>
      <c r="T3884">
        <v>0</v>
      </c>
      <c r="U3884">
        <v>0</v>
      </c>
      <c r="V3884">
        <v>8</v>
      </c>
      <c r="W3884">
        <v>56</v>
      </c>
      <c r="X3884">
        <v>0</v>
      </c>
      <c r="Z3884">
        <v>0</v>
      </c>
      <c r="AA3884">
        <v>0</v>
      </c>
      <c r="AB3884">
        <v>0</v>
      </c>
      <c r="AC3884">
        <v>0</v>
      </c>
      <c r="AD3884" t="s">
        <v>7102</v>
      </c>
    </row>
    <row r="3885" spans="1:30" x14ac:dyDescent="0.25">
      <c r="H3885" t="s">
        <v>7103</v>
      </c>
    </row>
    <row r="3886" spans="1:30" x14ac:dyDescent="0.25">
      <c r="A3886">
        <v>1940</v>
      </c>
      <c r="B3886">
        <v>4611</v>
      </c>
      <c r="C3886" t="s">
        <v>7104</v>
      </c>
      <c r="D3886" t="s">
        <v>544</v>
      </c>
      <c r="E3886" t="s">
        <v>40</v>
      </c>
      <c r="F3886" t="s">
        <v>7105</v>
      </c>
      <c r="G3886" t="str">
        <f>"00365497"</f>
        <v>00365497</v>
      </c>
      <c r="H3886" t="s">
        <v>1825</v>
      </c>
      <c r="I3886">
        <v>0</v>
      </c>
      <c r="J3886">
        <v>0</v>
      </c>
      <c r="K3886">
        <v>0</v>
      </c>
      <c r="L3886">
        <v>0</v>
      </c>
      <c r="M3886">
        <v>0</v>
      </c>
      <c r="N3886">
        <v>70</v>
      </c>
      <c r="O3886">
        <v>0</v>
      </c>
      <c r="P3886">
        <v>0</v>
      </c>
      <c r="Q3886">
        <v>0</v>
      </c>
      <c r="R3886">
        <v>0</v>
      </c>
      <c r="S3886">
        <v>0</v>
      </c>
      <c r="T3886">
        <v>0</v>
      </c>
      <c r="U3886">
        <v>0</v>
      </c>
      <c r="V3886">
        <v>0</v>
      </c>
      <c r="W3886">
        <v>0</v>
      </c>
      <c r="X3886">
        <v>0</v>
      </c>
      <c r="Z3886">
        <v>0</v>
      </c>
      <c r="AA3886">
        <v>0</v>
      </c>
      <c r="AB3886">
        <v>0</v>
      </c>
      <c r="AC3886">
        <v>0</v>
      </c>
      <c r="AD3886" t="s">
        <v>7106</v>
      </c>
    </row>
    <row r="3887" spans="1:30" x14ac:dyDescent="0.25">
      <c r="H3887" t="s">
        <v>7107</v>
      </c>
    </row>
    <row r="3888" spans="1:30" x14ac:dyDescent="0.25">
      <c r="A3888">
        <v>1941</v>
      </c>
      <c r="B3888">
        <v>3739</v>
      </c>
      <c r="C3888" t="s">
        <v>7108</v>
      </c>
      <c r="D3888" t="s">
        <v>335</v>
      </c>
      <c r="E3888" t="s">
        <v>190</v>
      </c>
      <c r="F3888" t="s">
        <v>7109</v>
      </c>
      <c r="G3888" t="str">
        <f>"00359471"</f>
        <v>00359471</v>
      </c>
      <c r="H3888" t="s">
        <v>470</v>
      </c>
      <c r="I3888">
        <v>0</v>
      </c>
      <c r="J3888">
        <v>0</v>
      </c>
      <c r="K3888">
        <v>0</v>
      </c>
      <c r="L3888">
        <v>0</v>
      </c>
      <c r="M3888">
        <v>0</v>
      </c>
      <c r="N3888">
        <v>0</v>
      </c>
      <c r="O3888">
        <v>0</v>
      </c>
      <c r="P3888">
        <v>0</v>
      </c>
      <c r="Q3888">
        <v>0</v>
      </c>
      <c r="R3888">
        <v>0</v>
      </c>
      <c r="S3888">
        <v>0</v>
      </c>
      <c r="T3888">
        <v>0</v>
      </c>
      <c r="U3888">
        <v>0</v>
      </c>
      <c r="V3888">
        <v>4</v>
      </c>
      <c r="W3888">
        <v>28</v>
      </c>
      <c r="X3888">
        <v>0</v>
      </c>
      <c r="Z3888">
        <v>1</v>
      </c>
      <c r="AA3888">
        <v>0</v>
      </c>
      <c r="AB3888">
        <v>0</v>
      </c>
      <c r="AC3888">
        <v>0</v>
      </c>
      <c r="AD3888" t="s">
        <v>7110</v>
      </c>
    </row>
    <row r="3889" spans="1:30" x14ac:dyDescent="0.25">
      <c r="H3889" t="s">
        <v>7111</v>
      </c>
    </row>
    <row r="3890" spans="1:30" x14ac:dyDescent="0.25">
      <c r="A3890">
        <v>1942</v>
      </c>
      <c r="B3890">
        <v>4464</v>
      </c>
      <c r="C3890" t="s">
        <v>2692</v>
      </c>
      <c r="D3890" t="s">
        <v>420</v>
      </c>
      <c r="E3890" t="s">
        <v>51</v>
      </c>
      <c r="F3890" t="s">
        <v>7112</v>
      </c>
      <c r="G3890" t="str">
        <f>"00102872"</f>
        <v>00102872</v>
      </c>
      <c r="H3890" t="s">
        <v>553</v>
      </c>
      <c r="I3890">
        <v>0</v>
      </c>
      <c r="J3890">
        <v>0</v>
      </c>
      <c r="K3890">
        <v>0</v>
      </c>
      <c r="L3890">
        <v>0</v>
      </c>
      <c r="M3890">
        <v>0</v>
      </c>
      <c r="N3890">
        <v>0</v>
      </c>
      <c r="O3890">
        <v>0</v>
      </c>
      <c r="P3890">
        <v>0</v>
      </c>
      <c r="Q3890">
        <v>0</v>
      </c>
      <c r="R3890">
        <v>0</v>
      </c>
      <c r="S3890">
        <v>0</v>
      </c>
      <c r="T3890">
        <v>0</v>
      </c>
      <c r="U3890">
        <v>0</v>
      </c>
      <c r="V3890">
        <v>0</v>
      </c>
      <c r="W3890">
        <v>0</v>
      </c>
      <c r="X3890">
        <v>0</v>
      </c>
      <c r="Z3890">
        <v>0</v>
      </c>
      <c r="AA3890">
        <v>0</v>
      </c>
      <c r="AB3890">
        <v>0</v>
      </c>
      <c r="AC3890">
        <v>0</v>
      </c>
      <c r="AD3890" t="s">
        <v>553</v>
      </c>
    </row>
    <row r="3891" spans="1:30" x14ac:dyDescent="0.25">
      <c r="H3891" t="s">
        <v>7113</v>
      </c>
    </row>
    <row r="3892" spans="1:30" x14ac:dyDescent="0.25">
      <c r="A3892">
        <v>1943</v>
      </c>
      <c r="B3892">
        <v>4006</v>
      </c>
      <c r="C3892" t="s">
        <v>7114</v>
      </c>
      <c r="D3892" t="s">
        <v>2637</v>
      </c>
      <c r="E3892" t="s">
        <v>39</v>
      </c>
      <c r="F3892" t="s">
        <v>7115</v>
      </c>
      <c r="G3892" t="str">
        <f>"00201958"</f>
        <v>00201958</v>
      </c>
      <c r="H3892" t="s">
        <v>1227</v>
      </c>
      <c r="I3892">
        <v>0</v>
      </c>
      <c r="J3892">
        <v>0</v>
      </c>
      <c r="K3892">
        <v>0</v>
      </c>
      <c r="L3892">
        <v>0</v>
      </c>
      <c r="M3892">
        <v>0</v>
      </c>
      <c r="N3892">
        <v>30</v>
      </c>
      <c r="O3892">
        <v>0</v>
      </c>
      <c r="P3892">
        <v>0</v>
      </c>
      <c r="Q3892">
        <v>0</v>
      </c>
      <c r="R3892">
        <v>0</v>
      </c>
      <c r="S3892">
        <v>0</v>
      </c>
      <c r="T3892">
        <v>0</v>
      </c>
      <c r="U3892">
        <v>0</v>
      </c>
      <c r="V3892">
        <v>5</v>
      </c>
      <c r="W3892">
        <v>35</v>
      </c>
      <c r="X3892">
        <v>0</v>
      </c>
      <c r="Z3892">
        <v>0</v>
      </c>
      <c r="AA3892">
        <v>0</v>
      </c>
      <c r="AB3892">
        <v>2</v>
      </c>
      <c r="AC3892">
        <v>34</v>
      </c>
      <c r="AD3892" t="s">
        <v>553</v>
      </c>
    </row>
    <row r="3893" spans="1:30" x14ac:dyDescent="0.25">
      <c r="H3893" t="s">
        <v>7116</v>
      </c>
    </row>
    <row r="3894" spans="1:30" x14ac:dyDescent="0.25">
      <c r="A3894">
        <v>1944</v>
      </c>
      <c r="B3894">
        <v>4809</v>
      </c>
      <c r="C3894" t="s">
        <v>467</v>
      </c>
      <c r="D3894" t="s">
        <v>346</v>
      </c>
      <c r="E3894" t="s">
        <v>5577</v>
      </c>
      <c r="F3894" t="s">
        <v>7117</v>
      </c>
      <c r="G3894" t="str">
        <f>"00146111"</f>
        <v>00146111</v>
      </c>
      <c r="H3894" t="s">
        <v>2742</v>
      </c>
      <c r="I3894">
        <v>0</v>
      </c>
      <c r="J3894">
        <v>0</v>
      </c>
      <c r="K3894">
        <v>0</v>
      </c>
      <c r="L3894">
        <v>0</v>
      </c>
      <c r="M3894">
        <v>0</v>
      </c>
      <c r="N3894">
        <v>70</v>
      </c>
      <c r="O3894">
        <v>0</v>
      </c>
      <c r="P3894">
        <v>0</v>
      </c>
      <c r="Q3894">
        <v>0</v>
      </c>
      <c r="R3894">
        <v>0</v>
      </c>
      <c r="S3894">
        <v>0</v>
      </c>
      <c r="T3894">
        <v>0</v>
      </c>
      <c r="U3894">
        <v>0</v>
      </c>
      <c r="V3894">
        <v>0</v>
      </c>
      <c r="W3894">
        <v>0</v>
      </c>
      <c r="X3894">
        <v>0</v>
      </c>
      <c r="Z3894">
        <v>0</v>
      </c>
      <c r="AA3894">
        <v>0</v>
      </c>
      <c r="AB3894">
        <v>0</v>
      </c>
      <c r="AC3894">
        <v>0</v>
      </c>
      <c r="AD3894" t="s">
        <v>7118</v>
      </c>
    </row>
    <row r="3895" spans="1:30" x14ac:dyDescent="0.25">
      <c r="H3895" t="s">
        <v>7119</v>
      </c>
    </row>
    <row r="3896" spans="1:30" x14ac:dyDescent="0.25">
      <c r="A3896">
        <v>1945</v>
      </c>
      <c r="B3896">
        <v>3554</v>
      </c>
      <c r="C3896" t="s">
        <v>7120</v>
      </c>
      <c r="D3896" t="s">
        <v>33</v>
      </c>
      <c r="E3896" t="s">
        <v>162</v>
      </c>
      <c r="F3896" t="s">
        <v>7121</v>
      </c>
      <c r="G3896" t="str">
        <f>"201406008173"</f>
        <v>201406008173</v>
      </c>
      <c r="H3896">
        <v>759</v>
      </c>
      <c r="I3896">
        <v>0</v>
      </c>
      <c r="J3896">
        <v>0</v>
      </c>
      <c r="K3896">
        <v>0</v>
      </c>
      <c r="L3896">
        <v>0</v>
      </c>
      <c r="M3896">
        <v>0</v>
      </c>
      <c r="N3896">
        <v>50</v>
      </c>
      <c r="O3896">
        <v>0</v>
      </c>
      <c r="P3896">
        <v>0</v>
      </c>
      <c r="Q3896">
        <v>0</v>
      </c>
      <c r="R3896">
        <v>0</v>
      </c>
      <c r="S3896">
        <v>0</v>
      </c>
      <c r="T3896">
        <v>0</v>
      </c>
      <c r="U3896">
        <v>0</v>
      </c>
      <c r="V3896">
        <v>0</v>
      </c>
      <c r="W3896">
        <v>0</v>
      </c>
      <c r="X3896">
        <v>0</v>
      </c>
      <c r="Z3896">
        <v>0</v>
      </c>
      <c r="AA3896">
        <v>0</v>
      </c>
      <c r="AB3896">
        <v>0</v>
      </c>
      <c r="AC3896">
        <v>0</v>
      </c>
      <c r="AD3896">
        <v>809</v>
      </c>
    </row>
    <row r="3897" spans="1:30" x14ac:dyDescent="0.25">
      <c r="H3897" t="s">
        <v>7122</v>
      </c>
    </row>
    <row r="3898" spans="1:30" x14ac:dyDescent="0.25">
      <c r="A3898">
        <v>1946</v>
      </c>
      <c r="B3898">
        <v>5363</v>
      </c>
      <c r="C3898" t="s">
        <v>4901</v>
      </c>
      <c r="D3898" t="s">
        <v>869</v>
      </c>
      <c r="E3898" t="s">
        <v>7123</v>
      </c>
      <c r="F3898" t="s">
        <v>7124</v>
      </c>
      <c r="G3898" t="str">
        <f>"00276020"</f>
        <v>00276020</v>
      </c>
      <c r="H3898" t="s">
        <v>388</v>
      </c>
      <c r="I3898">
        <v>0</v>
      </c>
      <c r="J3898">
        <v>0</v>
      </c>
      <c r="K3898">
        <v>0</v>
      </c>
      <c r="L3898">
        <v>0</v>
      </c>
      <c r="M3898">
        <v>0</v>
      </c>
      <c r="N3898">
        <v>30</v>
      </c>
      <c r="O3898">
        <v>0</v>
      </c>
      <c r="P3898">
        <v>30</v>
      </c>
      <c r="Q3898">
        <v>0</v>
      </c>
      <c r="R3898">
        <v>0</v>
      </c>
      <c r="S3898">
        <v>0</v>
      </c>
      <c r="T3898">
        <v>0</v>
      </c>
      <c r="U3898">
        <v>0</v>
      </c>
      <c r="V3898">
        <v>7</v>
      </c>
      <c r="W3898">
        <v>49</v>
      </c>
      <c r="X3898">
        <v>0</v>
      </c>
      <c r="Z3898">
        <v>0</v>
      </c>
      <c r="AA3898">
        <v>0</v>
      </c>
      <c r="AB3898">
        <v>0</v>
      </c>
      <c r="AC3898">
        <v>0</v>
      </c>
      <c r="AD3898" t="s">
        <v>7125</v>
      </c>
    </row>
    <row r="3899" spans="1:30" x14ac:dyDescent="0.25">
      <c r="H3899" t="s">
        <v>4903</v>
      </c>
    </row>
    <row r="3900" spans="1:30" x14ac:dyDescent="0.25">
      <c r="A3900">
        <v>1947</v>
      </c>
      <c r="B3900">
        <v>727</v>
      </c>
      <c r="C3900" t="s">
        <v>7126</v>
      </c>
      <c r="D3900" t="s">
        <v>182</v>
      </c>
      <c r="E3900" t="s">
        <v>7127</v>
      </c>
      <c r="F3900" t="s">
        <v>7128</v>
      </c>
      <c r="G3900" t="str">
        <f>"201410006813"</f>
        <v>201410006813</v>
      </c>
      <c r="H3900" t="s">
        <v>94</v>
      </c>
      <c r="I3900">
        <v>0</v>
      </c>
      <c r="J3900">
        <v>0</v>
      </c>
      <c r="K3900">
        <v>0</v>
      </c>
      <c r="L3900">
        <v>0</v>
      </c>
      <c r="M3900">
        <v>0</v>
      </c>
      <c r="N3900">
        <v>30</v>
      </c>
      <c r="O3900">
        <v>0</v>
      </c>
      <c r="P3900">
        <v>0</v>
      </c>
      <c r="Q3900">
        <v>0</v>
      </c>
      <c r="R3900">
        <v>0</v>
      </c>
      <c r="S3900">
        <v>0</v>
      </c>
      <c r="T3900">
        <v>0</v>
      </c>
      <c r="U3900">
        <v>0</v>
      </c>
      <c r="V3900">
        <v>4</v>
      </c>
      <c r="W3900">
        <v>28</v>
      </c>
      <c r="X3900">
        <v>0</v>
      </c>
      <c r="Z3900">
        <v>2</v>
      </c>
      <c r="AA3900">
        <v>0</v>
      </c>
      <c r="AB3900">
        <v>0</v>
      </c>
      <c r="AC3900">
        <v>0</v>
      </c>
      <c r="AD3900" t="s">
        <v>7129</v>
      </c>
    </row>
    <row r="3901" spans="1:30" x14ac:dyDescent="0.25">
      <c r="H3901">
        <v>1247</v>
      </c>
    </row>
    <row r="3902" spans="1:30" x14ac:dyDescent="0.25">
      <c r="A3902">
        <v>1948</v>
      </c>
      <c r="B3902">
        <v>5329</v>
      </c>
      <c r="C3902" t="s">
        <v>7130</v>
      </c>
      <c r="D3902" t="s">
        <v>98</v>
      </c>
      <c r="E3902" t="s">
        <v>190</v>
      </c>
      <c r="F3902" t="s">
        <v>7131</v>
      </c>
      <c r="G3902" t="str">
        <f>"201511042996"</f>
        <v>201511042996</v>
      </c>
      <c r="H3902">
        <v>759</v>
      </c>
      <c r="I3902">
        <v>0</v>
      </c>
      <c r="J3902">
        <v>0</v>
      </c>
      <c r="K3902">
        <v>0</v>
      </c>
      <c r="L3902">
        <v>0</v>
      </c>
      <c r="M3902">
        <v>0</v>
      </c>
      <c r="N3902">
        <v>0</v>
      </c>
      <c r="O3902">
        <v>0</v>
      </c>
      <c r="P3902">
        <v>0</v>
      </c>
      <c r="Q3902">
        <v>0</v>
      </c>
      <c r="R3902">
        <v>0</v>
      </c>
      <c r="S3902">
        <v>0</v>
      </c>
      <c r="T3902">
        <v>0</v>
      </c>
      <c r="U3902">
        <v>0</v>
      </c>
      <c r="V3902">
        <v>7</v>
      </c>
      <c r="W3902">
        <v>49</v>
      </c>
      <c r="X3902">
        <v>0</v>
      </c>
      <c r="Z3902">
        <v>0</v>
      </c>
      <c r="AA3902">
        <v>0</v>
      </c>
      <c r="AB3902">
        <v>0</v>
      </c>
      <c r="AC3902">
        <v>0</v>
      </c>
      <c r="AD3902">
        <v>808</v>
      </c>
    </row>
    <row r="3903" spans="1:30" x14ac:dyDescent="0.25">
      <c r="H3903" t="s">
        <v>7132</v>
      </c>
    </row>
    <row r="3904" spans="1:30" x14ac:dyDescent="0.25">
      <c r="A3904">
        <v>1949</v>
      </c>
      <c r="B3904">
        <v>3567</v>
      </c>
      <c r="C3904" t="s">
        <v>1254</v>
      </c>
      <c r="D3904" t="s">
        <v>87</v>
      </c>
      <c r="E3904" t="s">
        <v>40</v>
      </c>
      <c r="F3904" t="s">
        <v>7133</v>
      </c>
      <c r="G3904" t="str">
        <f>"201406010925"</f>
        <v>201406010925</v>
      </c>
      <c r="H3904">
        <v>715</v>
      </c>
      <c r="I3904">
        <v>0</v>
      </c>
      <c r="J3904">
        <v>0</v>
      </c>
      <c r="K3904">
        <v>0</v>
      </c>
      <c r="L3904">
        <v>0</v>
      </c>
      <c r="M3904">
        <v>0</v>
      </c>
      <c r="N3904">
        <v>30</v>
      </c>
      <c r="O3904">
        <v>0</v>
      </c>
      <c r="P3904">
        <v>0</v>
      </c>
      <c r="Q3904">
        <v>0</v>
      </c>
      <c r="R3904">
        <v>0</v>
      </c>
      <c r="S3904">
        <v>0</v>
      </c>
      <c r="T3904">
        <v>0</v>
      </c>
      <c r="U3904">
        <v>0</v>
      </c>
      <c r="V3904">
        <v>9</v>
      </c>
      <c r="W3904">
        <v>63</v>
      </c>
      <c r="X3904">
        <v>0</v>
      </c>
      <c r="Z3904">
        <v>2</v>
      </c>
      <c r="AA3904">
        <v>0</v>
      </c>
      <c r="AB3904">
        <v>0</v>
      </c>
      <c r="AC3904">
        <v>0</v>
      </c>
      <c r="AD3904">
        <v>808</v>
      </c>
    </row>
    <row r="3905" spans="1:30" x14ac:dyDescent="0.25">
      <c r="H3905">
        <v>1250</v>
      </c>
    </row>
    <row r="3906" spans="1:30" x14ac:dyDescent="0.25">
      <c r="A3906">
        <v>1950</v>
      </c>
      <c r="B3906">
        <v>3106</v>
      </c>
      <c r="C3906" t="s">
        <v>7134</v>
      </c>
      <c r="D3906" t="s">
        <v>46</v>
      </c>
      <c r="E3906" t="s">
        <v>47</v>
      </c>
      <c r="F3906" t="s">
        <v>7135</v>
      </c>
      <c r="G3906" t="str">
        <f>"00286988"</f>
        <v>00286988</v>
      </c>
      <c r="H3906" t="s">
        <v>988</v>
      </c>
      <c r="I3906">
        <v>0</v>
      </c>
      <c r="J3906">
        <v>0</v>
      </c>
      <c r="K3906">
        <v>0</v>
      </c>
      <c r="L3906">
        <v>0</v>
      </c>
      <c r="M3906">
        <v>0</v>
      </c>
      <c r="N3906">
        <v>30</v>
      </c>
      <c r="O3906">
        <v>0</v>
      </c>
      <c r="P3906">
        <v>0</v>
      </c>
      <c r="Q3906">
        <v>0</v>
      </c>
      <c r="R3906">
        <v>0</v>
      </c>
      <c r="S3906">
        <v>0</v>
      </c>
      <c r="T3906">
        <v>0</v>
      </c>
      <c r="U3906">
        <v>0</v>
      </c>
      <c r="V3906">
        <v>0</v>
      </c>
      <c r="W3906">
        <v>0</v>
      </c>
      <c r="X3906">
        <v>0</v>
      </c>
      <c r="Z3906">
        <v>0</v>
      </c>
      <c r="AA3906">
        <v>0</v>
      </c>
      <c r="AB3906">
        <v>0</v>
      </c>
      <c r="AC3906">
        <v>0</v>
      </c>
      <c r="AD3906" t="s">
        <v>7136</v>
      </c>
    </row>
    <row r="3907" spans="1:30" x14ac:dyDescent="0.25">
      <c r="H3907" t="s">
        <v>1213</v>
      </c>
    </row>
    <row r="3908" spans="1:30" x14ac:dyDescent="0.25">
      <c r="A3908">
        <v>1951</v>
      </c>
      <c r="B3908">
        <v>752</v>
      </c>
      <c r="C3908" t="s">
        <v>7137</v>
      </c>
      <c r="D3908" t="s">
        <v>346</v>
      </c>
      <c r="E3908" t="s">
        <v>107</v>
      </c>
      <c r="F3908" t="s">
        <v>7138</v>
      </c>
      <c r="G3908" t="str">
        <f>"201402005752"</f>
        <v>201402005752</v>
      </c>
      <c r="H3908" t="s">
        <v>3862</v>
      </c>
      <c r="I3908">
        <v>0</v>
      </c>
      <c r="J3908">
        <v>0</v>
      </c>
      <c r="K3908">
        <v>0</v>
      </c>
      <c r="L3908">
        <v>0</v>
      </c>
      <c r="M3908">
        <v>0</v>
      </c>
      <c r="N3908">
        <v>30</v>
      </c>
      <c r="O3908">
        <v>0</v>
      </c>
      <c r="P3908">
        <v>0</v>
      </c>
      <c r="Q3908">
        <v>0</v>
      </c>
      <c r="R3908">
        <v>0</v>
      </c>
      <c r="S3908">
        <v>0</v>
      </c>
      <c r="T3908">
        <v>0</v>
      </c>
      <c r="U3908">
        <v>0</v>
      </c>
      <c r="V3908">
        <v>13</v>
      </c>
      <c r="W3908">
        <v>91</v>
      </c>
      <c r="X3908">
        <v>0</v>
      </c>
      <c r="Z3908">
        <v>0</v>
      </c>
      <c r="AA3908">
        <v>0</v>
      </c>
      <c r="AB3908">
        <v>0</v>
      </c>
      <c r="AC3908">
        <v>0</v>
      </c>
      <c r="AD3908" t="s">
        <v>2287</v>
      </c>
    </row>
    <row r="3909" spans="1:30" x14ac:dyDescent="0.25">
      <c r="H3909">
        <v>1250</v>
      </c>
    </row>
    <row r="3910" spans="1:30" x14ac:dyDescent="0.25">
      <c r="A3910">
        <v>1952</v>
      </c>
      <c r="B3910">
        <v>3199</v>
      </c>
      <c r="C3910" t="s">
        <v>7139</v>
      </c>
      <c r="D3910" t="s">
        <v>190</v>
      </c>
      <c r="E3910" t="s">
        <v>509</v>
      </c>
      <c r="F3910" t="s">
        <v>7140</v>
      </c>
      <c r="G3910" t="str">
        <f>"00366701"</f>
        <v>00366701</v>
      </c>
      <c r="H3910" t="s">
        <v>3862</v>
      </c>
      <c r="I3910">
        <v>0</v>
      </c>
      <c r="J3910">
        <v>0</v>
      </c>
      <c r="K3910">
        <v>0</v>
      </c>
      <c r="L3910">
        <v>0</v>
      </c>
      <c r="M3910">
        <v>0</v>
      </c>
      <c r="N3910">
        <v>30</v>
      </c>
      <c r="O3910">
        <v>0</v>
      </c>
      <c r="P3910">
        <v>0</v>
      </c>
      <c r="Q3910">
        <v>0</v>
      </c>
      <c r="R3910">
        <v>0</v>
      </c>
      <c r="S3910">
        <v>0</v>
      </c>
      <c r="T3910">
        <v>0</v>
      </c>
      <c r="U3910">
        <v>0</v>
      </c>
      <c r="V3910">
        <v>13</v>
      </c>
      <c r="W3910">
        <v>91</v>
      </c>
      <c r="X3910">
        <v>0</v>
      </c>
      <c r="Z3910">
        <v>0</v>
      </c>
      <c r="AA3910">
        <v>0</v>
      </c>
      <c r="AB3910">
        <v>0</v>
      </c>
      <c r="AC3910">
        <v>0</v>
      </c>
      <c r="AD3910" t="s">
        <v>2287</v>
      </c>
    </row>
    <row r="3911" spans="1:30" x14ac:dyDescent="0.25">
      <c r="H3911" t="s">
        <v>7141</v>
      </c>
    </row>
    <row r="3912" spans="1:30" x14ac:dyDescent="0.25">
      <c r="A3912">
        <v>1953</v>
      </c>
      <c r="B3912">
        <v>307</v>
      </c>
      <c r="C3912" t="s">
        <v>7142</v>
      </c>
      <c r="D3912" t="s">
        <v>999</v>
      </c>
      <c r="E3912" t="s">
        <v>183</v>
      </c>
      <c r="F3912" t="s">
        <v>7143</v>
      </c>
      <c r="G3912" t="str">
        <f>"201412003009"</f>
        <v>201412003009</v>
      </c>
      <c r="H3912">
        <v>737</v>
      </c>
      <c r="I3912">
        <v>0</v>
      </c>
      <c r="J3912">
        <v>0</v>
      </c>
      <c r="K3912">
        <v>0</v>
      </c>
      <c r="L3912">
        <v>0</v>
      </c>
      <c r="M3912">
        <v>0</v>
      </c>
      <c r="N3912">
        <v>0</v>
      </c>
      <c r="O3912">
        <v>0</v>
      </c>
      <c r="P3912">
        <v>0</v>
      </c>
      <c r="Q3912">
        <v>0</v>
      </c>
      <c r="R3912">
        <v>0</v>
      </c>
      <c r="S3912">
        <v>0</v>
      </c>
      <c r="T3912">
        <v>0</v>
      </c>
      <c r="U3912">
        <v>0</v>
      </c>
      <c r="V3912">
        <v>10</v>
      </c>
      <c r="W3912">
        <v>70</v>
      </c>
      <c r="X3912">
        <v>0</v>
      </c>
      <c r="Z3912">
        <v>0</v>
      </c>
      <c r="AA3912">
        <v>0</v>
      </c>
      <c r="AB3912">
        <v>0</v>
      </c>
      <c r="AC3912">
        <v>0</v>
      </c>
      <c r="AD3912">
        <v>807</v>
      </c>
    </row>
    <row r="3913" spans="1:30" x14ac:dyDescent="0.25">
      <c r="H3913" t="s">
        <v>7144</v>
      </c>
    </row>
    <row r="3914" spans="1:30" x14ac:dyDescent="0.25">
      <c r="A3914">
        <v>1954</v>
      </c>
      <c r="B3914">
        <v>4795</v>
      </c>
      <c r="C3914" t="s">
        <v>7145</v>
      </c>
      <c r="D3914" t="s">
        <v>335</v>
      </c>
      <c r="E3914" t="s">
        <v>595</v>
      </c>
      <c r="F3914" t="s">
        <v>7146</v>
      </c>
      <c r="G3914" t="str">
        <f>"00121465"</f>
        <v>00121465</v>
      </c>
      <c r="H3914">
        <v>693</v>
      </c>
      <c r="I3914">
        <v>0</v>
      </c>
      <c r="J3914">
        <v>0</v>
      </c>
      <c r="K3914">
        <v>0</v>
      </c>
      <c r="L3914">
        <v>0</v>
      </c>
      <c r="M3914">
        <v>0</v>
      </c>
      <c r="N3914">
        <v>30</v>
      </c>
      <c r="O3914">
        <v>0</v>
      </c>
      <c r="P3914">
        <v>0</v>
      </c>
      <c r="Q3914">
        <v>0</v>
      </c>
      <c r="R3914">
        <v>0</v>
      </c>
      <c r="S3914">
        <v>0</v>
      </c>
      <c r="T3914">
        <v>0</v>
      </c>
      <c r="U3914">
        <v>0</v>
      </c>
      <c r="V3914">
        <v>12</v>
      </c>
      <c r="W3914">
        <v>84</v>
      </c>
      <c r="X3914">
        <v>0</v>
      </c>
      <c r="Z3914">
        <v>0</v>
      </c>
      <c r="AA3914">
        <v>0</v>
      </c>
      <c r="AB3914">
        <v>0</v>
      </c>
      <c r="AC3914">
        <v>0</v>
      </c>
      <c r="AD3914">
        <v>807</v>
      </c>
    </row>
    <row r="3915" spans="1:30" x14ac:dyDescent="0.25">
      <c r="H3915" t="s">
        <v>7147</v>
      </c>
    </row>
    <row r="3916" spans="1:30" x14ac:dyDescent="0.25">
      <c r="A3916">
        <v>1955</v>
      </c>
      <c r="B3916">
        <v>2994</v>
      </c>
      <c r="C3916" t="s">
        <v>7148</v>
      </c>
      <c r="D3916" t="s">
        <v>7149</v>
      </c>
      <c r="E3916" t="s">
        <v>7150</v>
      </c>
      <c r="F3916" t="s">
        <v>7151</v>
      </c>
      <c r="G3916" t="str">
        <f>"00163858"</f>
        <v>00163858</v>
      </c>
      <c r="H3916" t="s">
        <v>2705</v>
      </c>
      <c r="I3916">
        <v>0</v>
      </c>
      <c r="J3916">
        <v>0</v>
      </c>
      <c r="K3916">
        <v>0</v>
      </c>
      <c r="L3916">
        <v>0</v>
      </c>
      <c r="M3916">
        <v>0</v>
      </c>
      <c r="N3916">
        <v>0</v>
      </c>
      <c r="O3916">
        <v>0</v>
      </c>
      <c r="P3916">
        <v>0</v>
      </c>
      <c r="Q3916">
        <v>0</v>
      </c>
      <c r="R3916">
        <v>0</v>
      </c>
      <c r="S3916">
        <v>0</v>
      </c>
      <c r="T3916">
        <v>0</v>
      </c>
      <c r="U3916">
        <v>0</v>
      </c>
      <c r="V3916">
        <v>18</v>
      </c>
      <c r="W3916">
        <v>126</v>
      </c>
      <c r="X3916">
        <v>0</v>
      </c>
      <c r="Z3916">
        <v>0</v>
      </c>
      <c r="AA3916">
        <v>0</v>
      </c>
      <c r="AB3916">
        <v>0</v>
      </c>
      <c r="AC3916">
        <v>0</v>
      </c>
      <c r="AD3916" t="s">
        <v>7152</v>
      </c>
    </row>
    <row r="3917" spans="1:30" x14ac:dyDescent="0.25">
      <c r="H3917" t="s">
        <v>7153</v>
      </c>
    </row>
    <row r="3918" spans="1:30" x14ac:dyDescent="0.25">
      <c r="A3918">
        <v>1956</v>
      </c>
      <c r="B3918">
        <v>5128</v>
      </c>
      <c r="C3918" t="s">
        <v>2692</v>
      </c>
      <c r="D3918" t="s">
        <v>7154</v>
      </c>
      <c r="E3918" t="s">
        <v>47</v>
      </c>
      <c r="F3918" t="s">
        <v>7155</v>
      </c>
      <c r="G3918" t="str">
        <f>"00352500"</f>
        <v>00352500</v>
      </c>
      <c r="H3918" t="s">
        <v>826</v>
      </c>
      <c r="I3918">
        <v>0</v>
      </c>
      <c r="J3918">
        <v>0</v>
      </c>
      <c r="K3918">
        <v>0</v>
      </c>
      <c r="L3918">
        <v>0</v>
      </c>
      <c r="M3918">
        <v>0</v>
      </c>
      <c r="N3918">
        <v>30</v>
      </c>
      <c r="O3918">
        <v>0</v>
      </c>
      <c r="P3918">
        <v>0</v>
      </c>
      <c r="Q3918">
        <v>0</v>
      </c>
      <c r="R3918">
        <v>0</v>
      </c>
      <c r="S3918">
        <v>0</v>
      </c>
      <c r="T3918">
        <v>0</v>
      </c>
      <c r="U3918">
        <v>0</v>
      </c>
      <c r="V3918">
        <v>0</v>
      </c>
      <c r="W3918">
        <v>0</v>
      </c>
      <c r="X3918">
        <v>0</v>
      </c>
      <c r="Z3918">
        <v>0</v>
      </c>
      <c r="AA3918">
        <v>0</v>
      </c>
      <c r="AB3918">
        <v>0</v>
      </c>
      <c r="AC3918">
        <v>0</v>
      </c>
      <c r="AD3918" t="s">
        <v>7156</v>
      </c>
    </row>
    <row r="3919" spans="1:30" x14ac:dyDescent="0.25">
      <c r="H3919" t="s">
        <v>7157</v>
      </c>
    </row>
    <row r="3920" spans="1:30" x14ac:dyDescent="0.25">
      <c r="A3920">
        <v>1957</v>
      </c>
      <c r="B3920">
        <v>3927</v>
      </c>
      <c r="C3920" t="s">
        <v>3629</v>
      </c>
      <c r="D3920" t="s">
        <v>420</v>
      </c>
      <c r="E3920" t="s">
        <v>1292</v>
      </c>
      <c r="F3920" t="s">
        <v>3630</v>
      </c>
      <c r="G3920" t="str">
        <f>"201410010562"</f>
        <v>201410010562</v>
      </c>
      <c r="H3920" t="s">
        <v>1091</v>
      </c>
      <c r="I3920">
        <v>0</v>
      </c>
      <c r="J3920">
        <v>0</v>
      </c>
      <c r="K3920">
        <v>0</v>
      </c>
      <c r="L3920">
        <v>0</v>
      </c>
      <c r="M3920">
        <v>0</v>
      </c>
      <c r="N3920">
        <v>0</v>
      </c>
      <c r="O3920">
        <v>0</v>
      </c>
      <c r="P3920">
        <v>0</v>
      </c>
      <c r="Q3920">
        <v>0</v>
      </c>
      <c r="R3920">
        <v>0</v>
      </c>
      <c r="S3920">
        <v>0</v>
      </c>
      <c r="T3920">
        <v>0</v>
      </c>
      <c r="U3920">
        <v>0</v>
      </c>
      <c r="V3920">
        <v>14</v>
      </c>
      <c r="W3920">
        <v>98</v>
      </c>
      <c r="X3920">
        <v>0</v>
      </c>
      <c r="Z3920">
        <v>0</v>
      </c>
      <c r="AA3920">
        <v>0</v>
      </c>
      <c r="AB3920">
        <v>0</v>
      </c>
      <c r="AC3920">
        <v>0</v>
      </c>
      <c r="AD3920" t="s">
        <v>7158</v>
      </c>
    </row>
    <row r="3921" spans="1:30" x14ac:dyDescent="0.25">
      <c r="H3921" t="s">
        <v>3632</v>
      </c>
    </row>
    <row r="3922" spans="1:30" x14ac:dyDescent="0.25">
      <c r="A3922">
        <v>1958</v>
      </c>
      <c r="B3922">
        <v>5372</v>
      </c>
      <c r="C3922" t="s">
        <v>7159</v>
      </c>
      <c r="D3922" t="s">
        <v>46</v>
      </c>
      <c r="E3922" t="s">
        <v>40</v>
      </c>
      <c r="F3922" t="s">
        <v>7160</v>
      </c>
      <c r="G3922" t="str">
        <f>"00349185"</f>
        <v>00349185</v>
      </c>
      <c r="H3922" t="s">
        <v>94</v>
      </c>
      <c r="I3922">
        <v>0</v>
      </c>
      <c r="J3922">
        <v>0</v>
      </c>
      <c r="K3922">
        <v>0</v>
      </c>
      <c r="L3922">
        <v>0</v>
      </c>
      <c r="M3922">
        <v>0</v>
      </c>
      <c r="N3922">
        <v>0</v>
      </c>
      <c r="O3922">
        <v>0</v>
      </c>
      <c r="P3922">
        <v>0</v>
      </c>
      <c r="Q3922">
        <v>0</v>
      </c>
      <c r="R3922">
        <v>0</v>
      </c>
      <c r="S3922">
        <v>0</v>
      </c>
      <c r="T3922">
        <v>0</v>
      </c>
      <c r="U3922">
        <v>0</v>
      </c>
      <c r="V3922">
        <v>8</v>
      </c>
      <c r="W3922">
        <v>56</v>
      </c>
      <c r="X3922">
        <v>0</v>
      </c>
      <c r="Z3922">
        <v>1</v>
      </c>
      <c r="AA3922">
        <v>0</v>
      </c>
      <c r="AB3922">
        <v>0</v>
      </c>
      <c r="AC3922">
        <v>0</v>
      </c>
      <c r="AD3922" t="s">
        <v>7161</v>
      </c>
    </row>
    <row r="3923" spans="1:30" x14ac:dyDescent="0.25">
      <c r="H3923" t="s">
        <v>7162</v>
      </c>
    </row>
    <row r="3924" spans="1:30" x14ac:dyDescent="0.25">
      <c r="A3924">
        <v>1959</v>
      </c>
      <c r="B3924">
        <v>2917</v>
      </c>
      <c r="C3924" t="s">
        <v>7163</v>
      </c>
      <c r="D3924" t="s">
        <v>46</v>
      </c>
      <c r="E3924" t="s">
        <v>547</v>
      </c>
      <c r="F3924" t="s">
        <v>7164</v>
      </c>
      <c r="G3924" t="str">
        <f>"00012566"</f>
        <v>00012566</v>
      </c>
      <c r="H3924" t="s">
        <v>1345</v>
      </c>
      <c r="I3924">
        <v>0</v>
      </c>
      <c r="J3924">
        <v>0</v>
      </c>
      <c r="K3924">
        <v>0</v>
      </c>
      <c r="L3924">
        <v>0</v>
      </c>
      <c r="M3924">
        <v>0</v>
      </c>
      <c r="N3924">
        <v>30</v>
      </c>
      <c r="O3924">
        <v>0</v>
      </c>
      <c r="P3924">
        <v>30</v>
      </c>
      <c r="Q3924">
        <v>0</v>
      </c>
      <c r="R3924">
        <v>0</v>
      </c>
      <c r="S3924">
        <v>0</v>
      </c>
      <c r="T3924">
        <v>0</v>
      </c>
      <c r="U3924">
        <v>0</v>
      </c>
      <c r="V3924">
        <v>0</v>
      </c>
      <c r="W3924">
        <v>0</v>
      </c>
      <c r="X3924">
        <v>0</v>
      </c>
      <c r="Z3924">
        <v>0</v>
      </c>
      <c r="AA3924">
        <v>0</v>
      </c>
      <c r="AB3924">
        <v>0</v>
      </c>
      <c r="AC3924">
        <v>0</v>
      </c>
      <c r="AD3924" t="s">
        <v>7165</v>
      </c>
    </row>
    <row r="3925" spans="1:30" x14ac:dyDescent="0.25">
      <c r="H3925" t="s">
        <v>7166</v>
      </c>
    </row>
    <row r="3926" spans="1:30" x14ac:dyDescent="0.25">
      <c r="A3926">
        <v>1960</v>
      </c>
      <c r="B3926">
        <v>5535</v>
      </c>
      <c r="C3926" t="s">
        <v>7167</v>
      </c>
      <c r="D3926" t="s">
        <v>7168</v>
      </c>
      <c r="E3926" t="s">
        <v>108</v>
      </c>
      <c r="F3926" t="s">
        <v>7169</v>
      </c>
      <c r="G3926" t="str">
        <f>"00336070"</f>
        <v>00336070</v>
      </c>
      <c r="H3926" t="s">
        <v>638</v>
      </c>
      <c r="I3926">
        <v>0</v>
      </c>
      <c r="J3926">
        <v>0</v>
      </c>
      <c r="K3926">
        <v>0</v>
      </c>
      <c r="L3926">
        <v>0</v>
      </c>
      <c r="M3926">
        <v>0</v>
      </c>
      <c r="N3926">
        <v>0</v>
      </c>
      <c r="O3926">
        <v>0</v>
      </c>
      <c r="P3926">
        <v>0</v>
      </c>
      <c r="Q3926">
        <v>0</v>
      </c>
      <c r="R3926">
        <v>0</v>
      </c>
      <c r="S3926">
        <v>0</v>
      </c>
      <c r="T3926">
        <v>0</v>
      </c>
      <c r="U3926">
        <v>0</v>
      </c>
      <c r="V3926">
        <v>14</v>
      </c>
      <c r="W3926">
        <v>98</v>
      </c>
      <c r="X3926">
        <v>0</v>
      </c>
      <c r="Z3926">
        <v>0</v>
      </c>
      <c r="AA3926">
        <v>0</v>
      </c>
      <c r="AB3926">
        <v>0</v>
      </c>
      <c r="AC3926">
        <v>0</v>
      </c>
      <c r="AD3926" t="s">
        <v>7170</v>
      </c>
    </row>
    <row r="3927" spans="1:30" x14ac:dyDescent="0.25">
      <c r="H3927" t="s">
        <v>7171</v>
      </c>
    </row>
    <row r="3928" spans="1:30" x14ac:dyDescent="0.25">
      <c r="A3928">
        <v>1961</v>
      </c>
      <c r="B3928">
        <v>1508</v>
      </c>
      <c r="C3928" t="s">
        <v>595</v>
      </c>
      <c r="D3928" t="s">
        <v>7172</v>
      </c>
      <c r="E3928" t="s">
        <v>99</v>
      </c>
      <c r="F3928" t="s">
        <v>7173</v>
      </c>
      <c r="G3928" t="str">
        <f>"201412000551"</f>
        <v>201412000551</v>
      </c>
      <c r="H3928" t="s">
        <v>4168</v>
      </c>
      <c r="I3928">
        <v>0</v>
      </c>
      <c r="J3928">
        <v>0</v>
      </c>
      <c r="K3928">
        <v>0</v>
      </c>
      <c r="L3928">
        <v>0</v>
      </c>
      <c r="M3928">
        <v>0</v>
      </c>
      <c r="N3928">
        <v>0</v>
      </c>
      <c r="O3928">
        <v>0</v>
      </c>
      <c r="P3928">
        <v>0</v>
      </c>
      <c r="Q3928">
        <v>0</v>
      </c>
      <c r="R3928">
        <v>0</v>
      </c>
      <c r="S3928">
        <v>0</v>
      </c>
      <c r="T3928">
        <v>0</v>
      </c>
      <c r="U3928">
        <v>0</v>
      </c>
      <c r="V3928">
        <v>8</v>
      </c>
      <c r="W3928">
        <v>56</v>
      </c>
      <c r="X3928">
        <v>0</v>
      </c>
      <c r="Z3928">
        <v>1</v>
      </c>
      <c r="AA3928">
        <v>0</v>
      </c>
      <c r="AB3928">
        <v>0</v>
      </c>
      <c r="AC3928">
        <v>0</v>
      </c>
      <c r="AD3928" t="s">
        <v>7174</v>
      </c>
    </row>
    <row r="3929" spans="1:30" x14ac:dyDescent="0.25">
      <c r="H3929" t="s">
        <v>7175</v>
      </c>
    </row>
    <row r="3930" spans="1:30" x14ac:dyDescent="0.25">
      <c r="A3930">
        <v>1962</v>
      </c>
      <c r="B3930">
        <v>5741</v>
      </c>
      <c r="C3930" t="s">
        <v>7176</v>
      </c>
      <c r="D3930" t="s">
        <v>346</v>
      </c>
      <c r="E3930" t="s">
        <v>39</v>
      </c>
      <c r="F3930" t="s">
        <v>7177</v>
      </c>
      <c r="G3930" t="str">
        <f>"00274771"</f>
        <v>00274771</v>
      </c>
      <c r="H3930" t="s">
        <v>1063</v>
      </c>
      <c r="I3930">
        <v>0</v>
      </c>
      <c r="J3930">
        <v>0</v>
      </c>
      <c r="K3930">
        <v>0</v>
      </c>
      <c r="L3930">
        <v>0</v>
      </c>
      <c r="M3930">
        <v>0</v>
      </c>
      <c r="N3930">
        <v>30</v>
      </c>
      <c r="O3930">
        <v>30</v>
      </c>
      <c r="P3930">
        <v>0</v>
      </c>
      <c r="Q3930">
        <v>0</v>
      </c>
      <c r="R3930">
        <v>0</v>
      </c>
      <c r="S3930">
        <v>0</v>
      </c>
      <c r="T3930">
        <v>0</v>
      </c>
      <c r="U3930">
        <v>0</v>
      </c>
      <c r="V3930">
        <v>0</v>
      </c>
      <c r="W3930">
        <v>0</v>
      </c>
      <c r="X3930">
        <v>0</v>
      </c>
      <c r="Z3930">
        <v>0</v>
      </c>
      <c r="AA3930">
        <v>0</v>
      </c>
      <c r="AB3930">
        <v>0</v>
      </c>
      <c r="AC3930">
        <v>0</v>
      </c>
      <c r="AD3930" t="s">
        <v>7178</v>
      </c>
    </row>
    <row r="3931" spans="1:30" x14ac:dyDescent="0.25">
      <c r="H3931" t="s">
        <v>7179</v>
      </c>
    </row>
    <row r="3932" spans="1:30" x14ac:dyDescent="0.25">
      <c r="A3932">
        <v>1963</v>
      </c>
      <c r="B3932">
        <v>6279</v>
      </c>
      <c r="C3932" t="s">
        <v>7180</v>
      </c>
      <c r="D3932" t="s">
        <v>968</v>
      </c>
      <c r="E3932" t="s">
        <v>595</v>
      </c>
      <c r="F3932" t="s">
        <v>7181</v>
      </c>
      <c r="G3932" t="str">
        <f>"00371297"</f>
        <v>00371297</v>
      </c>
      <c r="H3932" t="s">
        <v>2116</v>
      </c>
      <c r="I3932">
        <v>0</v>
      </c>
      <c r="J3932">
        <v>0</v>
      </c>
      <c r="K3932">
        <v>0</v>
      </c>
      <c r="L3932">
        <v>0</v>
      </c>
      <c r="M3932">
        <v>0</v>
      </c>
      <c r="N3932">
        <v>70</v>
      </c>
      <c r="O3932">
        <v>0</v>
      </c>
      <c r="P3932">
        <v>0</v>
      </c>
      <c r="Q3932">
        <v>0</v>
      </c>
      <c r="R3932">
        <v>0</v>
      </c>
      <c r="S3932">
        <v>0</v>
      </c>
      <c r="T3932">
        <v>0</v>
      </c>
      <c r="U3932">
        <v>0</v>
      </c>
      <c r="V3932">
        <v>8</v>
      </c>
      <c r="W3932">
        <v>56</v>
      </c>
      <c r="X3932">
        <v>0</v>
      </c>
      <c r="Z3932">
        <v>0</v>
      </c>
      <c r="AA3932">
        <v>0</v>
      </c>
      <c r="AB3932">
        <v>0</v>
      </c>
      <c r="AC3932">
        <v>0</v>
      </c>
      <c r="AD3932" t="s">
        <v>7178</v>
      </c>
    </row>
    <row r="3933" spans="1:30" x14ac:dyDescent="0.25">
      <c r="H3933" t="s">
        <v>7182</v>
      </c>
    </row>
    <row r="3934" spans="1:30" x14ac:dyDescent="0.25">
      <c r="A3934">
        <v>1964</v>
      </c>
      <c r="B3934">
        <v>2369</v>
      </c>
      <c r="C3934" t="s">
        <v>1185</v>
      </c>
      <c r="D3934" t="s">
        <v>335</v>
      </c>
      <c r="E3934" t="s">
        <v>40</v>
      </c>
      <c r="F3934" t="s">
        <v>5923</v>
      </c>
      <c r="G3934" t="str">
        <f>"201402003742"</f>
        <v>201402003742</v>
      </c>
      <c r="H3934" t="s">
        <v>2325</v>
      </c>
      <c r="I3934">
        <v>0</v>
      </c>
      <c r="J3934">
        <v>0</v>
      </c>
      <c r="K3934">
        <v>0</v>
      </c>
      <c r="L3934">
        <v>0</v>
      </c>
      <c r="M3934">
        <v>0</v>
      </c>
      <c r="N3934">
        <v>50</v>
      </c>
      <c r="O3934">
        <v>0</v>
      </c>
      <c r="P3934">
        <v>0</v>
      </c>
      <c r="Q3934">
        <v>0</v>
      </c>
      <c r="R3934">
        <v>0</v>
      </c>
      <c r="S3934">
        <v>0</v>
      </c>
      <c r="T3934">
        <v>0</v>
      </c>
      <c r="U3934">
        <v>0</v>
      </c>
      <c r="V3934">
        <v>0</v>
      </c>
      <c r="W3934">
        <v>0</v>
      </c>
      <c r="X3934">
        <v>0</v>
      </c>
      <c r="Z3934">
        <v>1</v>
      </c>
      <c r="AA3934">
        <v>0</v>
      </c>
      <c r="AB3934">
        <v>0</v>
      </c>
      <c r="AC3934">
        <v>0</v>
      </c>
      <c r="AD3934" t="s">
        <v>7183</v>
      </c>
    </row>
    <row r="3935" spans="1:30" x14ac:dyDescent="0.25">
      <c r="H3935" t="s">
        <v>5925</v>
      </c>
    </row>
    <row r="3936" spans="1:30" x14ac:dyDescent="0.25">
      <c r="A3936">
        <v>1965</v>
      </c>
      <c r="B3936">
        <v>3281</v>
      </c>
      <c r="C3936" t="s">
        <v>7184</v>
      </c>
      <c r="D3936" t="s">
        <v>99</v>
      </c>
      <c r="E3936" t="s">
        <v>183</v>
      </c>
      <c r="F3936" t="s">
        <v>7185</v>
      </c>
      <c r="G3936" t="str">
        <f>"00289072"</f>
        <v>00289072</v>
      </c>
      <c r="H3936" t="s">
        <v>352</v>
      </c>
      <c r="I3936">
        <v>0</v>
      </c>
      <c r="J3936">
        <v>0</v>
      </c>
      <c r="K3936">
        <v>0</v>
      </c>
      <c r="L3936">
        <v>0</v>
      </c>
      <c r="M3936">
        <v>0</v>
      </c>
      <c r="N3936">
        <v>30</v>
      </c>
      <c r="O3936">
        <v>0</v>
      </c>
      <c r="P3936">
        <v>0</v>
      </c>
      <c r="Q3936">
        <v>0</v>
      </c>
      <c r="R3936">
        <v>0</v>
      </c>
      <c r="S3936">
        <v>0</v>
      </c>
      <c r="T3936">
        <v>0</v>
      </c>
      <c r="U3936">
        <v>0</v>
      </c>
      <c r="V3936">
        <v>0</v>
      </c>
      <c r="W3936">
        <v>0</v>
      </c>
      <c r="X3936">
        <v>0</v>
      </c>
      <c r="Z3936">
        <v>0</v>
      </c>
      <c r="AA3936">
        <v>0</v>
      </c>
      <c r="AB3936">
        <v>0</v>
      </c>
      <c r="AC3936">
        <v>0</v>
      </c>
      <c r="AD3936" t="s">
        <v>7186</v>
      </c>
    </row>
    <row r="3937" spans="1:30" x14ac:dyDescent="0.25">
      <c r="H3937" t="s">
        <v>7187</v>
      </c>
    </row>
    <row r="3938" spans="1:30" x14ac:dyDescent="0.25">
      <c r="A3938">
        <v>1966</v>
      </c>
      <c r="B3938">
        <v>2620</v>
      </c>
      <c r="C3938" t="s">
        <v>7188</v>
      </c>
      <c r="D3938" t="s">
        <v>661</v>
      </c>
      <c r="E3938" t="s">
        <v>509</v>
      </c>
      <c r="F3938" t="s">
        <v>7189</v>
      </c>
      <c r="G3938" t="str">
        <f>"201405000517"</f>
        <v>201405000517</v>
      </c>
      <c r="H3938" t="s">
        <v>7190</v>
      </c>
      <c r="I3938">
        <v>0</v>
      </c>
      <c r="J3938">
        <v>0</v>
      </c>
      <c r="K3938">
        <v>0</v>
      </c>
      <c r="L3938">
        <v>0</v>
      </c>
      <c r="M3938">
        <v>0</v>
      </c>
      <c r="N3938">
        <v>50</v>
      </c>
      <c r="O3938">
        <v>0</v>
      </c>
      <c r="P3938">
        <v>0</v>
      </c>
      <c r="Q3938">
        <v>0</v>
      </c>
      <c r="R3938">
        <v>0</v>
      </c>
      <c r="S3938">
        <v>0</v>
      </c>
      <c r="T3938">
        <v>0</v>
      </c>
      <c r="U3938">
        <v>0</v>
      </c>
      <c r="V3938">
        <v>13</v>
      </c>
      <c r="W3938">
        <v>91</v>
      </c>
      <c r="X3938">
        <v>0</v>
      </c>
      <c r="Z3938">
        <v>0</v>
      </c>
      <c r="AA3938">
        <v>0</v>
      </c>
      <c r="AB3938">
        <v>0</v>
      </c>
      <c r="AC3938">
        <v>0</v>
      </c>
      <c r="AD3938" t="s">
        <v>7191</v>
      </c>
    </row>
    <row r="3939" spans="1:30" x14ac:dyDescent="0.25">
      <c r="H3939" t="s">
        <v>7192</v>
      </c>
    </row>
    <row r="3940" spans="1:30" x14ac:dyDescent="0.25">
      <c r="A3940">
        <v>1967</v>
      </c>
      <c r="B3940">
        <v>5023</v>
      </c>
      <c r="C3940" t="s">
        <v>2641</v>
      </c>
      <c r="D3940" t="s">
        <v>86</v>
      </c>
      <c r="E3940" t="s">
        <v>162</v>
      </c>
      <c r="F3940" t="s">
        <v>7193</v>
      </c>
      <c r="G3940" t="str">
        <f>"00357953"</f>
        <v>00357953</v>
      </c>
      <c r="H3940" t="s">
        <v>562</v>
      </c>
      <c r="I3940">
        <v>0</v>
      </c>
      <c r="J3940">
        <v>0</v>
      </c>
      <c r="K3940">
        <v>0</v>
      </c>
      <c r="L3940">
        <v>0</v>
      </c>
      <c r="M3940">
        <v>0</v>
      </c>
      <c r="N3940">
        <v>50</v>
      </c>
      <c r="O3940">
        <v>0</v>
      </c>
      <c r="P3940">
        <v>70</v>
      </c>
      <c r="Q3940">
        <v>0</v>
      </c>
      <c r="R3940">
        <v>0</v>
      </c>
      <c r="S3940">
        <v>0</v>
      </c>
      <c r="T3940">
        <v>0</v>
      </c>
      <c r="U3940">
        <v>0</v>
      </c>
      <c r="V3940">
        <v>0</v>
      </c>
      <c r="W3940">
        <v>0</v>
      </c>
      <c r="X3940">
        <v>0</v>
      </c>
      <c r="Z3940">
        <v>0</v>
      </c>
      <c r="AA3940">
        <v>0</v>
      </c>
      <c r="AB3940">
        <v>0</v>
      </c>
      <c r="AC3940">
        <v>0</v>
      </c>
      <c r="AD3940" t="s">
        <v>7194</v>
      </c>
    </row>
    <row r="3941" spans="1:30" x14ac:dyDescent="0.25">
      <c r="H3941" t="s">
        <v>7195</v>
      </c>
    </row>
    <row r="3942" spans="1:30" x14ac:dyDescent="0.25">
      <c r="A3942">
        <v>1968</v>
      </c>
      <c r="B3942">
        <v>1611</v>
      </c>
      <c r="C3942" t="s">
        <v>7196</v>
      </c>
      <c r="D3942" t="s">
        <v>40</v>
      </c>
      <c r="E3942" t="s">
        <v>140</v>
      </c>
      <c r="F3942" t="s">
        <v>7197</v>
      </c>
      <c r="G3942" t="str">
        <f>"201601000064"</f>
        <v>201601000064</v>
      </c>
      <c r="H3942" t="s">
        <v>332</v>
      </c>
      <c r="I3942">
        <v>0</v>
      </c>
      <c r="J3942">
        <v>0</v>
      </c>
      <c r="K3942">
        <v>0</v>
      </c>
      <c r="L3942">
        <v>0</v>
      </c>
      <c r="M3942">
        <v>0</v>
      </c>
      <c r="N3942">
        <v>70</v>
      </c>
      <c r="O3942">
        <v>0</v>
      </c>
      <c r="P3942">
        <v>0</v>
      </c>
      <c r="Q3942">
        <v>0</v>
      </c>
      <c r="R3942">
        <v>0</v>
      </c>
      <c r="S3942">
        <v>0</v>
      </c>
      <c r="T3942">
        <v>0</v>
      </c>
      <c r="U3942">
        <v>0</v>
      </c>
      <c r="V3942">
        <v>0</v>
      </c>
      <c r="W3942">
        <v>0</v>
      </c>
      <c r="X3942">
        <v>0</v>
      </c>
      <c r="Z3942">
        <v>0</v>
      </c>
      <c r="AA3942">
        <v>0</v>
      </c>
      <c r="AB3942">
        <v>0</v>
      </c>
      <c r="AC3942">
        <v>0</v>
      </c>
      <c r="AD3942" t="s">
        <v>7198</v>
      </c>
    </row>
    <row r="3943" spans="1:30" x14ac:dyDescent="0.25">
      <c r="H3943" t="s">
        <v>7199</v>
      </c>
    </row>
    <row r="3944" spans="1:30" x14ac:dyDescent="0.25">
      <c r="A3944">
        <v>1969</v>
      </c>
      <c r="B3944">
        <v>5017</v>
      </c>
      <c r="C3944" t="s">
        <v>7200</v>
      </c>
      <c r="D3944" t="s">
        <v>151</v>
      </c>
      <c r="E3944" t="s">
        <v>40</v>
      </c>
      <c r="F3944" t="s">
        <v>7201</v>
      </c>
      <c r="G3944" t="str">
        <f>"201306000094"</f>
        <v>201306000094</v>
      </c>
      <c r="H3944" t="s">
        <v>2618</v>
      </c>
      <c r="I3944">
        <v>0</v>
      </c>
      <c r="J3944">
        <v>0</v>
      </c>
      <c r="K3944">
        <v>0</v>
      </c>
      <c r="L3944">
        <v>0</v>
      </c>
      <c r="M3944">
        <v>0</v>
      </c>
      <c r="N3944">
        <v>30</v>
      </c>
      <c r="O3944">
        <v>0</v>
      </c>
      <c r="P3944">
        <v>0</v>
      </c>
      <c r="Q3944">
        <v>0</v>
      </c>
      <c r="R3944">
        <v>0</v>
      </c>
      <c r="S3944">
        <v>0</v>
      </c>
      <c r="T3944">
        <v>0</v>
      </c>
      <c r="U3944">
        <v>0</v>
      </c>
      <c r="V3944">
        <v>9</v>
      </c>
      <c r="W3944">
        <v>63</v>
      </c>
      <c r="X3944">
        <v>0</v>
      </c>
      <c r="Z3944">
        <v>0</v>
      </c>
      <c r="AA3944">
        <v>0</v>
      </c>
      <c r="AB3944">
        <v>0</v>
      </c>
      <c r="AC3944">
        <v>0</v>
      </c>
      <c r="AD3944" t="s">
        <v>7202</v>
      </c>
    </row>
    <row r="3945" spans="1:30" x14ac:dyDescent="0.25">
      <c r="H3945" t="s">
        <v>7203</v>
      </c>
    </row>
    <row r="3946" spans="1:30" x14ac:dyDescent="0.25">
      <c r="A3946">
        <v>1970</v>
      </c>
      <c r="B3946">
        <v>4782</v>
      </c>
      <c r="C3946" t="s">
        <v>7204</v>
      </c>
      <c r="D3946" t="s">
        <v>3616</v>
      </c>
      <c r="E3946" t="s">
        <v>282</v>
      </c>
      <c r="F3946" t="s">
        <v>7205</v>
      </c>
      <c r="G3946" t="str">
        <f>"00339524"</f>
        <v>00339524</v>
      </c>
      <c r="H3946" t="s">
        <v>219</v>
      </c>
      <c r="I3946">
        <v>0</v>
      </c>
      <c r="J3946">
        <v>0</v>
      </c>
      <c r="K3946">
        <v>0</v>
      </c>
      <c r="L3946">
        <v>0</v>
      </c>
      <c r="M3946">
        <v>0</v>
      </c>
      <c r="N3946">
        <v>30</v>
      </c>
      <c r="O3946">
        <v>0</v>
      </c>
      <c r="P3946">
        <v>0</v>
      </c>
      <c r="Q3946">
        <v>0</v>
      </c>
      <c r="R3946">
        <v>0</v>
      </c>
      <c r="S3946">
        <v>0</v>
      </c>
      <c r="T3946">
        <v>0</v>
      </c>
      <c r="U3946">
        <v>0</v>
      </c>
      <c r="V3946">
        <v>0</v>
      </c>
      <c r="W3946">
        <v>0</v>
      </c>
      <c r="X3946">
        <v>0</v>
      </c>
      <c r="Z3946">
        <v>0</v>
      </c>
      <c r="AA3946">
        <v>0</v>
      </c>
      <c r="AB3946">
        <v>0</v>
      </c>
      <c r="AC3946">
        <v>0</v>
      </c>
      <c r="AD3946" t="s">
        <v>7206</v>
      </c>
    </row>
    <row r="3947" spans="1:30" x14ac:dyDescent="0.25">
      <c r="H3947">
        <v>1250</v>
      </c>
    </row>
    <row r="3948" spans="1:30" x14ac:dyDescent="0.25">
      <c r="A3948">
        <v>1971</v>
      </c>
      <c r="B3948">
        <v>1600</v>
      </c>
      <c r="C3948" t="s">
        <v>7207</v>
      </c>
      <c r="D3948" t="s">
        <v>335</v>
      </c>
      <c r="E3948" t="s">
        <v>7208</v>
      </c>
      <c r="F3948" t="s">
        <v>7209</v>
      </c>
      <c r="G3948" t="str">
        <f>"201409005046"</f>
        <v>201409005046</v>
      </c>
      <c r="H3948" t="s">
        <v>769</v>
      </c>
      <c r="I3948">
        <v>0</v>
      </c>
      <c r="J3948">
        <v>0</v>
      </c>
      <c r="K3948">
        <v>0</v>
      </c>
      <c r="L3948">
        <v>0</v>
      </c>
      <c r="M3948">
        <v>0</v>
      </c>
      <c r="N3948">
        <v>0</v>
      </c>
      <c r="O3948">
        <v>0</v>
      </c>
      <c r="P3948">
        <v>0</v>
      </c>
      <c r="Q3948">
        <v>0</v>
      </c>
      <c r="R3948">
        <v>0</v>
      </c>
      <c r="S3948">
        <v>0</v>
      </c>
      <c r="T3948">
        <v>0</v>
      </c>
      <c r="U3948">
        <v>0</v>
      </c>
      <c r="V3948">
        <v>6</v>
      </c>
      <c r="W3948">
        <v>42</v>
      </c>
      <c r="X3948">
        <v>0</v>
      </c>
      <c r="Z3948">
        <v>1</v>
      </c>
      <c r="AA3948">
        <v>0</v>
      </c>
      <c r="AB3948">
        <v>0</v>
      </c>
      <c r="AC3948">
        <v>0</v>
      </c>
      <c r="AD3948" t="s">
        <v>7210</v>
      </c>
    </row>
    <row r="3949" spans="1:30" x14ac:dyDescent="0.25">
      <c r="H3949">
        <v>1247</v>
      </c>
    </row>
    <row r="3950" spans="1:30" x14ac:dyDescent="0.25">
      <c r="A3950">
        <v>1972</v>
      </c>
      <c r="B3950">
        <v>1927</v>
      </c>
      <c r="C3950" t="s">
        <v>7211</v>
      </c>
      <c r="D3950" t="s">
        <v>98</v>
      </c>
      <c r="E3950" t="s">
        <v>107</v>
      </c>
      <c r="F3950" t="s">
        <v>7212</v>
      </c>
      <c r="G3950" t="str">
        <f>"00312544"</f>
        <v>00312544</v>
      </c>
      <c r="H3950" t="s">
        <v>226</v>
      </c>
      <c r="I3950">
        <v>0</v>
      </c>
      <c r="J3950">
        <v>0</v>
      </c>
      <c r="K3950">
        <v>0</v>
      </c>
      <c r="L3950">
        <v>0</v>
      </c>
      <c r="M3950">
        <v>0</v>
      </c>
      <c r="N3950">
        <v>30</v>
      </c>
      <c r="O3950">
        <v>0</v>
      </c>
      <c r="P3950">
        <v>0</v>
      </c>
      <c r="Q3950">
        <v>0</v>
      </c>
      <c r="R3950">
        <v>0</v>
      </c>
      <c r="S3950">
        <v>0</v>
      </c>
      <c r="T3950">
        <v>0</v>
      </c>
      <c r="U3950">
        <v>0</v>
      </c>
      <c r="V3950">
        <v>0</v>
      </c>
      <c r="W3950">
        <v>0</v>
      </c>
      <c r="X3950">
        <v>0</v>
      </c>
      <c r="Z3950">
        <v>0</v>
      </c>
      <c r="AA3950">
        <v>0</v>
      </c>
      <c r="AB3950">
        <v>0</v>
      </c>
      <c r="AC3950">
        <v>0</v>
      </c>
      <c r="AD3950" t="s">
        <v>7213</v>
      </c>
    </row>
    <row r="3951" spans="1:30" x14ac:dyDescent="0.25">
      <c r="H3951" t="s">
        <v>7214</v>
      </c>
    </row>
    <row r="3952" spans="1:30" x14ac:dyDescent="0.25">
      <c r="A3952">
        <v>1973</v>
      </c>
      <c r="B3952">
        <v>966</v>
      </c>
      <c r="C3952" t="s">
        <v>7215</v>
      </c>
      <c r="D3952" t="s">
        <v>33</v>
      </c>
      <c r="E3952" t="s">
        <v>40</v>
      </c>
      <c r="F3952" t="s">
        <v>7216</v>
      </c>
      <c r="G3952" t="str">
        <f>"00219140"</f>
        <v>00219140</v>
      </c>
      <c r="H3952" t="s">
        <v>642</v>
      </c>
      <c r="I3952">
        <v>0</v>
      </c>
      <c r="J3952">
        <v>0</v>
      </c>
      <c r="K3952">
        <v>0</v>
      </c>
      <c r="L3952">
        <v>0</v>
      </c>
      <c r="M3952">
        <v>0</v>
      </c>
      <c r="N3952">
        <v>0</v>
      </c>
      <c r="O3952">
        <v>0</v>
      </c>
      <c r="P3952">
        <v>0</v>
      </c>
      <c r="Q3952">
        <v>0</v>
      </c>
      <c r="R3952">
        <v>0</v>
      </c>
      <c r="S3952">
        <v>0</v>
      </c>
      <c r="T3952">
        <v>0</v>
      </c>
      <c r="U3952">
        <v>0</v>
      </c>
      <c r="V3952">
        <v>20</v>
      </c>
      <c r="W3952">
        <v>140</v>
      </c>
      <c r="X3952">
        <v>0</v>
      </c>
      <c r="Z3952">
        <v>0</v>
      </c>
      <c r="AA3952">
        <v>0</v>
      </c>
      <c r="AB3952">
        <v>0</v>
      </c>
      <c r="AC3952">
        <v>0</v>
      </c>
      <c r="AD3952" t="s">
        <v>7213</v>
      </c>
    </row>
    <row r="3953" spans="1:30" x14ac:dyDescent="0.25">
      <c r="H3953" t="s">
        <v>7217</v>
      </c>
    </row>
    <row r="3954" spans="1:30" x14ac:dyDescent="0.25">
      <c r="A3954">
        <v>1974</v>
      </c>
      <c r="B3954">
        <v>3378</v>
      </c>
      <c r="C3954" t="s">
        <v>7218</v>
      </c>
      <c r="D3954" t="s">
        <v>239</v>
      </c>
      <c r="E3954" t="s">
        <v>47</v>
      </c>
      <c r="F3954" t="s">
        <v>7219</v>
      </c>
      <c r="G3954" t="str">
        <f>"201402011677"</f>
        <v>201402011677</v>
      </c>
      <c r="H3954" t="s">
        <v>204</v>
      </c>
      <c r="I3954">
        <v>0</v>
      </c>
      <c r="J3954">
        <v>0</v>
      </c>
      <c r="K3954">
        <v>0</v>
      </c>
      <c r="L3954">
        <v>0</v>
      </c>
      <c r="M3954">
        <v>0</v>
      </c>
      <c r="N3954">
        <v>70</v>
      </c>
      <c r="O3954">
        <v>0</v>
      </c>
      <c r="P3954">
        <v>0</v>
      </c>
      <c r="Q3954">
        <v>0</v>
      </c>
      <c r="R3954">
        <v>0</v>
      </c>
      <c r="S3954">
        <v>0</v>
      </c>
      <c r="T3954">
        <v>0</v>
      </c>
      <c r="U3954">
        <v>0</v>
      </c>
      <c r="V3954">
        <v>0</v>
      </c>
      <c r="W3954">
        <v>0</v>
      </c>
      <c r="X3954">
        <v>0</v>
      </c>
      <c r="Z3954">
        <v>0</v>
      </c>
      <c r="AA3954">
        <v>0</v>
      </c>
      <c r="AB3954">
        <v>0</v>
      </c>
      <c r="AC3954">
        <v>0</v>
      </c>
      <c r="AD3954" t="s">
        <v>7220</v>
      </c>
    </row>
    <row r="3955" spans="1:30" x14ac:dyDescent="0.25">
      <c r="H3955" t="s">
        <v>7221</v>
      </c>
    </row>
    <row r="3956" spans="1:30" x14ac:dyDescent="0.25">
      <c r="A3956">
        <v>1975</v>
      </c>
      <c r="B3956">
        <v>1443</v>
      </c>
      <c r="C3956" t="s">
        <v>6054</v>
      </c>
      <c r="D3956" t="s">
        <v>47</v>
      </c>
      <c r="E3956" t="s">
        <v>7222</v>
      </c>
      <c r="F3956" t="s">
        <v>7223</v>
      </c>
      <c r="G3956" t="str">
        <f>"00313511"</f>
        <v>00313511</v>
      </c>
      <c r="H3956" t="s">
        <v>3232</v>
      </c>
      <c r="I3956">
        <v>0</v>
      </c>
      <c r="J3956">
        <v>0</v>
      </c>
      <c r="K3956">
        <v>0</v>
      </c>
      <c r="L3956">
        <v>0</v>
      </c>
      <c r="M3956">
        <v>0</v>
      </c>
      <c r="N3956">
        <v>70</v>
      </c>
      <c r="O3956">
        <v>0</v>
      </c>
      <c r="P3956">
        <v>0</v>
      </c>
      <c r="Q3956">
        <v>0</v>
      </c>
      <c r="R3956">
        <v>0</v>
      </c>
      <c r="S3956">
        <v>0</v>
      </c>
      <c r="T3956">
        <v>0</v>
      </c>
      <c r="U3956">
        <v>0</v>
      </c>
      <c r="V3956">
        <v>8</v>
      </c>
      <c r="W3956">
        <v>56</v>
      </c>
      <c r="X3956">
        <v>0</v>
      </c>
      <c r="Z3956">
        <v>0</v>
      </c>
      <c r="AA3956">
        <v>0</v>
      </c>
      <c r="AB3956">
        <v>0</v>
      </c>
      <c r="AC3956">
        <v>0</v>
      </c>
      <c r="AD3956" t="s">
        <v>7224</v>
      </c>
    </row>
    <row r="3957" spans="1:30" x14ac:dyDescent="0.25">
      <c r="H3957" t="s">
        <v>7225</v>
      </c>
    </row>
    <row r="3958" spans="1:30" x14ac:dyDescent="0.25">
      <c r="A3958">
        <v>1976</v>
      </c>
      <c r="B3958">
        <v>2216</v>
      </c>
      <c r="C3958" t="s">
        <v>7226</v>
      </c>
      <c r="D3958" t="s">
        <v>1620</v>
      </c>
      <c r="E3958" t="s">
        <v>183</v>
      </c>
      <c r="F3958" t="s">
        <v>7227</v>
      </c>
      <c r="G3958" t="str">
        <f>"00295047"</f>
        <v>00295047</v>
      </c>
      <c r="H3958">
        <v>770</v>
      </c>
      <c r="I3958">
        <v>0</v>
      </c>
      <c r="J3958">
        <v>0</v>
      </c>
      <c r="K3958">
        <v>0</v>
      </c>
      <c r="L3958">
        <v>0</v>
      </c>
      <c r="M3958">
        <v>0</v>
      </c>
      <c r="N3958">
        <v>30</v>
      </c>
      <c r="O3958">
        <v>0</v>
      </c>
      <c r="P3958">
        <v>0</v>
      </c>
      <c r="Q3958">
        <v>0</v>
      </c>
      <c r="R3958">
        <v>0</v>
      </c>
      <c r="S3958">
        <v>0</v>
      </c>
      <c r="T3958">
        <v>0</v>
      </c>
      <c r="U3958">
        <v>0</v>
      </c>
      <c r="V3958">
        <v>0</v>
      </c>
      <c r="W3958">
        <v>0</v>
      </c>
      <c r="X3958">
        <v>0</v>
      </c>
      <c r="Z3958">
        <v>0</v>
      </c>
      <c r="AA3958">
        <v>0</v>
      </c>
      <c r="AB3958">
        <v>0</v>
      </c>
      <c r="AC3958">
        <v>0</v>
      </c>
      <c r="AD3958">
        <v>800</v>
      </c>
    </row>
    <row r="3959" spans="1:30" x14ac:dyDescent="0.25">
      <c r="H3959" t="s">
        <v>4606</v>
      </c>
    </row>
    <row r="3960" spans="1:30" x14ac:dyDescent="0.25">
      <c r="A3960">
        <v>1977</v>
      </c>
      <c r="B3960">
        <v>1537</v>
      </c>
      <c r="C3960" t="s">
        <v>50</v>
      </c>
      <c r="D3960" t="s">
        <v>40</v>
      </c>
      <c r="E3960" t="s">
        <v>454</v>
      </c>
      <c r="F3960" t="s">
        <v>7228</v>
      </c>
      <c r="G3960" t="str">
        <f>"201406010381"</f>
        <v>201406010381</v>
      </c>
      <c r="H3960">
        <v>770</v>
      </c>
      <c r="I3960">
        <v>0</v>
      </c>
      <c r="J3960">
        <v>0</v>
      </c>
      <c r="K3960">
        <v>0</v>
      </c>
      <c r="L3960">
        <v>0</v>
      </c>
      <c r="M3960">
        <v>0</v>
      </c>
      <c r="N3960">
        <v>30</v>
      </c>
      <c r="O3960">
        <v>0</v>
      </c>
      <c r="P3960">
        <v>0</v>
      </c>
      <c r="Q3960">
        <v>0</v>
      </c>
      <c r="R3960">
        <v>0</v>
      </c>
      <c r="S3960">
        <v>0</v>
      </c>
      <c r="T3960">
        <v>0</v>
      </c>
      <c r="U3960">
        <v>0</v>
      </c>
      <c r="V3960">
        <v>0</v>
      </c>
      <c r="W3960">
        <v>0</v>
      </c>
      <c r="X3960">
        <v>0</v>
      </c>
      <c r="Z3960">
        <v>0</v>
      </c>
      <c r="AA3960">
        <v>0</v>
      </c>
      <c r="AB3960">
        <v>0</v>
      </c>
      <c r="AC3960">
        <v>0</v>
      </c>
      <c r="AD3960">
        <v>800</v>
      </c>
    </row>
    <row r="3961" spans="1:30" x14ac:dyDescent="0.25">
      <c r="H3961" t="s">
        <v>7020</v>
      </c>
    </row>
    <row r="3962" spans="1:30" x14ac:dyDescent="0.25">
      <c r="A3962">
        <v>1978</v>
      </c>
      <c r="B3962">
        <v>172</v>
      </c>
      <c r="C3962" t="s">
        <v>7229</v>
      </c>
      <c r="D3962" t="s">
        <v>238</v>
      </c>
      <c r="E3962" t="s">
        <v>39</v>
      </c>
      <c r="F3962" t="s">
        <v>7230</v>
      </c>
      <c r="G3962" t="str">
        <f>"00262859"</f>
        <v>00262859</v>
      </c>
      <c r="H3962" t="s">
        <v>2197</v>
      </c>
      <c r="I3962">
        <v>0</v>
      </c>
      <c r="J3962">
        <v>0</v>
      </c>
      <c r="K3962">
        <v>0</v>
      </c>
      <c r="L3962">
        <v>0</v>
      </c>
      <c r="M3962">
        <v>0</v>
      </c>
      <c r="N3962">
        <v>0</v>
      </c>
      <c r="O3962">
        <v>0</v>
      </c>
      <c r="P3962">
        <v>0</v>
      </c>
      <c r="Q3962">
        <v>0</v>
      </c>
      <c r="R3962">
        <v>0</v>
      </c>
      <c r="S3962">
        <v>0</v>
      </c>
      <c r="T3962">
        <v>0</v>
      </c>
      <c r="U3962">
        <v>0</v>
      </c>
      <c r="V3962">
        <v>0</v>
      </c>
      <c r="W3962">
        <v>0</v>
      </c>
      <c r="X3962">
        <v>0</v>
      </c>
      <c r="Z3962">
        <v>2</v>
      </c>
      <c r="AA3962">
        <v>0</v>
      </c>
      <c r="AB3962">
        <v>6</v>
      </c>
      <c r="AC3962">
        <v>102</v>
      </c>
      <c r="AD3962" t="s">
        <v>7231</v>
      </c>
    </row>
    <row r="3963" spans="1:30" x14ac:dyDescent="0.25">
      <c r="H3963" t="s">
        <v>7232</v>
      </c>
    </row>
    <row r="3964" spans="1:30" x14ac:dyDescent="0.25">
      <c r="A3964">
        <v>1979</v>
      </c>
      <c r="B3964">
        <v>4176</v>
      </c>
      <c r="C3964" t="s">
        <v>7233</v>
      </c>
      <c r="D3964" t="s">
        <v>509</v>
      </c>
      <c r="E3964" t="s">
        <v>39</v>
      </c>
      <c r="F3964" t="s">
        <v>7234</v>
      </c>
      <c r="G3964" t="str">
        <f>"00195031"</f>
        <v>00195031</v>
      </c>
      <c r="H3964" t="s">
        <v>1449</v>
      </c>
      <c r="I3964">
        <v>0</v>
      </c>
      <c r="J3964">
        <v>0</v>
      </c>
      <c r="K3964">
        <v>0</v>
      </c>
      <c r="L3964">
        <v>0</v>
      </c>
      <c r="M3964">
        <v>0</v>
      </c>
      <c r="N3964">
        <v>50</v>
      </c>
      <c r="O3964">
        <v>0</v>
      </c>
      <c r="P3964">
        <v>0</v>
      </c>
      <c r="Q3964">
        <v>0</v>
      </c>
      <c r="R3964">
        <v>0</v>
      </c>
      <c r="S3964">
        <v>0</v>
      </c>
      <c r="T3964">
        <v>0</v>
      </c>
      <c r="U3964">
        <v>0</v>
      </c>
      <c r="V3964">
        <v>13</v>
      </c>
      <c r="W3964">
        <v>91</v>
      </c>
      <c r="X3964">
        <v>0</v>
      </c>
      <c r="Z3964">
        <v>1</v>
      </c>
      <c r="AA3964">
        <v>0</v>
      </c>
      <c r="AB3964">
        <v>0</v>
      </c>
      <c r="AC3964">
        <v>0</v>
      </c>
      <c r="AD3964" t="s">
        <v>7235</v>
      </c>
    </row>
    <row r="3965" spans="1:30" x14ac:dyDescent="0.25">
      <c r="H3965" t="s">
        <v>3908</v>
      </c>
    </row>
    <row r="3966" spans="1:30" x14ac:dyDescent="0.25">
      <c r="A3966">
        <v>1980</v>
      </c>
      <c r="B3966">
        <v>221</v>
      </c>
      <c r="C3966" t="s">
        <v>7236</v>
      </c>
      <c r="D3966" t="s">
        <v>14</v>
      </c>
      <c r="E3966" t="s">
        <v>40</v>
      </c>
      <c r="F3966" t="s">
        <v>7237</v>
      </c>
      <c r="G3966" t="str">
        <f>"00214883"</f>
        <v>00214883</v>
      </c>
      <c r="H3966" t="s">
        <v>574</v>
      </c>
      <c r="I3966">
        <v>0</v>
      </c>
      <c r="J3966">
        <v>0</v>
      </c>
      <c r="K3966">
        <v>0</v>
      </c>
      <c r="L3966">
        <v>0</v>
      </c>
      <c r="M3966">
        <v>0</v>
      </c>
      <c r="N3966">
        <v>70</v>
      </c>
      <c r="O3966">
        <v>0</v>
      </c>
      <c r="P3966">
        <v>0</v>
      </c>
      <c r="Q3966">
        <v>0</v>
      </c>
      <c r="R3966">
        <v>0</v>
      </c>
      <c r="S3966">
        <v>0</v>
      </c>
      <c r="T3966">
        <v>0</v>
      </c>
      <c r="U3966">
        <v>0</v>
      </c>
      <c r="V3966">
        <v>0</v>
      </c>
      <c r="W3966">
        <v>0</v>
      </c>
      <c r="X3966">
        <v>0</v>
      </c>
      <c r="Z3966">
        <v>0</v>
      </c>
      <c r="AA3966">
        <v>0</v>
      </c>
      <c r="AB3966">
        <v>0</v>
      </c>
      <c r="AC3966">
        <v>0</v>
      </c>
      <c r="AD3966" t="s">
        <v>7238</v>
      </c>
    </row>
    <row r="3967" spans="1:30" x14ac:dyDescent="0.25">
      <c r="H3967" t="s">
        <v>7239</v>
      </c>
    </row>
    <row r="3968" spans="1:30" x14ac:dyDescent="0.25">
      <c r="A3968">
        <v>1981</v>
      </c>
      <c r="B3968">
        <v>6228</v>
      </c>
      <c r="C3968" t="s">
        <v>7240</v>
      </c>
      <c r="D3968" t="s">
        <v>335</v>
      </c>
      <c r="E3968" t="s">
        <v>162</v>
      </c>
      <c r="F3968" t="s">
        <v>7241</v>
      </c>
      <c r="G3968" t="str">
        <f>"201504001022"</f>
        <v>201504001022</v>
      </c>
      <c r="H3968" t="s">
        <v>4333</v>
      </c>
      <c r="I3968">
        <v>0</v>
      </c>
      <c r="J3968">
        <v>0</v>
      </c>
      <c r="K3968">
        <v>0</v>
      </c>
      <c r="L3968">
        <v>0</v>
      </c>
      <c r="M3968">
        <v>0</v>
      </c>
      <c r="N3968">
        <v>30</v>
      </c>
      <c r="O3968">
        <v>0</v>
      </c>
      <c r="P3968">
        <v>0</v>
      </c>
      <c r="Q3968">
        <v>0</v>
      </c>
      <c r="R3968">
        <v>0</v>
      </c>
      <c r="S3968">
        <v>0</v>
      </c>
      <c r="T3968">
        <v>0</v>
      </c>
      <c r="U3968">
        <v>0</v>
      </c>
      <c r="V3968">
        <v>0</v>
      </c>
      <c r="W3968">
        <v>0</v>
      </c>
      <c r="X3968">
        <v>0</v>
      </c>
      <c r="Z3968">
        <v>0</v>
      </c>
      <c r="AA3968">
        <v>0</v>
      </c>
      <c r="AB3968">
        <v>0</v>
      </c>
      <c r="AC3968">
        <v>0</v>
      </c>
      <c r="AD3968" t="s">
        <v>7242</v>
      </c>
    </row>
    <row r="3969" spans="1:30" x14ac:dyDescent="0.25">
      <c r="H3969" t="s">
        <v>7243</v>
      </c>
    </row>
    <row r="3970" spans="1:30" x14ac:dyDescent="0.25">
      <c r="A3970">
        <v>1982</v>
      </c>
      <c r="B3970">
        <v>1802</v>
      </c>
      <c r="C3970" t="s">
        <v>7244</v>
      </c>
      <c r="D3970" t="s">
        <v>40</v>
      </c>
      <c r="E3970" t="s">
        <v>239</v>
      </c>
      <c r="F3970" t="s">
        <v>7245</v>
      </c>
      <c r="G3970" t="str">
        <f>"00249598"</f>
        <v>00249598</v>
      </c>
      <c r="H3970" t="s">
        <v>4333</v>
      </c>
      <c r="I3970">
        <v>0</v>
      </c>
      <c r="J3970">
        <v>0</v>
      </c>
      <c r="K3970">
        <v>0</v>
      </c>
      <c r="L3970">
        <v>0</v>
      </c>
      <c r="M3970">
        <v>0</v>
      </c>
      <c r="N3970">
        <v>30</v>
      </c>
      <c r="O3970">
        <v>0</v>
      </c>
      <c r="P3970">
        <v>0</v>
      </c>
      <c r="Q3970">
        <v>0</v>
      </c>
      <c r="R3970">
        <v>0</v>
      </c>
      <c r="S3970">
        <v>0</v>
      </c>
      <c r="T3970">
        <v>0</v>
      </c>
      <c r="U3970">
        <v>0</v>
      </c>
      <c r="V3970">
        <v>0</v>
      </c>
      <c r="W3970">
        <v>0</v>
      </c>
      <c r="X3970">
        <v>0</v>
      </c>
      <c r="Z3970">
        <v>1</v>
      </c>
      <c r="AA3970">
        <v>0</v>
      </c>
      <c r="AB3970">
        <v>0</v>
      </c>
      <c r="AC3970">
        <v>0</v>
      </c>
      <c r="AD3970" t="s">
        <v>7242</v>
      </c>
    </row>
    <row r="3971" spans="1:30" x14ac:dyDescent="0.25">
      <c r="H3971" t="s">
        <v>7246</v>
      </c>
    </row>
    <row r="3972" spans="1:30" x14ac:dyDescent="0.25">
      <c r="A3972">
        <v>1983</v>
      </c>
      <c r="B3972">
        <v>5094</v>
      </c>
      <c r="C3972" t="s">
        <v>7247</v>
      </c>
      <c r="D3972" t="s">
        <v>330</v>
      </c>
      <c r="E3972" t="s">
        <v>87</v>
      </c>
      <c r="F3972" t="s">
        <v>7248</v>
      </c>
      <c r="G3972" t="str">
        <f>"00252390"</f>
        <v>00252390</v>
      </c>
      <c r="H3972" t="s">
        <v>672</v>
      </c>
      <c r="I3972">
        <v>0</v>
      </c>
      <c r="J3972">
        <v>0</v>
      </c>
      <c r="K3972">
        <v>0</v>
      </c>
      <c r="L3972">
        <v>0</v>
      </c>
      <c r="M3972">
        <v>0</v>
      </c>
      <c r="N3972">
        <v>0</v>
      </c>
      <c r="O3972">
        <v>0</v>
      </c>
      <c r="P3972">
        <v>0</v>
      </c>
      <c r="Q3972">
        <v>0</v>
      </c>
      <c r="R3972">
        <v>0</v>
      </c>
      <c r="S3972">
        <v>0</v>
      </c>
      <c r="T3972">
        <v>0</v>
      </c>
      <c r="U3972">
        <v>0</v>
      </c>
      <c r="V3972">
        <v>9</v>
      </c>
      <c r="W3972">
        <v>63</v>
      </c>
      <c r="X3972">
        <v>0</v>
      </c>
      <c r="Z3972">
        <v>0</v>
      </c>
      <c r="AA3972">
        <v>0</v>
      </c>
      <c r="AB3972">
        <v>0</v>
      </c>
      <c r="AC3972">
        <v>0</v>
      </c>
      <c r="AD3972" t="s">
        <v>7242</v>
      </c>
    </row>
    <row r="3973" spans="1:30" x14ac:dyDescent="0.25">
      <c r="H3973" t="s">
        <v>7249</v>
      </c>
    </row>
    <row r="3974" spans="1:30" x14ac:dyDescent="0.25">
      <c r="A3974">
        <v>1984</v>
      </c>
      <c r="B3974">
        <v>3485</v>
      </c>
      <c r="C3974" t="s">
        <v>7250</v>
      </c>
      <c r="D3974" t="s">
        <v>1555</v>
      </c>
      <c r="E3974" t="s">
        <v>290</v>
      </c>
      <c r="F3974" t="s">
        <v>7251</v>
      </c>
      <c r="G3974" t="str">
        <f>"00185058"</f>
        <v>00185058</v>
      </c>
      <c r="H3974" t="s">
        <v>818</v>
      </c>
      <c r="I3974">
        <v>0</v>
      </c>
      <c r="J3974">
        <v>0</v>
      </c>
      <c r="K3974">
        <v>0</v>
      </c>
      <c r="L3974">
        <v>0</v>
      </c>
      <c r="M3974">
        <v>0</v>
      </c>
      <c r="N3974">
        <v>30</v>
      </c>
      <c r="O3974">
        <v>0</v>
      </c>
      <c r="P3974">
        <v>0</v>
      </c>
      <c r="Q3974">
        <v>0</v>
      </c>
      <c r="R3974">
        <v>0</v>
      </c>
      <c r="S3974">
        <v>0</v>
      </c>
      <c r="T3974">
        <v>0</v>
      </c>
      <c r="U3974">
        <v>0</v>
      </c>
      <c r="V3974">
        <v>0</v>
      </c>
      <c r="W3974">
        <v>0</v>
      </c>
      <c r="X3974">
        <v>0</v>
      </c>
      <c r="Z3974">
        <v>0</v>
      </c>
      <c r="AA3974">
        <v>0</v>
      </c>
      <c r="AB3974">
        <v>0</v>
      </c>
      <c r="AC3974">
        <v>0</v>
      </c>
      <c r="AD3974" t="s">
        <v>7252</v>
      </c>
    </row>
    <row r="3975" spans="1:30" x14ac:dyDescent="0.25">
      <c r="H3975">
        <v>1247</v>
      </c>
    </row>
    <row r="3976" spans="1:30" x14ac:dyDescent="0.25">
      <c r="A3976">
        <v>1985</v>
      </c>
      <c r="B3976">
        <v>6218</v>
      </c>
      <c r="C3976" t="s">
        <v>7253</v>
      </c>
      <c r="D3976" t="s">
        <v>694</v>
      </c>
      <c r="E3976" t="s">
        <v>183</v>
      </c>
      <c r="F3976" t="s">
        <v>7254</v>
      </c>
      <c r="G3976" t="str">
        <f>"00370076"</f>
        <v>00370076</v>
      </c>
      <c r="H3976" t="s">
        <v>369</v>
      </c>
      <c r="I3976">
        <v>0</v>
      </c>
      <c r="J3976">
        <v>0</v>
      </c>
      <c r="K3976">
        <v>0</v>
      </c>
      <c r="L3976">
        <v>0</v>
      </c>
      <c r="M3976">
        <v>0</v>
      </c>
      <c r="N3976">
        <v>0</v>
      </c>
      <c r="O3976">
        <v>0</v>
      </c>
      <c r="P3976">
        <v>0</v>
      </c>
      <c r="Q3976">
        <v>0</v>
      </c>
      <c r="R3976">
        <v>0</v>
      </c>
      <c r="S3976">
        <v>0</v>
      </c>
      <c r="T3976">
        <v>0</v>
      </c>
      <c r="U3976">
        <v>0</v>
      </c>
      <c r="V3976">
        <v>20</v>
      </c>
      <c r="W3976">
        <v>140</v>
      </c>
      <c r="X3976">
        <v>0</v>
      </c>
      <c r="Z3976">
        <v>2</v>
      </c>
      <c r="AA3976">
        <v>0</v>
      </c>
      <c r="AB3976">
        <v>0</v>
      </c>
      <c r="AC3976">
        <v>0</v>
      </c>
      <c r="AD3976" t="s">
        <v>7252</v>
      </c>
    </row>
    <row r="3977" spans="1:30" x14ac:dyDescent="0.25">
      <c r="H3977" t="s">
        <v>7255</v>
      </c>
    </row>
    <row r="3978" spans="1:30" x14ac:dyDescent="0.25">
      <c r="A3978">
        <v>1986</v>
      </c>
      <c r="B3978">
        <v>5657</v>
      </c>
      <c r="C3978" t="s">
        <v>7256</v>
      </c>
      <c r="D3978" t="s">
        <v>183</v>
      </c>
      <c r="E3978" t="s">
        <v>509</v>
      </c>
      <c r="F3978" t="s">
        <v>7257</v>
      </c>
      <c r="G3978" t="str">
        <f>"201504000622"</f>
        <v>201504000622</v>
      </c>
      <c r="H3978" t="s">
        <v>258</v>
      </c>
      <c r="I3978">
        <v>0</v>
      </c>
      <c r="J3978">
        <v>0</v>
      </c>
      <c r="K3978">
        <v>0</v>
      </c>
      <c r="L3978">
        <v>0</v>
      </c>
      <c r="M3978">
        <v>0</v>
      </c>
      <c r="N3978">
        <v>0</v>
      </c>
      <c r="O3978">
        <v>0</v>
      </c>
      <c r="P3978">
        <v>0</v>
      </c>
      <c r="Q3978">
        <v>0</v>
      </c>
      <c r="R3978">
        <v>0</v>
      </c>
      <c r="S3978">
        <v>0</v>
      </c>
      <c r="T3978">
        <v>0</v>
      </c>
      <c r="U3978">
        <v>0</v>
      </c>
      <c r="V3978">
        <v>0</v>
      </c>
      <c r="W3978">
        <v>0</v>
      </c>
      <c r="X3978">
        <v>0</v>
      </c>
      <c r="Z3978">
        <v>2</v>
      </c>
      <c r="AA3978">
        <v>0</v>
      </c>
      <c r="AB3978">
        <v>0</v>
      </c>
      <c r="AC3978">
        <v>0</v>
      </c>
      <c r="AD3978" t="s">
        <v>258</v>
      </c>
    </row>
    <row r="3979" spans="1:30" x14ac:dyDescent="0.25">
      <c r="H3979" t="s">
        <v>7258</v>
      </c>
    </row>
    <row r="3980" spans="1:30" x14ac:dyDescent="0.25">
      <c r="A3980">
        <v>1987</v>
      </c>
      <c r="B3980">
        <v>130</v>
      </c>
      <c r="C3980" t="s">
        <v>7259</v>
      </c>
      <c r="D3980" t="s">
        <v>223</v>
      </c>
      <c r="E3980" t="s">
        <v>162</v>
      </c>
      <c r="F3980" t="s">
        <v>7260</v>
      </c>
      <c r="G3980" t="str">
        <f>"00295512"</f>
        <v>00295512</v>
      </c>
      <c r="H3980">
        <v>682</v>
      </c>
      <c r="I3980">
        <v>0</v>
      </c>
      <c r="J3980">
        <v>0</v>
      </c>
      <c r="K3980">
        <v>0</v>
      </c>
      <c r="L3980">
        <v>0</v>
      </c>
      <c r="M3980">
        <v>0</v>
      </c>
      <c r="N3980">
        <v>30</v>
      </c>
      <c r="O3980">
        <v>0</v>
      </c>
      <c r="P3980">
        <v>0</v>
      </c>
      <c r="Q3980">
        <v>0</v>
      </c>
      <c r="R3980">
        <v>0</v>
      </c>
      <c r="S3980">
        <v>0</v>
      </c>
      <c r="T3980">
        <v>0</v>
      </c>
      <c r="U3980">
        <v>0</v>
      </c>
      <c r="V3980">
        <v>12</v>
      </c>
      <c r="W3980">
        <v>84</v>
      </c>
      <c r="X3980">
        <v>0</v>
      </c>
      <c r="Z3980">
        <v>0</v>
      </c>
      <c r="AA3980">
        <v>0</v>
      </c>
      <c r="AB3980">
        <v>0</v>
      </c>
      <c r="AC3980">
        <v>0</v>
      </c>
      <c r="AD3980">
        <v>796</v>
      </c>
    </row>
    <row r="3981" spans="1:30" x14ac:dyDescent="0.25">
      <c r="H3981" t="s">
        <v>7261</v>
      </c>
    </row>
    <row r="3982" spans="1:30" x14ac:dyDescent="0.25">
      <c r="A3982">
        <v>1988</v>
      </c>
      <c r="B3982">
        <v>3484</v>
      </c>
      <c r="C3982" t="s">
        <v>7262</v>
      </c>
      <c r="D3982" t="s">
        <v>1081</v>
      </c>
      <c r="E3982" t="s">
        <v>107</v>
      </c>
      <c r="F3982" t="s">
        <v>7263</v>
      </c>
      <c r="G3982" t="str">
        <f>"00308394"</f>
        <v>00308394</v>
      </c>
      <c r="H3982" t="s">
        <v>690</v>
      </c>
      <c r="I3982">
        <v>0</v>
      </c>
      <c r="J3982">
        <v>0</v>
      </c>
      <c r="K3982">
        <v>0</v>
      </c>
      <c r="L3982">
        <v>0</v>
      </c>
      <c r="M3982">
        <v>0</v>
      </c>
      <c r="N3982">
        <v>30</v>
      </c>
      <c r="O3982">
        <v>0</v>
      </c>
      <c r="P3982">
        <v>0</v>
      </c>
      <c r="Q3982">
        <v>0</v>
      </c>
      <c r="R3982">
        <v>0</v>
      </c>
      <c r="S3982">
        <v>0</v>
      </c>
      <c r="T3982">
        <v>0</v>
      </c>
      <c r="U3982">
        <v>0</v>
      </c>
      <c r="V3982">
        <v>0</v>
      </c>
      <c r="W3982">
        <v>0</v>
      </c>
      <c r="X3982">
        <v>0</v>
      </c>
      <c r="Z3982">
        <v>0</v>
      </c>
      <c r="AA3982">
        <v>0</v>
      </c>
      <c r="AB3982">
        <v>0</v>
      </c>
      <c r="AC3982">
        <v>0</v>
      </c>
      <c r="AD3982" t="s">
        <v>7264</v>
      </c>
    </row>
    <row r="3983" spans="1:30" x14ac:dyDescent="0.25">
      <c r="H3983">
        <v>1247</v>
      </c>
    </row>
    <row r="3984" spans="1:30" x14ac:dyDescent="0.25">
      <c r="A3984">
        <v>1989</v>
      </c>
      <c r="B3984">
        <v>2246</v>
      </c>
      <c r="C3984" t="s">
        <v>7265</v>
      </c>
      <c r="D3984" t="s">
        <v>134</v>
      </c>
      <c r="E3984" t="s">
        <v>39</v>
      </c>
      <c r="F3984" t="s">
        <v>7266</v>
      </c>
      <c r="G3984" t="str">
        <f>"00249125"</f>
        <v>00249125</v>
      </c>
      <c r="H3984" t="s">
        <v>3232</v>
      </c>
      <c r="I3984">
        <v>0</v>
      </c>
      <c r="J3984">
        <v>0</v>
      </c>
      <c r="K3984">
        <v>0</v>
      </c>
      <c r="L3984">
        <v>0</v>
      </c>
      <c r="M3984">
        <v>0</v>
      </c>
      <c r="N3984">
        <v>30</v>
      </c>
      <c r="O3984">
        <v>0</v>
      </c>
      <c r="P3984">
        <v>0</v>
      </c>
      <c r="Q3984">
        <v>0</v>
      </c>
      <c r="R3984">
        <v>0</v>
      </c>
      <c r="S3984">
        <v>0</v>
      </c>
      <c r="T3984">
        <v>0</v>
      </c>
      <c r="U3984">
        <v>0</v>
      </c>
      <c r="V3984">
        <v>13</v>
      </c>
      <c r="W3984">
        <v>91</v>
      </c>
      <c r="X3984">
        <v>0</v>
      </c>
      <c r="Z3984">
        <v>2</v>
      </c>
      <c r="AA3984">
        <v>0</v>
      </c>
      <c r="AB3984">
        <v>0</v>
      </c>
      <c r="AC3984">
        <v>0</v>
      </c>
      <c r="AD3984" t="s">
        <v>192</v>
      </c>
    </row>
    <row r="3985" spans="1:30" x14ac:dyDescent="0.25">
      <c r="H3985" t="s">
        <v>2541</v>
      </c>
    </row>
    <row r="3986" spans="1:30" x14ac:dyDescent="0.25">
      <c r="A3986">
        <v>1990</v>
      </c>
      <c r="B3986">
        <v>2116</v>
      </c>
      <c r="C3986" t="s">
        <v>7267</v>
      </c>
      <c r="D3986" t="s">
        <v>551</v>
      </c>
      <c r="E3986" t="s">
        <v>162</v>
      </c>
      <c r="F3986" t="s">
        <v>7268</v>
      </c>
      <c r="G3986" t="str">
        <f>"201511041346"</f>
        <v>201511041346</v>
      </c>
      <c r="H3986">
        <v>704</v>
      </c>
      <c r="I3986">
        <v>0</v>
      </c>
      <c r="J3986">
        <v>0</v>
      </c>
      <c r="K3986">
        <v>0</v>
      </c>
      <c r="L3986">
        <v>0</v>
      </c>
      <c r="M3986">
        <v>0</v>
      </c>
      <c r="N3986">
        <v>70</v>
      </c>
      <c r="O3986">
        <v>0</v>
      </c>
      <c r="P3986">
        <v>0</v>
      </c>
      <c r="Q3986">
        <v>0</v>
      </c>
      <c r="R3986">
        <v>0</v>
      </c>
      <c r="S3986">
        <v>0</v>
      </c>
      <c r="T3986">
        <v>0</v>
      </c>
      <c r="U3986">
        <v>0</v>
      </c>
      <c r="V3986">
        <v>3</v>
      </c>
      <c r="W3986">
        <v>21</v>
      </c>
      <c r="X3986">
        <v>0</v>
      </c>
      <c r="Z3986">
        <v>0</v>
      </c>
      <c r="AA3986">
        <v>0</v>
      </c>
      <c r="AB3986">
        <v>0</v>
      </c>
      <c r="AC3986">
        <v>0</v>
      </c>
      <c r="AD3986">
        <v>795</v>
      </c>
    </row>
    <row r="3987" spans="1:30" x14ac:dyDescent="0.25">
      <c r="H3987" t="s">
        <v>7269</v>
      </c>
    </row>
    <row r="3988" spans="1:30" x14ac:dyDescent="0.25">
      <c r="A3988">
        <v>1991</v>
      </c>
      <c r="B3988">
        <v>5412</v>
      </c>
      <c r="C3988" t="s">
        <v>5076</v>
      </c>
      <c r="D3988" t="s">
        <v>335</v>
      </c>
      <c r="E3988" t="s">
        <v>40</v>
      </c>
      <c r="F3988" t="s">
        <v>7270</v>
      </c>
      <c r="G3988" t="str">
        <f>"00044432"</f>
        <v>00044432</v>
      </c>
      <c r="H3988" t="s">
        <v>568</v>
      </c>
      <c r="I3988">
        <v>0</v>
      </c>
      <c r="J3988">
        <v>0</v>
      </c>
      <c r="K3988">
        <v>0</v>
      </c>
      <c r="L3988">
        <v>0</v>
      </c>
      <c r="M3988">
        <v>0</v>
      </c>
      <c r="N3988">
        <v>30</v>
      </c>
      <c r="O3988">
        <v>0</v>
      </c>
      <c r="P3988">
        <v>0</v>
      </c>
      <c r="Q3988">
        <v>0</v>
      </c>
      <c r="R3988">
        <v>0</v>
      </c>
      <c r="S3988">
        <v>0</v>
      </c>
      <c r="T3988">
        <v>0</v>
      </c>
      <c r="U3988">
        <v>0</v>
      </c>
      <c r="V3988">
        <v>0</v>
      </c>
      <c r="W3988">
        <v>0</v>
      </c>
      <c r="X3988">
        <v>0</v>
      </c>
      <c r="Z3988">
        <v>0</v>
      </c>
      <c r="AA3988">
        <v>0</v>
      </c>
      <c r="AB3988">
        <v>0</v>
      </c>
      <c r="AC3988">
        <v>0</v>
      </c>
      <c r="AD3988" t="s">
        <v>7271</v>
      </c>
    </row>
    <row r="3989" spans="1:30" x14ac:dyDescent="0.25">
      <c r="H3989" t="s">
        <v>7272</v>
      </c>
    </row>
    <row r="3990" spans="1:30" x14ac:dyDescent="0.25">
      <c r="A3990">
        <v>1992</v>
      </c>
      <c r="B3990">
        <v>3247</v>
      </c>
      <c r="C3990" t="s">
        <v>7273</v>
      </c>
      <c r="D3990" t="s">
        <v>47</v>
      </c>
      <c r="E3990" t="s">
        <v>151</v>
      </c>
      <c r="F3990" t="s">
        <v>7274</v>
      </c>
      <c r="G3990" t="str">
        <f>"00366823"</f>
        <v>00366823</v>
      </c>
      <c r="H3990" t="s">
        <v>896</v>
      </c>
      <c r="I3990">
        <v>0</v>
      </c>
      <c r="J3990">
        <v>0</v>
      </c>
      <c r="K3990">
        <v>0</v>
      </c>
      <c r="L3990">
        <v>0</v>
      </c>
      <c r="M3990">
        <v>0</v>
      </c>
      <c r="N3990">
        <v>0</v>
      </c>
      <c r="O3990">
        <v>0</v>
      </c>
      <c r="P3990">
        <v>0</v>
      </c>
      <c r="Q3990">
        <v>0</v>
      </c>
      <c r="R3990">
        <v>0</v>
      </c>
      <c r="S3990">
        <v>0</v>
      </c>
      <c r="T3990">
        <v>0</v>
      </c>
      <c r="U3990">
        <v>0</v>
      </c>
      <c r="V3990">
        <v>0</v>
      </c>
      <c r="W3990">
        <v>0</v>
      </c>
      <c r="X3990">
        <v>0</v>
      </c>
      <c r="Z3990">
        <v>0</v>
      </c>
      <c r="AA3990">
        <v>0</v>
      </c>
      <c r="AB3990">
        <v>0</v>
      </c>
      <c r="AC3990">
        <v>0</v>
      </c>
      <c r="AD3990" t="s">
        <v>896</v>
      </c>
    </row>
    <row r="3991" spans="1:30" x14ac:dyDescent="0.25">
      <c r="H3991" t="s">
        <v>7275</v>
      </c>
    </row>
    <row r="3992" spans="1:30" x14ac:dyDescent="0.25">
      <c r="A3992">
        <v>1993</v>
      </c>
      <c r="B3992">
        <v>4871</v>
      </c>
      <c r="C3992" t="s">
        <v>7276</v>
      </c>
      <c r="D3992" t="s">
        <v>40</v>
      </c>
      <c r="E3992" t="s">
        <v>107</v>
      </c>
      <c r="F3992" t="s">
        <v>7277</v>
      </c>
      <c r="G3992" t="str">
        <f>"00361365"</f>
        <v>00361365</v>
      </c>
      <c r="H3992" t="s">
        <v>2705</v>
      </c>
      <c r="I3992">
        <v>0</v>
      </c>
      <c r="J3992">
        <v>0</v>
      </c>
      <c r="K3992">
        <v>0</v>
      </c>
      <c r="L3992">
        <v>0</v>
      </c>
      <c r="M3992">
        <v>0</v>
      </c>
      <c r="N3992">
        <v>50</v>
      </c>
      <c r="O3992">
        <v>0</v>
      </c>
      <c r="P3992">
        <v>0</v>
      </c>
      <c r="Q3992">
        <v>0</v>
      </c>
      <c r="R3992">
        <v>0</v>
      </c>
      <c r="S3992">
        <v>0</v>
      </c>
      <c r="T3992">
        <v>0</v>
      </c>
      <c r="U3992">
        <v>0</v>
      </c>
      <c r="V3992">
        <v>9</v>
      </c>
      <c r="W3992">
        <v>63</v>
      </c>
      <c r="X3992">
        <v>0</v>
      </c>
      <c r="Z3992">
        <v>0</v>
      </c>
      <c r="AA3992">
        <v>0</v>
      </c>
      <c r="AB3992">
        <v>0</v>
      </c>
      <c r="AC3992">
        <v>0</v>
      </c>
      <c r="AD3992" t="s">
        <v>7278</v>
      </c>
    </row>
    <row r="3993" spans="1:30" x14ac:dyDescent="0.25">
      <c r="H3993" t="s">
        <v>7279</v>
      </c>
    </row>
    <row r="3994" spans="1:30" x14ac:dyDescent="0.25">
      <c r="A3994">
        <v>1994</v>
      </c>
      <c r="B3994">
        <v>3070</v>
      </c>
      <c r="C3994" t="s">
        <v>7280</v>
      </c>
      <c r="D3994" t="s">
        <v>420</v>
      </c>
      <c r="E3994" t="s">
        <v>87</v>
      </c>
      <c r="F3994" t="s">
        <v>7281</v>
      </c>
      <c r="G3994" t="str">
        <f>"00350083"</f>
        <v>00350083</v>
      </c>
      <c r="H3994" t="s">
        <v>2682</v>
      </c>
      <c r="I3994">
        <v>0</v>
      </c>
      <c r="J3994">
        <v>0</v>
      </c>
      <c r="K3994">
        <v>0</v>
      </c>
      <c r="L3994">
        <v>0</v>
      </c>
      <c r="M3994">
        <v>0</v>
      </c>
      <c r="N3994">
        <v>50</v>
      </c>
      <c r="O3994">
        <v>0</v>
      </c>
      <c r="P3994">
        <v>0</v>
      </c>
      <c r="Q3994">
        <v>0</v>
      </c>
      <c r="R3994">
        <v>0</v>
      </c>
      <c r="S3994">
        <v>0</v>
      </c>
      <c r="T3994">
        <v>0</v>
      </c>
      <c r="U3994">
        <v>0</v>
      </c>
      <c r="V3994">
        <v>0</v>
      </c>
      <c r="W3994">
        <v>0</v>
      </c>
      <c r="X3994">
        <v>0</v>
      </c>
      <c r="Z3994">
        <v>0</v>
      </c>
      <c r="AA3994">
        <v>0</v>
      </c>
      <c r="AB3994">
        <v>0</v>
      </c>
      <c r="AC3994">
        <v>0</v>
      </c>
      <c r="AD3994" t="s">
        <v>7282</v>
      </c>
    </row>
    <row r="3995" spans="1:30" x14ac:dyDescent="0.25">
      <c r="H3995">
        <v>1247</v>
      </c>
    </row>
    <row r="3996" spans="1:30" x14ac:dyDescent="0.25">
      <c r="A3996">
        <v>1995</v>
      </c>
      <c r="B3996">
        <v>1516</v>
      </c>
      <c r="C3996" t="s">
        <v>7283</v>
      </c>
      <c r="D3996" t="s">
        <v>869</v>
      </c>
      <c r="E3996" t="s">
        <v>47</v>
      </c>
      <c r="F3996" t="s">
        <v>7284</v>
      </c>
      <c r="G3996" t="str">
        <f>"00262096"</f>
        <v>00262096</v>
      </c>
      <c r="H3996" t="s">
        <v>2056</v>
      </c>
      <c r="I3996">
        <v>0</v>
      </c>
      <c r="J3996">
        <v>0</v>
      </c>
      <c r="K3996">
        <v>0</v>
      </c>
      <c r="L3996">
        <v>0</v>
      </c>
      <c r="M3996">
        <v>0</v>
      </c>
      <c r="N3996">
        <v>30</v>
      </c>
      <c r="O3996">
        <v>0</v>
      </c>
      <c r="P3996">
        <v>0</v>
      </c>
      <c r="Q3996">
        <v>0</v>
      </c>
      <c r="R3996">
        <v>0</v>
      </c>
      <c r="S3996">
        <v>0</v>
      </c>
      <c r="T3996">
        <v>0</v>
      </c>
      <c r="U3996">
        <v>0</v>
      </c>
      <c r="V3996">
        <v>6</v>
      </c>
      <c r="W3996">
        <v>42</v>
      </c>
      <c r="X3996">
        <v>0</v>
      </c>
      <c r="Z3996">
        <v>2</v>
      </c>
      <c r="AA3996">
        <v>0</v>
      </c>
      <c r="AB3996">
        <v>0</v>
      </c>
      <c r="AC3996">
        <v>0</v>
      </c>
      <c r="AD3996" t="s">
        <v>7282</v>
      </c>
    </row>
    <row r="3997" spans="1:30" x14ac:dyDescent="0.25">
      <c r="H3997" t="s">
        <v>7285</v>
      </c>
    </row>
    <row r="3998" spans="1:30" x14ac:dyDescent="0.25">
      <c r="A3998">
        <v>1996</v>
      </c>
      <c r="B3998">
        <v>306</v>
      </c>
      <c r="C3998" t="s">
        <v>6822</v>
      </c>
      <c r="D3998" t="s">
        <v>262</v>
      </c>
      <c r="E3998" t="s">
        <v>47</v>
      </c>
      <c r="F3998" t="s">
        <v>7286</v>
      </c>
      <c r="G3998" t="str">
        <f>"00219586"</f>
        <v>00219586</v>
      </c>
      <c r="H3998" t="s">
        <v>760</v>
      </c>
      <c r="I3998">
        <v>0</v>
      </c>
      <c r="J3998">
        <v>0</v>
      </c>
      <c r="K3998">
        <v>0</v>
      </c>
      <c r="L3998">
        <v>0</v>
      </c>
      <c r="M3998">
        <v>0</v>
      </c>
      <c r="N3998">
        <v>70</v>
      </c>
      <c r="O3998">
        <v>0</v>
      </c>
      <c r="P3998">
        <v>0</v>
      </c>
      <c r="Q3998">
        <v>0</v>
      </c>
      <c r="R3998">
        <v>0</v>
      </c>
      <c r="S3998">
        <v>0</v>
      </c>
      <c r="T3998">
        <v>0</v>
      </c>
      <c r="U3998">
        <v>0</v>
      </c>
      <c r="V3998">
        <v>0</v>
      </c>
      <c r="W3998">
        <v>0</v>
      </c>
      <c r="X3998">
        <v>0</v>
      </c>
      <c r="Z3998">
        <v>0</v>
      </c>
      <c r="AA3998">
        <v>0</v>
      </c>
      <c r="AB3998">
        <v>0</v>
      </c>
      <c r="AC3998">
        <v>0</v>
      </c>
      <c r="AD3998" t="s">
        <v>7287</v>
      </c>
    </row>
    <row r="3999" spans="1:30" x14ac:dyDescent="0.25">
      <c r="H3999" t="s">
        <v>7288</v>
      </c>
    </row>
    <row r="4000" spans="1:30" x14ac:dyDescent="0.25">
      <c r="A4000">
        <v>1997</v>
      </c>
      <c r="B4000">
        <v>2086</v>
      </c>
      <c r="C4000" t="s">
        <v>7289</v>
      </c>
      <c r="D4000" t="s">
        <v>566</v>
      </c>
      <c r="E4000" t="s">
        <v>107</v>
      </c>
      <c r="F4000" t="s">
        <v>7290</v>
      </c>
      <c r="G4000" t="str">
        <f>"00319502"</f>
        <v>00319502</v>
      </c>
      <c r="H4000" t="s">
        <v>1054</v>
      </c>
      <c r="I4000">
        <v>0</v>
      </c>
      <c r="J4000">
        <v>0</v>
      </c>
      <c r="K4000">
        <v>0</v>
      </c>
      <c r="L4000">
        <v>0</v>
      </c>
      <c r="M4000">
        <v>0</v>
      </c>
      <c r="N4000">
        <v>0</v>
      </c>
      <c r="O4000">
        <v>30</v>
      </c>
      <c r="P4000">
        <v>0</v>
      </c>
      <c r="Q4000">
        <v>0</v>
      </c>
      <c r="R4000">
        <v>0</v>
      </c>
      <c r="S4000">
        <v>0</v>
      </c>
      <c r="T4000">
        <v>0</v>
      </c>
      <c r="U4000">
        <v>0</v>
      </c>
      <c r="V4000">
        <v>0</v>
      </c>
      <c r="W4000">
        <v>0</v>
      </c>
      <c r="X4000">
        <v>0</v>
      </c>
      <c r="Z4000">
        <v>2</v>
      </c>
      <c r="AA4000">
        <v>0</v>
      </c>
      <c r="AB4000">
        <v>0</v>
      </c>
      <c r="AC4000">
        <v>0</v>
      </c>
      <c r="AD4000" t="s">
        <v>7291</v>
      </c>
    </row>
    <row r="4001" spans="1:30" x14ac:dyDescent="0.25">
      <c r="H4001" t="s">
        <v>7292</v>
      </c>
    </row>
    <row r="4002" spans="1:30" x14ac:dyDescent="0.25">
      <c r="A4002">
        <v>1998</v>
      </c>
      <c r="B4002">
        <v>592</v>
      </c>
      <c r="C4002" t="s">
        <v>7293</v>
      </c>
      <c r="D4002" t="s">
        <v>526</v>
      </c>
      <c r="E4002" t="s">
        <v>495</v>
      </c>
      <c r="F4002" t="s">
        <v>7294</v>
      </c>
      <c r="G4002" t="str">
        <f>"201511027085"</f>
        <v>201511027085</v>
      </c>
      <c r="H4002" t="s">
        <v>642</v>
      </c>
      <c r="I4002">
        <v>0</v>
      </c>
      <c r="J4002">
        <v>0</v>
      </c>
      <c r="K4002">
        <v>0</v>
      </c>
      <c r="L4002">
        <v>0</v>
      </c>
      <c r="M4002">
        <v>100</v>
      </c>
      <c r="N4002">
        <v>30</v>
      </c>
      <c r="O4002">
        <v>0</v>
      </c>
      <c r="P4002">
        <v>0</v>
      </c>
      <c r="Q4002">
        <v>0</v>
      </c>
      <c r="R4002">
        <v>0</v>
      </c>
      <c r="S4002">
        <v>0</v>
      </c>
      <c r="T4002">
        <v>0</v>
      </c>
      <c r="U4002">
        <v>0</v>
      </c>
      <c r="V4002">
        <v>0</v>
      </c>
      <c r="W4002">
        <v>0</v>
      </c>
      <c r="X4002">
        <v>0</v>
      </c>
      <c r="Z4002">
        <v>0</v>
      </c>
      <c r="AA4002">
        <v>0</v>
      </c>
      <c r="AB4002">
        <v>0</v>
      </c>
      <c r="AC4002">
        <v>0</v>
      </c>
      <c r="AD4002" t="s">
        <v>7295</v>
      </c>
    </row>
    <row r="4003" spans="1:30" x14ac:dyDescent="0.25">
      <c r="H4003" t="s">
        <v>7296</v>
      </c>
    </row>
    <row r="4004" spans="1:30" x14ac:dyDescent="0.25">
      <c r="A4004">
        <v>1999</v>
      </c>
      <c r="B4004">
        <v>1205</v>
      </c>
      <c r="C4004" t="s">
        <v>7297</v>
      </c>
      <c r="D4004" t="s">
        <v>166</v>
      </c>
      <c r="E4004" t="s">
        <v>151</v>
      </c>
      <c r="F4004" t="s">
        <v>7298</v>
      </c>
      <c r="G4004" t="str">
        <f>"201511026446"</f>
        <v>201511026446</v>
      </c>
      <c r="H4004" t="s">
        <v>1376</v>
      </c>
      <c r="I4004">
        <v>0</v>
      </c>
      <c r="J4004">
        <v>0</v>
      </c>
      <c r="K4004">
        <v>0</v>
      </c>
      <c r="L4004">
        <v>0</v>
      </c>
      <c r="M4004">
        <v>0</v>
      </c>
      <c r="N4004">
        <v>50</v>
      </c>
      <c r="O4004">
        <v>0</v>
      </c>
      <c r="P4004">
        <v>0</v>
      </c>
      <c r="Q4004">
        <v>0</v>
      </c>
      <c r="R4004">
        <v>0</v>
      </c>
      <c r="S4004">
        <v>0</v>
      </c>
      <c r="T4004">
        <v>0</v>
      </c>
      <c r="U4004">
        <v>0</v>
      </c>
      <c r="V4004">
        <v>13</v>
      </c>
      <c r="W4004">
        <v>91</v>
      </c>
      <c r="X4004">
        <v>0</v>
      </c>
      <c r="Z4004">
        <v>0</v>
      </c>
      <c r="AA4004">
        <v>0</v>
      </c>
      <c r="AB4004">
        <v>0</v>
      </c>
      <c r="AC4004">
        <v>0</v>
      </c>
      <c r="AD4004" t="s">
        <v>7295</v>
      </c>
    </row>
    <row r="4005" spans="1:30" x14ac:dyDescent="0.25">
      <c r="H4005" t="s">
        <v>7299</v>
      </c>
    </row>
    <row r="4006" spans="1:30" x14ac:dyDescent="0.25">
      <c r="A4006">
        <v>2000</v>
      </c>
      <c r="B4006">
        <v>1217</v>
      </c>
      <c r="C4006" t="s">
        <v>4431</v>
      </c>
      <c r="D4006" t="s">
        <v>335</v>
      </c>
      <c r="E4006" t="s">
        <v>47</v>
      </c>
      <c r="F4006" t="s">
        <v>7300</v>
      </c>
      <c r="G4006" t="str">
        <f>"201511034680"</f>
        <v>201511034680</v>
      </c>
      <c r="H4006" t="s">
        <v>519</v>
      </c>
      <c r="I4006">
        <v>0</v>
      </c>
      <c r="J4006">
        <v>0</v>
      </c>
      <c r="K4006">
        <v>0</v>
      </c>
      <c r="L4006">
        <v>0</v>
      </c>
      <c r="M4006">
        <v>0</v>
      </c>
      <c r="N4006">
        <v>0</v>
      </c>
      <c r="O4006">
        <v>0</v>
      </c>
      <c r="P4006">
        <v>0</v>
      </c>
      <c r="Q4006">
        <v>0</v>
      </c>
      <c r="R4006">
        <v>0</v>
      </c>
      <c r="S4006">
        <v>0</v>
      </c>
      <c r="T4006">
        <v>0</v>
      </c>
      <c r="U4006">
        <v>0</v>
      </c>
      <c r="V4006">
        <v>5</v>
      </c>
      <c r="W4006">
        <v>35</v>
      </c>
      <c r="X4006">
        <v>0</v>
      </c>
      <c r="Z4006">
        <v>0</v>
      </c>
      <c r="AA4006">
        <v>0</v>
      </c>
      <c r="AB4006">
        <v>0</v>
      </c>
      <c r="AC4006">
        <v>0</v>
      </c>
      <c r="AD4006" t="s">
        <v>7301</v>
      </c>
    </row>
    <row r="4007" spans="1:30" x14ac:dyDescent="0.25">
      <c r="H4007" t="s">
        <v>7302</v>
      </c>
    </row>
    <row r="4008" spans="1:30" x14ac:dyDescent="0.25">
      <c r="A4008">
        <v>2001</v>
      </c>
      <c r="B4008">
        <v>4773</v>
      </c>
      <c r="C4008" t="s">
        <v>774</v>
      </c>
      <c r="D4008" t="s">
        <v>51</v>
      </c>
      <c r="E4008" t="s">
        <v>1276</v>
      </c>
      <c r="F4008" t="s">
        <v>7303</v>
      </c>
      <c r="G4008" t="str">
        <f>"00202375"</f>
        <v>00202375</v>
      </c>
      <c r="H4008" t="s">
        <v>1572</v>
      </c>
      <c r="I4008">
        <v>0</v>
      </c>
      <c r="J4008">
        <v>0</v>
      </c>
      <c r="K4008">
        <v>0</v>
      </c>
      <c r="L4008">
        <v>0</v>
      </c>
      <c r="M4008">
        <v>0</v>
      </c>
      <c r="N4008">
        <v>30</v>
      </c>
      <c r="O4008">
        <v>0</v>
      </c>
      <c r="P4008">
        <v>0</v>
      </c>
      <c r="Q4008">
        <v>0</v>
      </c>
      <c r="R4008">
        <v>0</v>
      </c>
      <c r="S4008">
        <v>0</v>
      </c>
      <c r="T4008">
        <v>0</v>
      </c>
      <c r="U4008">
        <v>0</v>
      </c>
      <c r="V4008">
        <v>6</v>
      </c>
      <c r="W4008">
        <v>42</v>
      </c>
      <c r="X4008">
        <v>0</v>
      </c>
      <c r="Z4008">
        <v>0</v>
      </c>
      <c r="AA4008">
        <v>0</v>
      </c>
      <c r="AB4008">
        <v>0</v>
      </c>
      <c r="AC4008">
        <v>0</v>
      </c>
      <c r="AD4008" t="s">
        <v>7304</v>
      </c>
    </row>
    <row r="4009" spans="1:30" x14ac:dyDescent="0.25">
      <c r="H4009" t="s">
        <v>7305</v>
      </c>
    </row>
    <row r="4010" spans="1:30" x14ac:dyDescent="0.25">
      <c r="A4010">
        <v>2002</v>
      </c>
      <c r="B4010">
        <v>3225</v>
      </c>
      <c r="C4010" t="s">
        <v>922</v>
      </c>
      <c r="D4010" t="s">
        <v>162</v>
      </c>
      <c r="E4010" t="s">
        <v>140</v>
      </c>
      <c r="F4010" t="s">
        <v>7306</v>
      </c>
      <c r="G4010" t="str">
        <f>"00312805"</f>
        <v>00312805</v>
      </c>
      <c r="H4010" t="s">
        <v>769</v>
      </c>
      <c r="I4010">
        <v>0</v>
      </c>
      <c r="J4010">
        <v>0</v>
      </c>
      <c r="K4010">
        <v>0</v>
      </c>
      <c r="L4010">
        <v>0</v>
      </c>
      <c r="M4010">
        <v>0</v>
      </c>
      <c r="N4010">
        <v>30</v>
      </c>
      <c r="O4010">
        <v>0</v>
      </c>
      <c r="P4010">
        <v>0</v>
      </c>
      <c r="Q4010">
        <v>0</v>
      </c>
      <c r="R4010">
        <v>0</v>
      </c>
      <c r="S4010">
        <v>0</v>
      </c>
      <c r="T4010">
        <v>0</v>
      </c>
      <c r="U4010">
        <v>0</v>
      </c>
      <c r="V4010">
        <v>0</v>
      </c>
      <c r="W4010">
        <v>0</v>
      </c>
      <c r="X4010">
        <v>0</v>
      </c>
      <c r="Z4010">
        <v>0</v>
      </c>
      <c r="AA4010">
        <v>0</v>
      </c>
      <c r="AB4010">
        <v>0</v>
      </c>
      <c r="AC4010">
        <v>0</v>
      </c>
      <c r="AD4010" t="s">
        <v>7307</v>
      </c>
    </row>
    <row r="4011" spans="1:30" x14ac:dyDescent="0.25">
      <c r="H4011" t="s">
        <v>7308</v>
      </c>
    </row>
    <row r="4012" spans="1:30" x14ac:dyDescent="0.25">
      <c r="A4012">
        <v>2003</v>
      </c>
      <c r="B4012">
        <v>1378</v>
      </c>
      <c r="C4012" t="s">
        <v>467</v>
      </c>
      <c r="D4012" t="s">
        <v>3822</v>
      </c>
      <c r="E4012" t="s">
        <v>39</v>
      </c>
      <c r="F4012" t="s">
        <v>7309</v>
      </c>
      <c r="G4012" t="str">
        <f>"00253724"</f>
        <v>00253724</v>
      </c>
      <c r="H4012" t="s">
        <v>769</v>
      </c>
      <c r="I4012">
        <v>0</v>
      </c>
      <c r="J4012">
        <v>0</v>
      </c>
      <c r="K4012">
        <v>0</v>
      </c>
      <c r="L4012">
        <v>0</v>
      </c>
      <c r="M4012">
        <v>0</v>
      </c>
      <c r="N4012">
        <v>30</v>
      </c>
      <c r="O4012">
        <v>0</v>
      </c>
      <c r="P4012">
        <v>0</v>
      </c>
      <c r="Q4012">
        <v>0</v>
      </c>
      <c r="R4012">
        <v>0</v>
      </c>
      <c r="S4012">
        <v>0</v>
      </c>
      <c r="T4012">
        <v>0</v>
      </c>
      <c r="U4012">
        <v>0</v>
      </c>
      <c r="V4012">
        <v>0</v>
      </c>
      <c r="W4012">
        <v>0</v>
      </c>
      <c r="X4012">
        <v>0</v>
      </c>
      <c r="Z4012">
        <v>2</v>
      </c>
      <c r="AA4012">
        <v>0</v>
      </c>
      <c r="AB4012">
        <v>0</v>
      </c>
      <c r="AC4012">
        <v>0</v>
      </c>
      <c r="AD4012" t="s">
        <v>7307</v>
      </c>
    </row>
    <row r="4013" spans="1:30" x14ac:dyDescent="0.25">
      <c r="H4013" t="s">
        <v>7310</v>
      </c>
    </row>
    <row r="4014" spans="1:30" x14ac:dyDescent="0.25">
      <c r="A4014">
        <v>2004</v>
      </c>
      <c r="B4014">
        <v>2336</v>
      </c>
      <c r="C4014" t="s">
        <v>7311</v>
      </c>
      <c r="D4014" t="s">
        <v>229</v>
      </c>
      <c r="E4014" t="s">
        <v>495</v>
      </c>
      <c r="F4014" t="s">
        <v>7312</v>
      </c>
      <c r="G4014" t="str">
        <f>"00103481"</f>
        <v>00103481</v>
      </c>
      <c r="H4014" t="s">
        <v>241</v>
      </c>
      <c r="I4014">
        <v>0</v>
      </c>
      <c r="J4014">
        <v>0</v>
      </c>
      <c r="K4014">
        <v>0</v>
      </c>
      <c r="L4014">
        <v>0</v>
      </c>
      <c r="M4014">
        <v>0</v>
      </c>
      <c r="N4014">
        <v>70</v>
      </c>
      <c r="O4014">
        <v>0</v>
      </c>
      <c r="P4014">
        <v>0</v>
      </c>
      <c r="Q4014">
        <v>0</v>
      </c>
      <c r="R4014">
        <v>0</v>
      </c>
      <c r="S4014">
        <v>0</v>
      </c>
      <c r="T4014">
        <v>0</v>
      </c>
      <c r="U4014">
        <v>0</v>
      </c>
      <c r="V4014">
        <v>0</v>
      </c>
      <c r="W4014">
        <v>0</v>
      </c>
      <c r="X4014">
        <v>0</v>
      </c>
      <c r="Z4014">
        <v>0</v>
      </c>
      <c r="AA4014">
        <v>0</v>
      </c>
      <c r="AB4014">
        <v>0</v>
      </c>
      <c r="AC4014">
        <v>0</v>
      </c>
      <c r="AD4014" t="s">
        <v>7313</v>
      </c>
    </row>
    <row r="4015" spans="1:30" x14ac:dyDescent="0.25">
      <c r="H4015" t="s">
        <v>521</v>
      </c>
    </row>
    <row r="4016" spans="1:30" x14ac:dyDescent="0.25">
      <c r="A4016">
        <v>2005</v>
      </c>
      <c r="B4016">
        <v>1841</v>
      </c>
      <c r="C4016" t="s">
        <v>3966</v>
      </c>
      <c r="D4016" t="s">
        <v>98</v>
      </c>
      <c r="E4016" t="s">
        <v>239</v>
      </c>
      <c r="F4016" t="s">
        <v>7314</v>
      </c>
      <c r="G4016" t="str">
        <f>"201402002197"</f>
        <v>201402002197</v>
      </c>
      <c r="H4016" t="s">
        <v>2742</v>
      </c>
      <c r="I4016">
        <v>0</v>
      </c>
      <c r="J4016">
        <v>0</v>
      </c>
      <c r="K4016">
        <v>0</v>
      </c>
      <c r="L4016">
        <v>0</v>
      </c>
      <c r="M4016">
        <v>0</v>
      </c>
      <c r="N4016">
        <v>50</v>
      </c>
      <c r="O4016">
        <v>0</v>
      </c>
      <c r="P4016">
        <v>0</v>
      </c>
      <c r="Q4016">
        <v>0</v>
      </c>
      <c r="R4016">
        <v>0</v>
      </c>
      <c r="S4016">
        <v>0</v>
      </c>
      <c r="T4016">
        <v>0</v>
      </c>
      <c r="U4016">
        <v>0</v>
      </c>
      <c r="V4016">
        <v>0</v>
      </c>
      <c r="W4016">
        <v>0</v>
      </c>
      <c r="X4016">
        <v>0</v>
      </c>
      <c r="Z4016">
        <v>2</v>
      </c>
      <c r="AA4016">
        <v>0</v>
      </c>
      <c r="AB4016">
        <v>0</v>
      </c>
      <c r="AC4016">
        <v>0</v>
      </c>
      <c r="AD4016" t="s">
        <v>7315</v>
      </c>
    </row>
    <row r="4017" spans="1:30" x14ac:dyDescent="0.25">
      <c r="H4017" t="s">
        <v>7316</v>
      </c>
    </row>
    <row r="4018" spans="1:30" x14ac:dyDescent="0.25">
      <c r="A4018">
        <v>2006</v>
      </c>
      <c r="B4018">
        <v>2377</v>
      </c>
      <c r="C4018" t="s">
        <v>7317</v>
      </c>
      <c r="D4018" t="s">
        <v>7318</v>
      </c>
      <c r="E4018" t="s">
        <v>1070</v>
      </c>
      <c r="F4018" t="s">
        <v>7319</v>
      </c>
      <c r="G4018" t="str">
        <f>"00323228"</f>
        <v>00323228</v>
      </c>
      <c r="H4018">
        <v>759</v>
      </c>
      <c r="I4018">
        <v>0</v>
      </c>
      <c r="J4018">
        <v>0</v>
      </c>
      <c r="K4018">
        <v>0</v>
      </c>
      <c r="L4018">
        <v>0</v>
      </c>
      <c r="M4018">
        <v>0</v>
      </c>
      <c r="N4018">
        <v>30</v>
      </c>
      <c r="O4018">
        <v>0</v>
      </c>
      <c r="P4018">
        <v>0</v>
      </c>
      <c r="Q4018">
        <v>0</v>
      </c>
      <c r="R4018">
        <v>0</v>
      </c>
      <c r="S4018">
        <v>0</v>
      </c>
      <c r="T4018">
        <v>0</v>
      </c>
      <c r="U4018">
        <v>0</v>
      </c>
      <c r="V4018">
        <v>0</v>
      </c>
      <c r="W4018">
        <v>0</v>
      </c>
      <c r="X4018">
        <v>0</v>
      </c>
      <c r="Z4018">
        <v>0</v>
      </c>
      <c r="AA4018">
        <v>0</v>
      </c>
      <c r="AB4018">
        <v>0</v>
      </c>
      <c r="AC4018">
        <v>0</v>
      </c>
      <c r="AD4018">
        <v>789</v>
      </c>
    </row>
    <row r="4019" spans="1:30" x14ac:dyDescent="0.25">
      <c r="H4019" t="s">
        <v>7320</v>
      </c>
    </row>
    <row r="4020" spans="1:30" x14ac:dyDescent="0.25">
      <c r="A4020">
        <v>2007</v>
      </c>
      <c r="B4020">
        <v>5620</v>
      </c>
      <c r="C4020" t="s">
        <v>899</v>
      </c>
      <c r="D4020" t="s">
        <v>1186</v>
      </c>
      <c r="E4020" t="s">
        <v>91</v>
      </c>
      <c r="F4020" t="s">
        <v>7321</v>
      </c>
      <c r="G4020" t="str">
        <f>"00150306"</f>
        <v>00150306</v>
      </c>
      <c r="H4020">
        <v>759</v>
      </c>
      <c r="I4020">
        <v>0</v>
      </c>
      <c r="J4020">
        <v>0</v>
      </c>
      <c r="K4020">
        <v>0</v>
      </c>
      <c r="L4020">
        <v>0</v>
      </c>
      <c r="M4020">
        <v>0</v>
      </c>
      <c r="N4020">
        <v>30</v>
      </c>
      <c r="O4020">
        <v>0</v>
      </c>
      <c r="P4020">
        <v>0</v>
      </c>
      <c r="Q4020">
        <v>0</v>
      </c>
      <c r="R4020">
        <v>0</v>
      </c>
      <c r="S4020">
        <v>0</v>
      </c>
      <c r="T4020">
        <v>0</v>
      </c>
      <c r="U4020">
        <v>0</v>
      </c>
      <c r="V4020">
        <v>0</v>
      </c>
      <c r="W4020">
        <v>0</v>
      </c>
      <c r="X4020">
        <v>0</v>
      </c>
      <c r="Z4020">
        <v>0</v>
      </c>
      <c r="AA4020">
        <v>0</v>
      </c>
      <c r="AB4020">
        <v>0</v>
      </c>
      <c r="AC4020">
        <v>0</v>
      </c>
      <c r="AD4020">
        <v>789</v>
      </c>
    </row>
    <row r="4021" spans="1:30" x14ac:dyDescent="0.25">
      <c r="H4021" t="s">
        <v>1716</v>
      </c>
    </row>
    <row r="4022" spans="1:30" x14ac:dyDescent="0.25">
      <c r="A4022">
        <v>2008</v>
      </c>
      <c r="B4022">
        <v>1278</v>
      </c>
      <c r="C4022" t="s">
        <v>7322</v>
      </c>
      <c r="D4022" t="s">
        <v>75</v>
      </c>
      <c r="E4022" t="s">
        <v>482</v>
      </c>
      <c r="F4022" t="s">
        <v>7323</v>
      </c>
      <c r="G4022" t="str">
        <f>"200801001547"</f>
        <v>200801001547</v>
      </c>
      <c r="H4022">
        <v>682</v>
      </c>
      <c r="I4022">
        <v>0</v>
      </c>
      <c r="J4022">
        <v>0</v>
      </c>
      <c r="K4022">
        <v>0</v>
      </c>
      <c r="L4022">
        <v>0</v>
      </c>
      <c r="M4022">
        <v>0</v>
      </c>
      <c r="N4022">
        <v>30</v>
      </c>
      <c r="O4022">
        <v>0</v>
      </c>
      <c r="P4022">
        <v>0</v>
      </c>
      <c r="Q4022">
        <v>0</v>
      </c>
      <c r="R4022">
        <v>0</v>
      </c>
      <c r="S4022">
        <v>0</v>
      </c>
      <c r="T4022">
        <v>0</v>
      </c>
      <c r="U4022">
        <v>0</v>
      </c>
      <c r="V4022">
        <v>11</v>
      </c>
      <c r="W4022">
        <v>77</v>
      </c>
      <c r="X4022">
        <v>0</v>
      </c>
      <c r="Z4022">
        <v>0</v>
      </c>
      <c r="AA4022">
        <v>0</v>
      </c>
      <c r="AB4022">
        <v>0</v>
      </c>
      <c r="AC4022">
        <v>0</v>
      </c>
      <c r="AD4022">
        <v>789</v>
      </c>
    </row>
    <row r="4023" spans="1:30" x14ac:dyDescent="0.25">
      <c r="H4023" t="s">
        <v>7324</v>
      </c>
    </row>
    <row r="4024" spans="1:30" x14ac:dyDescent="0.25">
      <c r="A4024">
        <v>2009</v>
      </c>
      <c r="B4024">
        <v>5368</v>
      </c>
      <c r="C4024" t="s">
        <v>2921</v>
      </c>
      <c r="D4024" t="s">
        <v>7325</v>
      </c>
      <c r="E4024" t="s">
        <v>151</v>
      </c>
      <c r="F4024" t="s">
        <v>7326</v>
      </c>
      <c r="G4024" t="str">
        <f>"201511029506"</f>
        <v>201511029506</v>
      </c>
      <c r="H4024" t="s">
        <v>6079</v>
      </c>
      <c r="I4024">
        <v>0</v>
      </c>
      <c r="J4024">
        <v>0</v>
      </c>
      <c r="K4024">
        <v>0</v>
      </c>
      <c r="L4024">
        <v>0</v>
      </c>
      <c r="M4024">
        <v>0</v>
      </c>
      <c r="N4024">
        <v>0</v>
      </c>
      <c r="O4024">
        <v>0</v>
      </c>
      <c r="P4024">
        <v>0</v>
      </c>
      <c r="Q4024">
        <v>0</v>
      </c>
      <c r="R4024">
        <v>0</v>
      </c>
      <c r="S4024">
        <v>0</v>
      </c>
      <c r="T4024">
        <v>0</v>
      </c>
      <c r="U4024">
        <v>0</v>
      </c>
      <c r="V4024">
        <v>21</v>
      </c>
      <c r="W4024">
        <v>147</v>
      </c>
      <c r="X4024">
        <v>0</v>
      </c>
      <c r="Z4024">
        <v>0</v>
      </c>
      <c r="AA4024">
        <v>0</v>
      </c>
      <c r="AB4024">
        <v>0</v>
      </c>
      <c r="AC4024">
        <v>0</v>
      </c>
      <c r="AD4024" t="s">
        <v>7327</v>
      </c>
    </row>
    <row r="4025" spans="1:30" x14ac:dyDescent="0.25">
      <c r="H4025" t="s">
        <v>7328</v>
      </c>
    </row>
    <row r="4026" spans="1:30" x14ac:dyDescent="0.25">
      <c r="A4026">
        <v>2010</v>
      </c>
      <c r="B4026">
        <v>3809</v>
      </c>
      <c r="C4026" t="s">
        <v>7329</v>
      </c>
      <c r="D4026" t="s">
        <v>1485</v>
      </c>
      <c r="E4026" t="s">
        <v>40</v>
      </c>
      <c r="F4026" t="s">
        <v>7330</v>
      </c>
      <c r="G4026" t="str">
        <f>"00237141"</f>
        <v>00237141</v>
      </c>
      <c r="H4026" t="s">
        <v>933</v>
      </c>
      <c r="I4026">
        <v>0</v>
      </c>
      <c r="J4026">
        <v>0</v>
      </c>
      <c r="K4026">
        <v>0</v>
      </c>
      <c r="L4026">
        <v>0</v>
      </c>
      <c r="M4026">
        <v>0</v>
      </c>
      <c r="N4026">
        <v>30</v>
      </c>
      <c r="O4026">
        <v>0</v>
      </c>
      <c r="P4026">
        <v>0</v>
      </c>
      <c r="Q4026">
        <v>0</v>
      </c>
      <c r="R4026">
        <v>0</v>
      </c>
      <c r="S4026">
        <v>0</v>
      </c>
      <c r="T4026">
        <v>0</v>
      </c>
      <c r="U4026">
        <v>0</v>
      </c>
      <c r="V4026">
        <v>6</v>
      </c>
      <c r="W4026">
        <v>42</v>
      </c>
      <c r="X4026">
        <v>0</v>
      </c>
      <c r="Z4026">
        <v>2</v>
      </c>
      <c r="AA4026">
        <v>0</v>
      </c>
      <c r="AB4026">
        <v>0</v>
      </c>
      <c r="AC4026">
        <v>0</v>
      </c>
      <c r="AD4026" t="s">
        <v>7331</v>
      </c>
    </row>
    <row r="4027" spans="1:30" x14ac:dyDescent="0.25">
      <c r="H4027" t="s">
        <v>7332</v>
      </c>
    </row>
    <row r="4028" spans="1:30" x14ac:dyDescent="0.25">
      <c r="A4028">
        <v>2011</v>
      </c>
      <c r="B4028">
        <v>2525</v>
      </c>
      <c r="C4028" t="s">
        <v>7333</v>
      </c>
      <c r="D4028" t="s">
        <v>5997</v>
      </c>
      <c r="E4028" t="s">
        <v>162</v>
      </c>
      <c r="F4028" t="s">
        <v>7334</v>
      </c>
      <c r="G4028" t="str">
        <f>"201410004425"</f>
        <v>201410004425</v>
      </c>
      <c r="H4028" t="s">
        <v>146</v>
      </c>
      <c r="I4028">
        <v>0</v>
      </c>
      <c r="J4028">
        <v>0</v>
      </c>
      <c r="K4028">
        <v>0</v>
      </c>
      <c r="L4028">
        <v>0</v>
      </c>
      <c r="M4028">
        <v>0</v>
      </c>
      <c r="N4028">
        <v>30</v>
      </c>
      <c r="O4028">
        <v>0</v>
      </c>
      <c r="P4028">
        <v>0</v>
      </c>
      <c r="Q4028">
        <v>0</v>
      </c>
      <c r="R4028">
        <v>0</v>
      </c>
      <c r="S4028">
        <v>0</v>
      </c>
      <c r="T4028">
        <v>0</v>
      </c>
      <c r="U4028">
        <v>0</v>
      </c>
      <c r="V4028">
        <v>0</v>
      </c>
      <c r="W4028">
        <v>0</v>
      </c>
      <c r="X4028">
        <v>0</v>
      </c>
      <c r="Z4028">
        <v>0</v>
      </c>
      <c r="AA4028">
        <v>0</v>
      </c>
      <c r="AB4028">
        <v>0</v>
      </c>
      <c r="AC4028">
        <v>0</v>
      </c>
      <c r="AD4028" t="s">
        <v>7335</v>
      </c>
    </row>
    <row r="4029" spans="1:30" x14ac:dyDescent="0.25">
      <c r="H4029">
        <v>1249</v>
      </c>
    </row>
    <row r="4030" spans="1:30" x14ac:dyDescent="0.25">
      <c r="A4030">
        <v>2012</v>
      </c>
      <c r="B4030">
        <v>2414</v>
      </c>
      <c r="C4030" t="s">
        <v>7336</v>
      </c>
      <c r="D4030" t="s">
        <v>151</v>
      </c>
      <c r="E4030" t="s">
        <v>162</v>
      </c>
      <c r="F4030" t="s">
        <v>7337</v>
      </c>
      <c r="G4030" t="str">
        <f>"00333265"</f>
        <v>00333265</v>
      </c>
      <c r="H4030" t="s">
        <v>3212</v>
      </c>
      <c r="I4030">
        <v>0</v>
      </c>
      <c r="J4030">
        <v>0</v>
      </c>
      <c r="K4030">
        <v>0</v>
      </c>
      <c r="L4030">
        <v>0</v>
      </c>
      <c r="M4030">
        <v>0</v>
      </c>
      <c r="N4030">
        <v>50</v>
      </c>
      <c r="O4030">
        <v>0</v>
      </c>
      <c r="P4030">
        <v>0</v>
      </c>
      <c r="Q4030">
        <v>0</v>
      </c>
      <c r="R4030">
        <v>0</v>
      </c>
      <c r="S4030">
        <v>0</v>
      </c>
      <c r="T4030">
        <v>0</v>
      </c>
      <c r="U4030">
        <v>0</v>
      </c>
      <c r="V4030">
        <v>10</v>
      </c>
      <c r="W4030">
        <v>70</v>
      </c>
      <c r="X4030">
        <v>0</v>
      </c>
      <c r="Z4030">
        <v>0</v>
      </c>
      <c r="AA4030">
        <v>0</v>
      </c>
      <c r="AB4030">
        <v>0</v>
      </c>
      <c r="AC4030">
        <v>0</v>
      </c>
      <c r="AD4030" t="s">
        <v>7338</v>
      </c>
    </row>
    <row r="4031" spans="1:30" x14ac:dyDescent="0.25">
      <c r="H4031" t="s">
        <v>7339</v>
      </c>
    </row>
    <row r="4032" spans="1:30" x14ac:dyDescent="0.25">
      <c r="A4032">
        <v>2013</v>
      </c>
      <c r="B4032">
        <v>984</v>
      </c>
      <c r="C4032" t="s">
        <v>7340</v>
      </c>
      <c r="D4032" t="s">
        <v>852</v>
      </c>
      <c r="E4032" t="s">
        <v>51</v>
      </c>
      <c r="F4032" t="s">
        <v>7341</v>
      </c>
      <c r="G4032" t="str">
        <f>"201510001677"</f>
        <v>201510001677</v>
      </c>
      <c r="H4032" t="s">
        <v>519</v>
      </c>
      <c r="I4032">
        <v>0</v>
      </c>
      <c r="J4032">
        <v>0</v>
      </c>
      <c r="K4032">
        <v>0</v>
      </c>
      <c r="L4032">
        <v>0</v>
      </c>
      <c r="M4032">
        <v>0</v>
      </c>
      <c r="N4032">
        <v>30</v>
      </c>
      <c r="O4032">
        <v>0</v>
      </c>
      <c r="P4032">
        <v>0</v>
      </c>
      <c r="Q4032">
        <v>0</v>
      </c>
      <c r="R4032">
        <v>0</v>
      </c>
      <c r="S4032">
        <v>0</v>
      </c>
      <c r="T4032">
        <v>0</v>
      </c>
      <c r="U4032">
        <v>0</v>
      </c>
      <c r="V4032">
        <v>0</v>
      </c>
      <c r="W4032">
        <v>0</v>
      </c>
      <c r="X4032">
        <v>0</v>
      </c>
      <c r="Z4032">
        <v>0</v>
      </c>
      <c r="AA4032">
        <v>0</v>
      </c>
      <c r="AB4032">
        <v>0</v>
      </c>
      <c r="AC4032">
        <v>0</v>
      </c>
      <c r="AD4032" t="s">
        <v>7342</v>
      </c>
    </row>
    <row r="4033" spans="1:30" x14ac:dyDescent="0.25">
      <c r="H4033" t="s">
        <v>7343</v>
      </c>
    </row>
    <row r="4034" spans="1:30" x14ac:dyDescent="0.25">
      <c r="A4034">
        <v>2014</v>
      </c>
      <c r="B4034">
        <v>937</v>
      </c>
      <c r="C4034" t="s">
        <v>5445</v>
      </c>
      <c r="D4034" t="s">
        <v>420</v>
      </c>
      <c r="E4034" t="s">
        <v>176</v>
      </c>
      <c r="F4034" t="s">
        <v>7344</v>
      </c>
      <c r="G4034" t="str">
        <f>"00002292"</f>
        <v>00002292</v>
      </c>
      <c r="H4034" t="s">
        <v>1930</v>
      </c>
      <c r="I4034">
        <v>0</v>
      </c>
      <c r="J4034">
        <v>0</v>
      </c>
      <c r="K4034">
        <v>0</v>
      </c>
      <c r="L4034">
        <v>0</v>
      </c>
      <c r="M4034">
        <v>0</v>
      </c>
      <c r="N4034">
        <v>0</v>
      </c>
      <c r="O4034">
        <v>0</v>
      </c>
      <c r="P4034">
        <v>0</v>
      </c>
      <c r="Q4034">
        <v>0</v>
      </c>
      <c r="R4034">
        <v>0</v>
      </c>
      <c r="S4034">
        <v>0</v>
      </c>
      <c r="T4034">
        <v>0</v>
      </c>
      <c r="U4034">
        <v>0</v>
      </c>
      <c r="V4034">
        <v>12</v>
      </c>
      <c r="W4034">
        <v>84</v>
      </c>
      <c r="X4034">
        <v>0</v>
      </c>
      <c r="Z4034">
        <v>0</v>
      </c>
      <c r="AA4034">
        <v>0</v>
      </c>
      <c r="AB4034">
        <v>0</v>
      </c>
      <c r="AC4034">
        <v>0</v>
      </c>
      <c r="AD4034" t="s">
        <v>7345</v>
      </c>
    </row>
    <row r="4035" spans="1:30" x14ac:dyDescent="0.25">
      <c r="H4035" t="s">
        <v>6487</v>
      </c>
    </row>
    <row r="4036" spans="1:30" x14ac:dyDescent="0.25">
      <c r="A4036">
        <v>2015</v>
      </c>
      <c r="B4036">
        <v>413</v>
      </c>
      <c r="C4036" t="s">
        <v>7346</v>
      </c>
      <c r="D4036" t="s">
        <v>694</v>
      </c>
      <c r="E4036" t="s">
        <v>140</v>
      </c>
      <c r="F4036" t="s">
        <v>7347</v>
      </c>
      <c r="G4036" t="str">
        <f>"00226090"</f>
        <v>00226090</v>
      </c>
      <c r="H4036" t="s">
        <v>502</v>
      </c>
      <c r="I4036">
        <v>0</v>
      </c>
      <c r="J4036">
        <v>0</v>
      </c>
      <c r="K4036">
        <v>0</v>
      </c>
      <c r="L4036">
        <v>0</v>
      </c>
      <c r="M4036">
        <v>0</v>
      </c>
      <c r="N4036">
        <v>30</v>
      </c>
      <c r="O4036">
        <v>0</v>
      </c>
      <c r="P4036">
        <v>0</v>
      </c>
      <c r="Q4036">
        <v>0</v>
      </c>
      <c r="R4036">
        <v>0</v>
      </c>
      <c r="S4036">
        <v>0</v>
      </c>
      <c r="T4036">
        <v>0</v>
      </c>
      <c r="U4036">
        <v>0</v>
      </c>
      <c r="V4036">
        <v>0</v>
      </c>
      <c r="W4036">
        <v>0</v>
      </c>
      <c r="X4036">
        <v>0</v>
      </c>
      <c r="Z4036">
        <v>0</v>
      </c>
      <c r="AA4036">
        <v>0</v>
      </c>
      <c r="AB4036">
        <v>0</v>
      </c>
      <c r="AC4036">
        <v>0</v>
      </c>
      <c r="AD4036" t="s">
        <v>7348</v>
      </c>
    </row>
    <row r="4037" spans="1:30" x14ac:dyDescent="0.25">
      <c r="H4037" t="s">
        <v>236</v>
      </c>
    </row>
    <row r="4038" spans="1:30" x14ac:dyDescent="0.25">
      <c r="A4038">
        <v>2016</v>
      </c>
      <c r="B4038">
        <v>4824</v>
      </c>
      <c r="C4038" t="s">
        <v>7349</v>
      </c>
      <c r="D4038" t="s">
        <v>134</v>
      </c>
      <c r="E4038" t="s">
        <v>33</v>
      </c>
      <c r="F4038" t="s">
        <v>7350</v>
      </c>
      <c r="G4038" t="str">
        <f>"201412000134"</f>
        <v>201412000134</v>
      </c>
      <c r="H4038" t="s">
        <v>1806</v>
      </c>
      <c r="I4038">
        <v>0</v>
      </c>
      <c r="J4038">
        <v>0</v>
      </c>
      <c r="K4038">
        <v>0</v>
      </c>
      <c r="L4038">
        <v>0</v>
      </c>
      <c r="M4038">
        <v>0</v>
      </c>
      <c r="N4038">
        <v>0</v>
      </c>
      <c r="O4038">
        <v>0</v>
      </c>
      <c r="P4038">
        <v>0</v>
      </c>
      <c r="Q4038">
        <v>0</v>
      </c>
      <c r="R4038">
        <v>0</v>
      </c>
      <c r="S4038">
        <v>0</v>
      </c>
      <c r="T4038">
        <v>0</v>
      </c>
      <c r="U4038">
        <v>0</v>
      </c>
      <c r="V4038">
        <v>6</v>
      </c>
      <c r="W4038">
        <v>42</v>
      </c>
      <c r="X4038">
        <v>0</v>
      </c>
      <c r="Z4038">
        <v>0</v>
      </c>
      <c r="AA4038">
        <v>0</v>
      </c>
      <c r="AB4038">
        <v>0</v>
      </c>
      <c r="AC4038">
        <v>0</v>
      </c>
      <c r="AD4038" t="s">
        <v>7351</v>
      </c>
    </row>
    <row r="4039" spans="1:30" x14ac:dyDescent="0.25">
      <c r="H4039" t="s">
        <v>7352</v>
      </c>
    </row>
    <row r="4040" spans="1:30" x14ac:dyDescent="0.25">
      <c r="A4040">
        <v>2017</v>
      </c>
      <c r="B4040">
        <v>5124</v>
      </c>
      <c r="C4040" t="s">
        <v>7353</v>
      </c>
      <c r="D4040" t="s">
        <v>547</v>
      </c>
      <c r="E4040" t="s">
        <v>51</v>
      </c>
      <c r="F4040" t="s">
        <v>7354</v>
      </c>
      <c r="G4040" t="str">
        <f>"00347599"</f>
        <v>00347599</v>
      </c>
      <c r="H4040" t="s">
        <v>1315</v>
      </c>
      <c r="I4040">
        <v>0</v>
      </c>
      <c r="J4040">
        <v>0</v>
      </c>
      <c r="K4040">
        <v>0</v>
      </c>
      <c r="L4040">
        <v>0</v>
      </c>
      <c r="M4040">
        <v>0</v>
      </c>
      <c r="N4040">
        <v>30</v>
      </c>
      <c r="O4040">
        <v>0</v>
      </c>
      <c r="P4040">
        <v>0</v>
      </c>
      <c r="Q4040">
        <v>0</v>
      </c>
      <c r="R4040">
        <v>0</v>
      </c>
      <c r="S4040">
        <v>0</v>
      </c>
      <c r="T4040">
        <v>0</v>
      </c>
      <c r="U4040">
        <v>0</v>
      </c>
      <c r="V4040">
        <v>8</v>
      </c>
      <c r="W4040">
        <v>56</v>
      </c>
      <c r="X4040">
        <v>0</v>
      </c>
      <c r="Z4040">
        <v>0</v>
      </c>
      <c r="AA4040">
        <v>0</v>
      </c>
      <c r="AB4040">
        <v>0</v>
      </c>
      <c r="AC4040">
        <v>0</v>
      </c>
      <c r="AD4040" t="s">
        <v>7351</v>
      </c>
    </row>
    <row r="4041" spans="1:30" x14ac:dyDescent="0.25">
      <c r="H4041" t="s">
        <v>7355</v>
      </c>
    </row>
    <row r="4042" spans="1:30" x14ac:dyDescent="0.25">
      <c r="A4042">
        <v>2018</v>
      </c>
      <c r="B4042">
        <v>1469</v>
      </c>
      <c r="C4042" t="s">
        <v>7356</v>
      </c>
      <c r="D4042" t="s">
        <v>40</v>
      </c>
      <c r="E4042" t="s">
        <v>39</v>
      </c>
      <c r="F4042" t="s">
        <v>7357</v>
      </c>
      <c r="G4042" t="str">
        <f>"201406012696"</f>
        <v>201406012696</v>
      </c>
      <c r="H4042" t="s">
        <v>638</v>
      </c>
      <c r="I4042">
        <v>0</v>
      </c>
      <c r="J4042">
        <v>0</v>
      </c>
      <c r="K4042">
        <v>0</v>
      </c>
      <c r="L4042">
        <v>0</v>
      </c>
      <c r="M4042">
        <v>0</v>
      </c>
      <c r="N4042">
        <v>0</v>
      </c>
      <c r="O4042">
        <v>0</v>
      </c>
      <c r="P4042">
        <v>0</v>
      </c>
      <c r="Q4042">
        <v>0</v>
      </c>
      <c r="R4042">
        <v>0</v>
      </c>
      <c r="S4042">
        <v>0</v>
      </c>
      <c r="T4042">
        <v>0</v>
      </c>
      <c r="U4042">
        <v>0</v>
      </c>
      <c r="V4042">
        <v>11</v>
      </c>
      <c r="W4042">
        <v>77</v>
      </c>
      <c r="X4042">
        <v>0</v>
      </c>
      <c r="Z4042">
        <v>0</v>
      </c>
      <c r="AA4042">
        <v>0</v>
      </c>
      <c r="AB4042">
        <v>0</v>
      </c>
      <c r="AC4042">
        <v>0</v>
      </c>
      <c r="AD4042" t="s">
        <v>110</v>
      </c>
    </row>
    <row r="4043" spans="1:30" x14ac:dyDescent="0.25">
      <c r="H4043" t="s">
        <v>4159</v>
      </c>
    </row>
    <row r="4044" spans="1:30" x14ac:dyDescent="0.25">
      <c r="A4044">
        <v>2019</v>
      </c>
      <c r="B4044">
        <v>5993</v>
      </c>
      <c r="C4044" t="s">
        <v>1429</v>
      </c>
      <c r="D4044" t="s">
        <v>2088</v>
      </c>
      <c r="E4044" t="s">
        <v>151</v>
      </c>
      <c r="F4044" t="s">
        <v>7358</v>
      </c>
      <c r="G4044" t="str">
        <f>"00320625"</f>
        <v>00320625</v>
      </c>
      <c r="H4044" t="s">
        <v>2325</v>
      </c>
      <c r="I4044">
        <v>0</v>
      </c>
      <c r="J4044">
        <v>0</v>
      </c>
      <c r="K4044">
        <v>0</v>
      </c>
      <c r="L4044">
        <v>0</v>
      </c>
      <c r="M4044">
        <v>0</v>
      </c>
      <c r="N4044">
        <v>30</v>
      </c>
      <c r="O4044">
        <v>0</v>
      </c>
      <c r="P4044">
        <v>0</v>
      </c>
      <c r="Q4044">
        <v>0</v>
      </c>
      <c r="R4044">
        <v>0</v>
      </c>
      <c r="S4044">
        <v>0</v>
      </c>
      <c r="T4044">
        <v>0</v>
      </c>
      <c r="U4044">
        <v>0</v>
      </c>
      <c r="V4044">
        <v>0</v>
      </c>
      <c r="W4044">
        <v>0</v>
      </c>
      <c r="X4044">
        <v>0</v>
      </c>
      <c r="Z4044">
        <v>0</v>
      </c>
      <c r="AA4044">
        <v>0</v>
      </c>
      <c r="AB4044">
        <v>0</v>
      </c>
      <c r="AC4044">
        <v>0</v>
      </c>
      <c r="AD4044" t="s">
        <v>7359</v>
      </c>
    </row>
    <row r="4045" spans="1:30" x14ac:dyDescent="0.25">
      <c r="H4045" t="s">
        <v>7360</v>
      </c>
    </row>
    <row r="4046" spans="1:30" x14ac:dyDescent="0.25">
      <c r="A4046">
        <v>2020</v>
      </c>
      <c r="B4046">
        <v>4994</v>
      </c>
      <c r="C4046" t="s">
        <v>7361</v>
      </c>
      <c r="D4046" t="s">
        <v>2025</v>
      </c>
      <c r="E4046" t="s">
        <v>7362</v>
      </c>
      <c r="F4046" t="s">
        <v>7363</v>
      </c>
      <c r="G4046" t="str">
        <f>"00234048"</f>
        <v>00234048</v>
      </c>
      <c r="H4046" t="s">
        <v>2242</v>
      </c>
      <c r="I4046">
        <v>0</v>
      </c>
      <c r="J4046">
        <v>0</v>
      </c>
      <c r="K4046">
        <v>0</v>
      </c>
      <c r="L4046">
        <v>0</v>
      </c>
      <c r="M4046">
        <v>0</v>
      </c>
      <c r="N4046">
        <v>70</v>
      </c>
      <c r="O4046">
        <v>0</v>
      </c>
      <c r="P4046">
        <v>0</v>
      </c>
      <c r="Q4046">
        <v>0</v>
      </c>
      <c r="R4046">
        <v>0</v>
      </c>
      <c r="S4046">
        <v>0</v>
      </c>
      <c r="T4046">
        <v>0</v>
      </c>
      <c r="U4046">
        <v>0</v>
      </c>
      <c r="V4046">
        <v>0</v>
      </c>
      <c r="W4046">
        <v>0</v>
      </c>
      <c r="X4046">
        <v>0</v>
      </c>
      <c r="Z4046">
        <v>0</v>
      </c>
      <c r="AA4046">
        <v>0</v>
      </c>
      <c r="AB4046">
        <v>0</v>
      </c>
      <c r="AC4046">
        <v>0</v>
      </c>
      <c r="AD4046" t="s">
        <v>7364</v>
      </c>
    </row>
    <row r="4047" spans="1:30" x14ac:dyDescent="0.25">
      <c r="H4047" t="s">
        <v>7365</v>
      </c>
    </row>
    <row r="4048" spans="1:30" x14ac:dyDescent="0.25">
      <c r="A4048">
        <v>2021</v>
      </c>
      <c r="B4048">
        <v>5591</v>
      </c>
      <c r="C4048" t="s">
        <v>2955</v>
      </c>
      <c r="D4048" t="s">
        <v>869</v>
      </c>
      <c r="E4048" t="s">
        <v>40</v>
      </c>
      <c r="F4048" t="s">
        <v>7366</v>
      </c>
      <c r="G4048" t="str">
        <f>"00036882"</f>
        <v>00036882</v>
      </c>
      <c r="H4048" t="s">
        <v>332</v>
      </c>
      <c r="I4048">
        <v>0</v>
      </c>
      <c r="J4048">
        <v>0</v>
      </c>
      <c r="K4048">
        <v>0</v>
      </c>
      <c r="L4048">
        <v>0</v>
      </c>
      <c r="M4048">
        <v>0</v>
      </c>
      <c r="N4048">
        <v>50</v>
      </c>
      <c r="O4048">
        <v>0</v>
      </c>
      <c r="P4048">
        <v>0</v>
      </c>
      <c r="Q4048">
        <v>0</v>
      </c>
      <c r="R4048">
        <v>0</v>
      </c>
      <c r="S4048">
        <v>0</v>
      </c>
      <c r="T4048">
        <v>0</v>
      </c>
      <c r="U4048">
        <v>0</v>
      </c>
      <c r="V4048">
        <v>0</v>
      </c>
      <c r="W4048">
        <v>0</v>
      </c>
      <c r="X4048">
        <v>0</v>
      </c>
      <c r="Z4048">
        <v>2</v>
      </c>
      <c r="AA4048">
        <v>0</v>
      </c>
      <c r="AB4048">
        <v>0</v>
      </c>
      <c r="AC4048">
        <v>0</v>
      </c>
      <c r="AD4048" t="s">
        <v>7367</v>
      </c>
    </row>
    <row r="4049" spans="1:30" x14ac:dyDescent="0.25">
      <c r="H4049">
        <v>1247</v>
      </c>
    </row>
    <row r="4050" spans="1:30" x14ac:dyDescent="0.25">
      <c r="A4050">
        <v>2022</v>
      </c>
      <c r="B4050">
        <v>4901</v>
      </c>
      <c r="C4050" t="s">
        <v>7368</v>
      </c>
      <c r="D4050" t="s">
        <v>346</v>
      </c>
      <c r="E4050" t="s">
        <v>47</v>
      </c>
      <c r="F4050" t="s">
        <v>7369</v>
      </c>
      <c r="G4050" t="str">
        <f>"201511031069"</f>
        <v>201511031069</v>
      </c>
      <c r="H4050" t="s">
        <v>3482</v>
      </c>
      <c r="I4050">
        <v>0</v>
      </c>
      <c r="J4050">
        <v>0</v>
      </c>
      <c r="K4050">
        <v>0</v>
      </c>
      <c r="L4050">
        <v>0</v>
      </c>
      <c r="M4050">
        <v>0</v>
      </c>
      <c r="N4050">
        <v>30</v>
      </c>
      <c r="O4050">
        <v>0</v>
      </c>
      <c r="P4050">
        <v>0</v>
      </c>
      <c r="Q4050">
        <v>0</v>
      </c>
      <c r="R4050">
        <v>0</v>
      </c>
      <c r="S4050">
        <v>0</v>
      </c>
      <c r="T4050">
        <v>0</v>
      </c>
      <c r="U4050">
        <v>0</v>
      </c>
      <c r="V4050">
        <v>5</v>
      </c>
      <c r="W4050">
        <v>35</v>
      </c>
      <c r="X4050">
        <v>0</v>
      </c>
      <c r="Z4050">
        <v>0</v>
      </c>
      <c r="AA4050">
        <v>0</v>
      </c>
      <c r="AB4050">
        <v>0</v>
      </c>
      <c r="AC4050">
        <v>0</v>
      </c>
      <c r="AD4050" t="s">
        <v>7370</v>
      </c>
    </row>
    <row r="4051" spans="1:30" x14ac:dyDescent="0.25">
      <c r="H4051" t="s">
        <v>7371</v>
      </c>
    </row>
    <row r="4052" spans="1:30" x14ac:dyDescent="0.25">
      <c r="A4052">
        <v>2023</v>
      </c>
      <c r="B4052">
        <v>5893</v>
      </c>
      <c r="C4052" t="s">
        <v>7372</v>
      </c>
      <c r="D4052" t="s">
        <v>599</v>
      </c>
      <c r="E4052" t="s">
        <v>107</v>
      </c>
      <c r="F4052" t="s">
        <v>7373</v>
      </c>
      <c r="G4052" t="str">
        <f>"00357541"</f>
        <v>00357541</v>
      </c>
      <c r="H4052" t="s">
        <v>854</v>
      </c>
      <c r="I4052">
        <v>0</v>
      </c>
      <c r="J4052">
        <v>0</v>
      </c>
      <c r="K4052">
        <v>0</v>
      </c>
      <c r="L4052">
        <v>0</v>
      </c>
      <c r="M4052">
        <v>0</v>
      </c>
      <c r="N4052">
        <v>70</v>
      </c>
      <c r="O4052">
        <v>0</v>
      </c>
      <c r="P4052">
        <v>0</v>
      </c>
      <c r="Q4052">
        <v>0</v>
      </c>
      <c r="R4052">
        <v>0</v>
      </c>
      <c r="S4052">
        <v>0</v>
      </c>
      <c r="T4052">
        <v>0</v>
      </c>
      <c r="U4052">
        <v>0</v>
      </c>
      <c r="V4052">
        <v>0</v>
      </c>
      <c r="W4052">
        <v>0</v>
      </c>
      <c r="X4052">
        <v>0</v>
      </c>
      <c r="Z4052">
        <v>0</v>
      </c>
      <c r="AA4052">
        <v>0</v>
      </c>
      <c r="AB4052">
        <v>0</v>
      </c>
      <c r="AC4052">
        <v>0</v>
      </c>
      <c r="AD4052" t="s">
        <v>7374</v>
      </c>
    </row>
    <row r="4053" spans="1:30" x14ac:dyDescent="0.25">
      <c r="H4053" t="s">
        <v>7375</v>
      </c>
    </row>
    <row r="4054" spans="1:30" x14ac:dyDescent="0.25">
      <c r="A4054">
        <v>2024</v>
      </c>
      <c r="B4054">
        <v>2315</v>
      </c>
      <c r="C4054" t="s">
        <v>7376</v>
      </c>
      <c r="D4054" t="s">
        <v>47</v>
      </c>
      <c r="E4054" t="s">
        <v>1039</v>
      </c>
      <c r="F4054" t="s">
        <v>7377</v>
      </c>
      <c r="G4054" t="str">
        <f>"00150101"</f>
        <v>00150101</v>
      </c>
      <c r="H4054" t="s">
        <v>854</v>
      </c>
      <c r="I4054">
        <v>0</v>
      </c>
      <c r="J4054">
        <v>0</v>
      </c>
      <c r="K4054">
        <v>0</v>
      </c>
      <c r="L4054">
        <v>0</v>
      </c>
      <c r="M4054">
        <v>0</v>
      </c>
      <c r="N4054">
        <v>70</v>
      </c>
      <c r="O4054">
        <v>0</v>
      </c>
      <c r="P4054">
        <v>0</v>
      </c>
      <c r="Q4054">
        <v>0</v>
      </c>
      <c r="R4054">
        <v>0</v>
      </c>
      <c r="S4054">
        <v>0</v>
      </c>
      <c r="T4054">
        <v>0</v>
      </c>
      <c r="U4054">
        <v>0</v>
      </c>
      <c r="V4054">
        <v>0</v>
      </c>
      <c r="W4054">
        <v>0</v>
      </c>
      <c r="X4054">
        <v>0</v>
      </c>
      <c r="Z4054">
        <v>0</v>
      </c>
      <c r="AA4054">
        <v>0</v>
      </c>
      <c r="AB4054">
        <v>0</v>
      </c>
      <c r="AC4054">
        <v>0</v>
      </c>
      <c r="AD4054" t="s">
        <v>7374</v>
      </c>
    </row>
    <row r="4055" spans="1:30" x14ac:dyDescent="0.25">
      <c r="H4055" t="s">
        <v>7378</v>
      </c>
    </row>
    <row r="4056" spans="1:30" x14ac:dyDescent="0.25">
      <c r="A4056">
        <v>2025</v>
      </c>
      <c r="B4056">
        <v>806</v>
      </c>
      <c r="C4056" t="s">
        <v>7379</v>
      </c>
      <c r="D4056" t="s">
        <v>526</v>
      </c>
      <c r="E4056" t="s">
        <v>162</v>
      </c>
      <c r="F4056" t="s">
        <v>7380</v>
      </c>
      <c r="G4056" t="str">
        <f>"201512004078"</f>
        <v>201512004078</v>
      </c>
      <c r="H4056" t="s">
        <v>117</v>
      </c>
      <c r="I4056">
        <v>0</v>
      </c>
      <c r="J4056">
        <v>0</v>
      </c>
      <c r="K4056">
        <v>0</v>
      </c>
      <c r="L4056">
        <v>0</v>
      </c>
      <c r="M4056">
        <v>0</v>
      </c>
      <c r="N4056">
        <v>50</v>
      </c>
      <c r="O4056">
        <v>0</v>
      </c>
      <c r="P4056">
        <v>0</v>
      </c>
      <c r="Q4056">
        <v>0</v>
      </c>
      <c r="R4056">
        <v>0</v>
      </c>
      <c r="S4056">
        <v>0</v>
      </c>
      <c r="T4056">
        <v>0</v>
      </c>
      <c r="U4056">
        <v>0</v>
      </c>
      <c r="V4056">
        <v>0</v>
      </c>
      <c r="W4056">
        <v>0</v>
      </c>
      <c r="X4056">
        <v>0</v>
      </c>
      <c r="Z4056">
        <v>2</v>
      </c>
      <c r="AA4056">
        <v>0</v>
      </c>
      <c r="AB4056">
        <v>0</v>
      </c>
      <c r="AC4056">
        <v>0</v>
      </c>
      <c r="AD4056" t="s">
        <v>7381</v>
      </c>
    </row>
    <row r="4057" spans="1:30" x14ac:dyDescent="0.25">
      <c r="H4057" t="s">
        <v>521</v>
      </c>
    </row>
    <row r="4058" spans="1:30" x14ac:dyDescent="0.25">
      <c r="A4058">
        <v>2026</v>
      </c>
      <c r="B4058">
        <v>1226</v>
      </c>
      <c r="C4058" t="s">
        <v>7382</v>
      </c>
      <c r="D4058" t="s">
        <v>40</v>
      </c>
      <c r="E4058" t="s">
        <v>51</v>
      </c>
      <c r="F4058" t="s">
        <v>7383</v>
      </c>
      <c r="G4058" t="str">
        <f>"201406001589"</f>
        <v>201406001589</v>
      </c>
      <c r="H4058" t="s">
        <v>2126</v>
      </c>
      <c r="I4058">
        <v>0</v>
      </c>
      <c r="J4058">
        <v>0</v>
      </c>
      <c r="K4058">
        <v>0</v>
      </c>
      <c r="L4058">
        <v>0</v>
      </c>
      <c r="M4058">
        <v>0</v>
      </c>
      <c r="N4058">
        <v>70</v>
      </c>
      <c r="O4058">
        <v>0</v>
      </c>
      <c r="P4058">
        <v>0</v>
      </c>
      <c r="Q4058">
        <v>0</v>
      </c>
      <c r="R4058">
        <v>0</v>
      </c>
      <c r="S4058">
        <v>0</v>
      </c>
      <c r="T4058">
        <v>0</v>
      </c>
      <c r="U4058">
        <v>0</v>
      </c>
      <c r="V4058">
        <v>5</v>
      </c>
      <c r="W4058">
        <v>35</v>
      </c>
      <c r="X4058">
        <v>0</v>
      </c>
      <c r="Z4058">
        <v>0</v>
      </c>
      <c r="AA4058">
        <v>0</v>
      </c>
      <c r="AB4058">
        <v>0</v>
      </c>
      <c r="AC4058">
        <v>0</v>
      </c>
      <c r="AD4058" t="s">
        <v>7381</v>
      </c>
    </row>
    <row r="4059" spans="1:30" x14ac:dyDescent="0.25">
      <c r="H4059" t="s">
        <v>7384</v>
      </c>
    </row>
    <row r="4060" spans="1:30" x14ac:dyDescent="0.25">
      <c r="A4060">
        <v>2027</v>
      </c>
      <c r="B4060">
        <v>1733</v>
      </c>
      <c r="C4060" t="s">
        <v>7385</v>
      </c>
      <c r="D4060" t="s">
        <v>290</v>
      </c>
      <c r="E4060" t="s">
        <v>51</v>
      </c>
      <c r="F4060" t="s">
        <v>7386</v>
      </c>
      <c r="G4060" t="str">
        <f>"201406011643"</f>
        <v>201406011643</v>
      </c>
      <c r="H4060" t="s">
        <v>2941</v>
      </c>
      <c r="I4060">
        <v>0</v>
      </c>
      <c r="J4060">
        <v>0</v>
      </c>
      <c r="K4060">
        <v>0</v>
      </c>
      <c r="L4060">
        <v>0</v>
      </c>
      <c r="M4060">
        <v>0</v>
      </c>
      <c r="N4060">
        <v>50</v>
      </c>
      <c r="O4060">
        <v>0</v>
      </c>
      <c r="P4060">
        <v>0</v>
      </c>
      <c r="Q4060">
        <v>0</v>
      </c>
      <c r="R4060">
        <v>0</v>
      </c>
      <c r="S4060">
        <v>0</v>
      </c>
      <c r="T4060">
        <v>0</v>
      </c>
      <c r="U4060">
        <v>0</v>
      </c>
      <c r="V4060">
        <v>11</v>
      </c>
      <c r="W4060">
        <v>77</v>
      </c>
      <c r="X4060">
        <v>0</v>
      </c>
      <c r="Z4060">
        <v>0</v>
      </c>
      <c r="AA4060">
        <v>0</v>
      </c>
      <c r="AB4060">
        <v>0</v>
      </c>
      <c r="AC4060">
        <v>0</v>
      </c>
      <c r="AD4060" t="s">
        <v>7381</v>
      </c>
    </row>
    <row r="4061" spans="1:30" x14ac:dyDescent="0.25">
      <c r="H4061" t="s">
        <v>7387</v>
      </c>
    </row>
    <row r="4062" spans="1:30" x14ac:dyDescent="0.25">
      <c r="A4062">
        <v>2028</v>
      </c>
      <c r="B4062">
        <v>2777</v>
      </c>
      <c r="C4062" t="s">
        <v>7388</v>
      </c>
      <c r="D4062" t="s">
        <v>75</v>
      </c>
      <c r="E4062" t="s">
        <v>47</v>
      </c>
      <c r="F4062" t="s">
        <v>7389</v>
      </c>
      <c r="G4062" t="str">
        <f>"00108147"</f>
        <v>00108147</v>
      </c>
      <c r="H4062" t="s">
        <v>4801</v>
      </c>
      <c r="I4062">
        <v>0</v>
      </c>
      <c r="J4062">
        <v>0</v>
      </c>
      <c r="K4062">
        <v>0</v>
      </c>
      <c r="L4062">
        <v>0</v>
      </c>
      <c r="M4062">
        <v>0</v>
      </c>
      <c r="N4062">
        <v>30</v>
      </c>
      <c r="O4062">
        <v>0</v>
      </c>
      <c r="P4062">
        <v>0</v>
      </c>
      <c r="Q4062">
        <v>0</v>
      </c>
      <c r="R4062">
        <v>0</v>
      </c>
      <c r="S4062">
        <v>0</v>
      </c>
      <c r="T4062">
        <v>0</v>
      </c>
      <c r="U4062">
        <v>0</v>
      </c>
      <c r="V4062">
        <v>0</v>
      </c>
      <c r="W4062">
        <v>0</v>
      </c>
      <c r="X4062">
        <v>0</v>
      </c>
      <c r="Z4062">
        <v>0</v>
      </c>
      <c r="AA4062">
        <v>0</v>
      </c>
      <c r="AB4062">
        <v>0</v>
      </c>
      <c r="AC4062">
        <v>0</v>
      </c>
      <c r="AD4062" t="s">
        <v>7390</v>
      </c>
    </row>
    <row r="4063" spans="1:30" x14ac:dyDescent="0.25">
      <c r="H4063" t="s">
        <v>7391</v>
      </c>
    </row>
    <row r="4064" spans="1:30" x14ac:dyDescent="0.25">
      <c r="A4064">
        <v>2029</v>
      </c>
      <c r="B4064">
        <v>4185</v>
      </c>
      <c r="C4064" t="s">
        <v>7392</v>
      </c>
      <c r="D4064" t="s">
        <v>2088</v>
      </c>
      <c r="E4064" t="s">
        <v>51</v>
      </c>
      <c r="F4064" t="s">
        <v>7393</v>
      </c>
      <c r="G4064" t="str">
        <f>"00363615"</f>
        <v>00363615</v>
      </c>
      <c r="H4064" t="s">
        <v>1572</v>
      </c>
      <c r="I4064">
        <v>0</v>
      </c>
      <c r="J4064">
        <v>0</v>
      </c>
      <c r="K4064">
        <v>0</v>
      </c>
      <c r="L4064">
        <v>0</v>
      </c>
      <c r="M4064">
        <v>0</v>
      </c>
      <c r="N4064">
        <v>0</v>
      </c>
      <c r="O4064">
        <v>0</v>
      </c>
      <c r="P4064">
        <v>0</v>
      </c>
      <c r="Q4064">
        <v>0</v>
      </c>
      <c r="R4064">
        <v>0</v>
      </c>
      <c r="S4064">
        <v>0</v>
      </c>
      <c r="T4064">
        <v>0</v>
      </c>
      <c r="U4064">
        <v>0</v>
      </c>
      <c r="V4064">
        <v>9</v>
      </c>
      <c r="W4064">
        <v>63</v>
      </c>
      <c r="X4064">
        <v>0</v>
      </c>
      <c r="Z4064">
        <v>0</v>
      </c>
      <c r="AA4064">
        <v>0</v>
      </c>
      <c r="AB4064">
        <v>0</v>
      </c>
      <c r="AC4064">
        <v>0</v>
      </c>
      <c r="AD4064" t="s">
        <v>7390</v>
      </c>
    </row>
    <row r="4065" spans="1:30" x14ac:dyDescent="0.25">
      <c r="H4065">
        <v>1247</v>
      </c>
    </row>
    <row r="4066" spans="1:30" x14ac:dyDescent="0.25">
      <c r="A4066">
        <v>2030</v>
      </c>
      <c r="B4066">
        <v>3839</v>
      </c>
      <c r="C4066" t="s">
        <v>7394</v>
      </c>
      <c r="D4066" t="s">
        <v>7395</v>
      </c>
      <c r="E4066" t="s">
        <v>3620</v>
      </c>
      <c r="F4066" t="s">
        <v>7396</v>
      </c>
      <c r="G4066" t="str">
        <f>"201402001037"</f>
        <v>201402001037</v>
      </c>
      <c r="H4066" t="s">
        <v>4706</v>
      </c>
      <c r="I4066">
        <v>0</v>
      </c>
      <c r="J4066">
        <v>0</v>
      </c>
      <c r="K4066">
        <v>0</v>
      </c>
      <c r="L4066">
        <v>0</v>
      </c>
      <c r="M4066">
        <v>0</v>
      </c>
      <c r="N4066">
        <v>30</v>
      </c>
      <c r="O4066">
        <v>0</v>
      </c>
      <c r="P4066">
        <v>0</v>
      </c>
      <c r="Q4066">
        <v>0</v>
      </c>
      <c r="R4066">
        <v>0</v>
      </c>
      <c r="S4066">
        <v>0</v>
      </c>
      <c r="T4066">
        <v>0</v>
      </c>
      <c r="U4066">
        <v>0</v>
      </c>
      <c r="V4066">
        <v>16</v>
      </c>
      <c r="W4066">
        <v>112</v>
      </c>
      <c r="X4066">
        <v>0</v>
      </c>
      <c r="Z4066">
        <v>1</v>
      </c>
      <c r="AA4066">
        <v>0</v>
      </c>
      <c r="AB4066">
        <v>0</v>
      </c>
      <c r="AC4066">
        <v>0</v>
      </c>
      <c r="AD4066" t="s">
        <v>7397</v>
      </c>
    </row>
    <row r="4067" spans="1:30" x14ac:dyDescent="0.25">
      <c r="H4067" t="s">
        <v>3912</v>
      </c>
    </row>
    <row r="4068" spans="1:30" x14ac:dyDescent="0.25">
      <c r="A4068">
        <v>2031</v>
      </c>
      <c r="B4068">
        <v>2081</v>
      </c>
      <c r="C4068" t="s">
        <v>7398</v>
      </c>
      <c r="D4068" t="s">
        <v>804</v>
      </c>
      <c r="E4068" t="s">
        <v>107</v>
      </c>
      <c r="F4068" t="s">
        <v>7399</v>
      </c>
      <c r="G4068" t="str">
        <f>"00317127"</f>
        <v>00317127</v>
      </c>
      <c r="H4068" t="s">
        <v>1294</v>
      </c>
      <c r="I4068">
        <v>0</v>
      </c>
      <c r="J4068">
        <v>0</v>
      </c>
      <c r="K4068">
        <v>0</v>
      </c>
      <c r="L4068">
        <v>0</v>
      </c>
      <c r="M4068">
        <v>0</v>
      </c>
      <c r="N4068">
        <v>0</v>
      </c>
      <c r="O4068">
        <v>0</v>
      </c>
      <c r="P4068">
        <v>0</v>
      </c>
      <c r="Q4068">
        <v>0</v>
      </c>
      <c r="R4068">
        <v>0</v>
      </c>
      <c r="S4068">
        <v>0</v>
      </c>
      <c r="T4068">
        <v>0</v>
      </c>
      <c r="U4068">
        <v>0</v>
      </c>
      <c r="V4068">
        <v>13</v>
      </c>
      <c r="W4068">
        <v>91</v>
      </c>
      <c r="X4068">
        <v>0</v>
      </c>
      <c r="Z4068">
        <v>0</v>
      </c>
      <c r="AA4068">
        <v>0</v>
      </c>
      <c r="AB4068">
        <v>0</v>
      </c>
      <c r="AC4068">
        <v>0</v>
      </c>
      <c r="AD4068" t="s">
        <v>7400</v>
      </c>
    </row>
    <row r="4069" spans="1:30" x14ac:dyDescent="0.25">
      <c r="H4069" t="s">
        <v>7401</v>
      </c>
    </row>
    <row r="4070" spans="1:30" x14ac:dyDescent="0.25">
      <c r="A4070">
        <v>2032</v>
      </c>
      <c r="B4070">
        <v>3156</v>
      </c>
      <c r="C4070" t="s">
        <v>7402</v>
      </c>
      <c r="D4070" t="s">
        <v>7403</v>
      </c>
      <c r="E4070" t="s">
        <v>1660</v>
      </c>
      <c r="F4070" t="s">
        <v>7404</v>
      </c>
      <c r="G4070" t="str">
        <f>"00189736"</f>
        <v>00189736</v>
      </c>
      <c r="H4070" t="s">
        <v>1091</v>
      </c>
      <c r="I4070">
        <v>0</v>
      </c>
      <c r="J4070">
        <v>0</v>
      </c>
      <c r="K4070">
        <v>0</v>
      </c>
      <c r="L4070">
        <v>0</v>
      </c>
      <c r="M4070">
        <v>0</v>
      </c>
      <c r="N4070">
        <v>30</v>
      </c>
      <c r="O4070">
        <v>0</v>
      </c>
      <c r="P4070">
        <v>0</v>
      </c>
      <c r="Q4070">
        <v>0</v>
      </c>
      <c r="R4070">
        <v>0</v>
      </c>
      <c r="S4070">
        <v>0</v>
      </c>
      <c r="T4070">
        <v>0</v>
      </c>
      <c r="U4070">
        <v>0</v>
      </c>
      <c r="V4070">
        <v>6</v>
      </c>
      <c r="W4070">
        <v>42</v>
      </c>
      <c r="X4070">
        <v>0</v>
      </c>
      <c r="Z4070">
        <v>0</v>
      </c>
      <c r="AA4070">
        <v>0</v>
      </c>
      <c r="AB4070">
        <v>0</v>
      </c>
      <c r="AC4070">
        <v>0</v>
      </c>
      <c r="AD4070" t="s">
        <v>7405</v>
      </c>
    </row>
    <row r="4071" spans="1:30" x14ac:dyDescent="0.25">
      <c r="H4071" t="s">
        <v>7406</v>
      </c>
    </row>
    <row r="4072" spans="1:30" x14ac:dyDescent="0.25">
      <c r="A4072">
        <v>2033</v>
      </c>
      <c r="B4072">
        <v>5970</v>
      </c>
      <c r="C4072" t="s">
        <v>7407</v>
      </c>
      <c r="D4072" t="s">
        <v>335</v>
      </c>
      <c r="E4072" t="s">
        <v>2584</v>
      </c>
      <c r="F4072" t="s">
        <v>7408</v>
      </c>
      <c r="G4072" t="str">
        <f>"00365171"</f>
        <v>00365171</v>
      </c>
      <c r="H4072" t="s">
        <v>94</v>
      </c>
      <c r="I4072">
        <v>0</v>
      </c>
      <c r="J4072">
        <v>0</v>
      </c>
      <c r="K4072">
        <v>0</v>
      </c>
      <c r="L4072">
        <v>0</v>
      </c>
      <c r="M4072">
        <v>0</v>
      </c>
      <c r="N4072">
        <v>30</v>
      </c>
      <c r="O4072">
        <v>0</v>
      </c>
      <c r="P4072">
        <v>0</v>
      </c>
      <c r="Q4072">
        <v>0</v>
      </c>
      <c r="R4072">
        <v>0</v>
      </c>
      <c r="S4072">
        <v>0</v>
      </c>
      <c r="T4072">
        <v>0</v>
      </c>
      <c r="U4072">
        <v>0</v>
      </c>
      <c r="V4072">
        <v>0</v>
      </c>
      <c r="W4072">
        <v>0</v>
      </c>
      <c r="X4072">
        <v>0</v>
      </c>
      <c r="Z4072">
        <v>0</v>
      </c>
      <c r="AA4072">
        <v>0</v>
      </c>
      <c r="AB4072">
        <v>0</v>
      </c>
      <c r="AC4072">
        <v>0</v>
      </c>
      <c r="AD4072" t="s">
        <v>7409</v>
      </c>
    </row>
    <row r="4073" spans="1:30" x14ac:dyDescent="0.25">
      <c r="H4073" t="s">
        <v>7410</v>
      </c>
    </row>
    <row r="4074" spans="1:30" x14ac:dyDescent="0.25">
      <c r="A4074">
        <v>2034</v>
      </c>
      <c r="B4074">
        <v>797</v>
      </c>
      <c r="C4074" t="s">
        <v>7411</v>
      </c>
      <c r="D4074" t="s">
        <v>75</v>
      </c>
      <c r="E4074" t="s">
        <v>151</v>
      </c>
      <c r="F4074" t="s">
        <v>7412</v>
      </c>
      <c r="G4074" t="str">
        <f>"00292681"</f>
        <v>00292681</v>
      </c>
      <c r="H4074" t="s">
        <v>94</v>
      </c>
      <c r="I4074">
        <v>0</v>
      </c>
      <c r="J4074">
        <v>0</v>
      </c>
      <c r="K4074">
        <v>0</v>
      </c>
      <c r="L4074">
        <v>0</v>
      </c>
      <c r="M4074">
        <v>0</v>
      </c>
      <c r="N4074">
        <v>30</v>
      </c>
      <c r="O4074">
        <v>0</v>
      </c>
      <c r="P4074">
        <v>0</v>
      </c>
      <c r="Q4074">
        <v>0</v>
      </c>
      <c r="R4074">
        <v>0</v>
      </c>
      <c r="S4074">
        <v>0</v>
      </c>
      <c r="T4074">
        <v>0</v>
      </c>
      <c r="U4074">
        <v>0</v>
      </c>
      <c r="V4074">
        <v>0</v>
      </c>
      <c r="W4074">
        <v>0</v>
      </c>
      <c r="X4074">
        <v>0</v>
      </c>
      <c r="Z4074">
        <v>0</v>
      </c>
      <c r="AA4074">
        <v>0</v>
      </c>
      <c r="AB4074">
        <v>0</v>
      </c>
      <c r="AC4074">
        <v>0</v>
      </c>
      <c r="AD4074" t="s">
        <v>7409</v>
      </c>
    </row>
    <row r="4075" spans="1:30" x14ac:dyDescent="0.25">
      <c r="H4075" t="s">
        <v>7413</v>
      </c>
    </row>
    <row r="4076" spans="1:30" x14ac:dyDescent="0.25">
      <c r="A4076">
        <v>2035</v>
      </c>
      <c r="B4076">
        <v>3613</v>
      </c>
      <c r="C4076" t="s">
        <v>7414</v>
      </c>
      <c r="D4076" t="s">
        <v>7415</v>
      </c>
      <c r="E4076" t="s">
        <v>47</v>
      </c>
      <c r="F4076" t="s">
        <v>7416</v>
      </c>
      <c r="G4076" t="str">
        <f>"201512002543"</f>
        <v>201512002543</v>
      </c>
      <c r="H4076" t="s">
        <v>94</v>
      </c>
      <c r="I4076">
        <v>0</v>
      </c>
      <c r="J4076">
        <v>0</v>
      </c>
      <c r="K4076">
        <v>0</v>
      </c>
      <c r="L4076">
        <v>0</v>
      </c>
      <c r="M4076">
        <v>0</v>
      </c>
      <c r="N4076">
        <v>30</v>
      </c>
      <c r="O4076">
        <v>0</v>
      </c>
      <c r="P4076">
        <v>0</v>
      </c>
      <c r="Q4076">
        <v>0</v>
      </c>
      <c r="R4076">
        <v>0</v>
      </c>
      <c r="S4076">
        <v>0</v>
      </c>
      <c r="T4076">
        <v>0</v>
      </c>
      <c r="U4076">
        <v>0</v>
      </c>
      <c r="V4076">
        <v>0</v>
      </c>
      <c r="W4076">
        <v>0</v>
      </c>
      <c r="X4076">
        <v>0</v>
      </c>
      <c r="Z4076">
        <v>0</v>
      </c>
      <c r="AA4076">
        <v>0</v>
      </c>
      <c r="AB4076">
        <v>0</v>
      </c>
      <c r="AC4076">
        <v>0</v>
      </c>
      <c r="AD4076" t="s">
        <v>7409</v>
      </c>
    </row>
    <row r="4077" spans="1:30" x14ac:dyDescent="0.25">
      <c r="H4077" t="s">
        <v>7417</v>
      </c>
    </row>
    <row r="4078" spans="1:30" x14ac:dyDescent="0.25">
      <c r="A4078">
        <v>2036</v>
      </c>
      <c r="B4078">
        <v>5523</v>
      </c>
      <c r="C4078" t="s">
        <v>7418</v>
      </c>
      <c r="D4078" t="s">
        <v>39</v>
      </c>
      <c r="E4078" t="s">
        <v>40</v>
      </c>
      <c r="F4078" t="s">
        <v>7419</v>
      </c>
      <c r="G4078" t="str">
        <f>"00214916"</f>
        <v>00214916</v>
      </c>
      <c r="H4078">
        <v>638</v>
      </c>
      <c r="I4078">
        <v>0</v>
      </c>
      <c r="J4078">
        <v>0</v>
      </c>
      <c r="K4078">
        <v>0</v>
      </c>
      <c r="L4078">
        <v>0</v>
      </c>
      <c r="M4078">
        <v>0</v>
      </c>
      <c r="N4078">
        <v>30</v>
      </c>
      <c r="O4078">
        <v>0</v>
      </c>
      <c r="P4078">
        <v>0</v>
      </c>
      <c r="Q4078">
        <v>0</v>
      </c>
      <c r="R4078">
        <v>0</v>
      </c>
      <c r="S4078">
        <v>0</v>
      </c>
      <c r="T4078">
        <v>0</v>
      </c>
      <c r="U4078">
        <v>0</v>
      </c>
      <c r="V4078">
        <v>16</v>
      </c>
      <c r="W4078">
        <v>112</v>
      </c>
      <c r="X4078">
        <v>0</v>
      </c>
      <c r="Z4078">
        <v>0</v>
      </c>
      <c r="AA4078">
        <v>0</v>
      </c>
      <c r="AB4078">
        <v>0</v>
      </c>
      <c r="AC4078">
        <v>0</v>
      </c>
      <c r="AD4078">
        <v>780</v>
      </c>
    </row>
    <row r="4079" spans="1:30" x14ac:dyDescent="0.25">
      <c r="H4079" t="s">
        <v>7420</v>
      </c>
    </row>
    <row r="4080" spans="1:30" x14ac:dyDescent="0.25">
      <c r="A4080">
        <v>2037</v>
      </c>
      <c r="B4080">
        <v>3709</v>
      </c>
      <c r="C4080" t="s">
        <v>7421</v>
      </c>
      <c r="D4080" t="s">
        <v>107</v>
      </c>
      <c r="E4080" t="s">
        <v>47</v>
      </c>
      <c r="F4080" t="s">
        <v>7422</v>
      </c>
      <c r="G4080" t="str">
        <f>"201409006218"</f>
        <v>201409006218</v>
      </c>
      <c r="H4080" t="s">
        <v>4168</v>
      </c>
      <c r="I4080">
        <v>0</v>
      </c>
      <c r="J4080">
        <v>0</v>
      </c>
      <c r="K4080">
        <v>0</v>
      </c>
      <c r="L4080">
        <v>0</v>
      </c>
      <c r="M4080">
        <v>0</v>
      </c>
      <c r="N4080">
        <v>30</v>
      </c>
      <c r="O4080">
        <v>0</v>
      </c>
      <c r="P4080">
        <v>0</v>
      </c>
      <c r="Q4080">
        <v>0</v>
      </c>
      <c r="R4080">
        <v>0</v>
      </c>
      <c r="S4080">
        <v>0</v>
      </c>
      <c r="T4080">
        <v>0</v>
      </c>
      <c r="U4080">
        <v>0</v>
      </c>
      <c r="V4080">
        <v>0</v>
      </c>
      <c r="W4080">
        <v>0</v>
      </c>
      <c r="X4080">
        <v>0</v>
      </c>
      <c r="Z4080">
        <v>0</v>
      </c>
      <c r="AA4080">
        <v>0</v>
      </c>
      <c r="AB4080">
        <v>0</v>
      </c>
      <c r="AC4080">
        <v>0</v>
      </c>
      <c r="AD4080" t="s">
        <v>7423</v>
      </c>
    </row>
    <row r="4081" spans="1:30" x14ac:dyDescent="0.25">
      <c r="H4081" t="s">
        <v>7424</v>
      </c>
    </row>
    <row r="4082" spans="1:30" x14ac:dyDescent="0.25">
      <c r="A4082">
        <v>2038</v>
      </c>
      <c r="B4082">
        <v>734</v>
      </c>
      <c r="C4082" t="s">
        <v>7425</v>
      </c>
      <c r="D4082" t="s">
        <v>4866</v>
      </c>
      <c r="E4082" t="s">
        <v>151</v>
      </c>
      <c r="F4082" t="s">
        <v>7426</v>
      </c>
      <c r="G4082" t="str">
        <f>"00088854"</f>
        <v>00088854</v>
      </c>
      <c r="H4082">
        <v>693</v>
      </c>
      <c r="I4082">
        <v>0</v>
      </c>
      <c r="J4082">
        <v>0</v>
      </c>
      <c r="K4082">
        <v>0</v>
      </c>
      <c r="L4082">
        <v>0</v>
      </c>
      <c r="M4082">
        <v>0</v>
      </c>
      <c r="N4082">
        <v>30</v>
      </c>
      <c r="O4082">
        <v>0</v>
      </c>
      <c r="P4082">
        <v>0</v>
      </c>
      <c r="Q4082">
        <v>0</v>
      </c>
      <c r="R4082">
        <v>0</v>
      </c>
      <c r="S4082">
        <v>0</v>
      </c>
      <c r="T4082">
        <v>0</v>
      </c>
      <c r="U4082">
        <v>0</v>
      </c>
      <c r="V4082">
        <v>8</v>
      </c>
      <c r="W4082">
        <v>56</v>
      </c>
      <c r="X4082">
        <v>0</v>
      </c>
      <c r="Z4082">
        <v>0</v>
      </c>
      <c r="AA4082">
        <v>0</v>
      </c>
      <c r="AB4082">
        <v>0</v>
      </c>
      <c r="AC4082">
        <v>0</v>
      </c>
      <c r="AD4082">
        <v>779</v>
      </c>
    </row>
    <row r="4083" spans="1:30" x14ac:dyDescent="0.25">
      <c r="H4083" t="s">
        <v>7427</v>
      </c>
    </row>
    <row r="4084" spans="1:30" x14ac:dyDescent="0.25">
      <c r="A4084">
        <v>2039</v>
      </c>
      <c r="B4084">
        <v>2474</v>
      </c>
      <c r="C4084" t="s">
        <v>7428</v>
      </c>
      <c r="D4084" t="s">
        <v>140</v>
      </c>
      <c r="E4084" t="s">
        <v>1292</v>
      </c>
      <c r="F4084" t="s">
        <v>7429</v>
      </c>
      <c r="G4084" t="str">
        <f>"00245261"</f>
        <v>00245261</v>
      </c>
      <c r="H4084">
        <v>649</v>
      </c>
      <c r="I4084">
        <v>0</v>
      </c>
      <c r="J4084">
        <v>0</v>
      </c>
      <c r="K4084">
        <v>0</v>
      </c>
      <c r="L4084">
        <v>0</v>
      </c>
      <c r="M4084">
        <v>0</v>
      </c>
      <c r="N4084">
        <v>70</v>
      </c>
      <c r="O4084">
        <v>0</v>
      </c>
      <c r="P4084">
        <v>0</v>
      </c>
      <c r="Q4084">
        <v>0</v>
      </c>
      <c r="R4084">
        <v>0</v>
      </c>
      <c r="S4084">
        <v>0</v>
      </c>
      <c r="T4084">
        <v>0</v>
      </c>
      <c r="U4084">
        <v>0</v>
      </c>
      <c r="V4084">
        <v>-6</v>
      </c>
      <c r="W4084">
        <v>-42</v>
      </c>
      <c r="X4084">
        <v>0</v>
      </c>
      <c r="Z4084">
        <v>2</v>
      </c>
      <c r="AA4084">
        <v>0</v>
      </c>
      <c r="AB4084">
        <v>6</v>
      </c>
      <c r="AC4084">
        <v>102</v>
      </c>
      <c r="AD4084">
        <v>779</v>
      </c>
    </row>
    <row r="4085" spans="1:30" x14ac:dyDescent="0.25">
      <c r="H4085" t="s">
        <v>7430</v>
      </c>
    </row>
    <row r="4086" spans="1:30" x14ac:dyDescent="0.25">
      <c r="A4086">
        <v>2040</v>
      </c>
      <c r="B4086">
        <v>3019</v>
      </c>
      <c r="C4086" t="s">
        <v>7431</v>
      </c>
      <c r="D4086" t="s">
        <v>526</v>
      </c>
      <c r="E4086" t="s">
        <v>162</v>
      </c>
      <c r="F4086" t="s">
        <v>7432</v>
      </c>
      <c r="G4086" t="str">
        <f>"201406011089"</f>
        <v>201406011089</v>
      </c>
      <c r="H4086" t="s">
        <v>1091</v>
      </c>
      <c r="I4086">
        <v>0</v>
      </c>
      <c r="J4086">
        <v>0</v>
      </c>
      <c r="K4086">
        <v>0</v>
      </c>
      <c r="L4086">
        <v>0</v>
      </c>
      <c r="M4086">
        <v>0</v>
      </c>
      <c r="N4086">
        <v>70</v>
      </c>
      <c r="O4086">
        <v>0</v>
      </c>
      <c r="P4086">
        <v>0</v>
      </c>
      <c r="Q4086">
        <v>0</v>
      </c>
      <c r="R4086">
        <v>0</v>
      </c>
      <c r="S4086">
        <v>0</v>
      </c>
      <c r="T4086">
        <v>0</v>
      </c>
      <c r="U4086">
        <v>0</v>
      </c>
      <c r="V4086">
        <v>0</v>
      </c>
      <c r="W4086">
        <v>0</v>
      </c>
      <c r="X4086">
        <v>0</v>
      </c>
      <c r="Z4086">
        <v>0</v>
      </c>
      <c r="AA4086">
        <v>0</v>
      </c>
      <c r="AB4086">
        <v>0</v>
      </c>
      <c r="AC4086">
        <v>0</v>
      </c>
      <c r="AD4086" t="s">
        <v>7433</v>
      </c>
    </row>
    <row r="4087" spans="1:30" x14ac:dyDescent="0.25">
      <c r="H4087" t="s">
        <v>7434</v>
      </c>
    </row>
    <row r="4088" spans="1:30" x14ac:dyDescent="0.25">
      <c r="A4088">
        <v>2041</v>
      </c>
      <c r="B4088">
        <v>1273</v>
      </c>
      <c r="C4088" t="s">
        <v>7435</v>
      </c>
      <c r="D4088" t="s">
        <v>566</v>
      </c>
      <c r="E4088" t="s">
        <v>39</v>
      </c>
      <c r="F4088" t="s">
        <v>7436</v>
      </c>
      <c r="G4088" t="str">
        <f>"200802007992"</f>
        <v>200802007992</v>
      </c>
      <c r="H4088">
        <v>748</v>
      </c>
      <c r="I4088">
        <v>0</v>
      </c>
      <c r="J4088">
        <v>0</v>
      </c>
      <c r="K4088">
        <v>0</v>
      </c>
      <c r="L4088">
        <v>0</v>
      </c>
      <c r="M4088">
        <v>0</v>
      </c>
      <c r="N4088">
        <v>30</v>
      </c>
      <c r="O4088">
        <v>0</v>
      </c>
      <c r="P4088">
        <v>0</v>
      </c>
      <c r="Q4088">
        <v>0</v>
      </c>
      <c r="R4088">
        <v>0</v>
      </c>
      <c r="S4088">
        <v>0</v>
      </c>
      <c r="T4088">
        <v>0</v>
      </c>
      <c r="U4088">
        <v>0</v>
      </c>
      <c r="V4088">
        <v>0</v>
      </c>
      <c r="W4088">
        <v>0</v>
      </c>
      <c r="X4088">
        <v>0</v>
      </c>
      <c r="Z4088">
        <v>0</v>
      </c>
      <c r="AA4088">
        <v>0</v>
      </c>
      <c r="AB4088">
        <v>0</v>
      </c>
      <c r="AC4088">
        <v>0</v>
      </c>
      <c r="AD4088">
        <v>778</v>
      </c>
    </row>
    <row r="4089" spans="1:30" x14ac:dyDescent="0.25">
      <c r="H4089" t="s">
        <v>7437</v>
      </c>
    </row>
    <row r="4090" spans="1:30" x14ac:dyDescent="0.25">
      <c r="A4090">
        <v>2042</v>
      </c>
      <c r="B4090">
        <v>2225</v>
      </c>
      <c r="C4090" t="s">
        <v>7438</v>
      </c>
      <c r="D4090" t="s">
        <v>595</v>
      </c>
      <c r="E4090" t="s">
        <v>547</v>
      </c>
      <c r="F4090" t="s">
        <v>7439</v>
      </c>
      <c r="G4090" t="str">
        <f>"200803000738"</f>
        <v>200803000738</v>
      </c>
      <c r="H4090">
        <v>748</v>
      </c>
      <c r="I4090">
        <v>0</v>
      </c>
      <c r="J4090">
        <v>0</v>
      </c>
      <c r="K4090">
        <v>0</v>
      </c>
      <c r="L4090">
        <v>0</v>
      </c>
      <c r="M4090">
        <v>0</v>
      </c>
      <c r="N4090">
        <v>30</v>
      </c>
      <c r="O4090">
        <v>0</v>
      </c>
      <c r="P4090">
        <v>0</v>
      </c>
      <c r="Q4090">
        <v>0</v>
      </c>
      <c r="R4090">
        <v>0</v>
      </c>
      <c r="S4090">
        <v>0</v>
      </c>
      <c r="T4090">
        <v>0</v>
      </c>
      <c r="U4090">
        <v>0</v>
      </c>
      <c r="V4090">
        <v>0</v>
      </c>
      <c r="W4090">
        <v>0</v>
      </c>
      <c r="X4090">
        <v>0</v>
      </c>
      <c r="Z4090">
        <v>0</v>
      </c>
      <c r="AA4090">
        <v>0</v>
      </c>
      <c r="AB4090">
        <v>0</v>
      </c>
      <c r="AC4090">
        <v>0</v>
      </c>
      <c r="AD4090">
        <v>778</v>
      </c>
    </row>
    <row r="4091" spans="1:30" x14ac:dyDescent="0.25">
      <c r="H4091" t="s">
        <v>451</v>
      </c>
    </row>
    <row r="4092" spans="1:30" x14ac:dyDescent="0.25">
      <c r="A4092">
        <v>2043</v>
      </c>
      <c r="B4092">
        <v>2551</v>
      </c>
      <c r="C4092" t="s">
        <v>7440</v>
      </c>
      <c r="D4092" t="s">
        <v>151</v>
      </c>
      <c r="E4092" t="s">
        <v>468</v>
      </c>
      <c r="F4092" t="s">
        <v>7441</v>
      </c>
      <c r="G4092" t="str">
        <f>"201402001328"</f>
        <v>201402001328</v>
      </c>
      <c r="H4092">
        <v>748</v>
      </c>
      <c r="I4092">
        <v>0</v>
      </c>
      <c r="J4092">
        <v>0</v>
      </c>
      <c r="K4092">
        <v>0</v>
      </c>
      <c r="L4092">
        <v>0</v>
      </c>
      <c r="M4092">
        <v>0</v>
      </c>
      <c r="N4092">
        <v>30</v>
      </c>
      <c r="O4092">
        <v>0</v>
      </c>
      <c r="P4092">
        <v>0</v>
      </c>
      <c r="Q4092">
        <v>0</v>
      </c>
      <c r="R4092">
        <v>0</v>
      </c>
      <c r="S4092">
        <v>0</v>
      </c>
      <c r="T4092">
        <v>0</v>
      </c>
      <c r="U4092">
        <v>0</v>
      </c>
      <c r="V4092">
        <v>0</v>
      </c>
      <c r="W4092">
        <v>0</v>
      </c>
      <c r="X4092">
        <v>0</v>
      </c>
      <c r="Z4092">
        <v>0</v>
      </c>
      <c r="AA4092">
        <v>0</v>
      </c>
      <c r="AB4092">
        <v>0</v>
      </c>
      <c r="AC4092">
        <v>0</v>
      </c>
      <c r="AD4092">
        <v>778</v>
      </c>
    </row>
    <row r="4093" spans="1:30" x14ac:dyDescent="0.25">
      <c r="H4093" t="s">
        <v>6993</v>
      </c>
    </row>
    <row r="4094" spans="1:30" x14ac:dyDescent="0.25">
      <c r="A4094">
        <v>2044</v>
      </c>
      <c r="B4094">
        <v>5287</v>
      </c>
      <c r="C4094" t="s">
        <v>1960</v>
      </c>
      <c r="D4094" t="s">
        <v>694</v>
      </c>
      <c r="E4094" t="s">
        <v>151</v>
      </c>
      <c r="F4094" t="s">
        <v>7442</v>
      </c>
      <c r="G4094" t="str">
        <f>"00166094"</f>
        <v>00166094</v>
      </c>
      <c r="H4094">
        <v>671</v>
      </c>
      <c r="I4094">
        <v>0</v>
      </c>
      <c r="J4094">
        <v>0</v>
      </c>
      <c r="K4094">
        <v>0</v>
      </c>
      <c r="L4094">
        <v>0</v>
      </c>
      <c r="M4094">
        <v>0</v>
      </c>
      <c r="N4094">
        <v>30</v>
      </c>
      <c r="O4094">
        <v>0</v>
      </c>
      <c r="P4094">
        <v>0</v>
      </c>
      <c r="Q4094">
        <v>0</v>
      </c>
      <c r="R4094">
        <v>0</v>
      </c>
      <c r="S4094">
        <v>0</v>
      </c>
      <c r="T4094">
        <v>0</v>
      </c>
      <c r="U4094">
        <v>0</v>
      </c>
      <c r="V4094">
        <v>11</v>
      </c>
      <c r="W4094">
        <v>77</v>
      </c>
      <c r="X4094">
        <v>0</v>
      </c>
      <c r="Z4094">
        <v>2</v>
      </c>
      <c r="AA4094">
        <v>0</v>
      </c>
      <c r="AB4094">
        <v>0</v>
      </c>
      <c r="AC4094">
        <v>0</v>
      </c>
      <c r="AD4094">
        <v>778</v>
      </c>
    </row>
    <row r="4095" spans="1:30" x14ac:dyDescent="0.25">
      <c r="H4095" t="s">
        <v>7443</v>
      </c>
    </row>
    <row r="4096" spans="1:30" x14ac:dyDescent="0.25">
      <c r="A4096">
        <v>2045</v>
      </c>
      <c r="B4096">
        <v>5768</v>
      </c>
      <c r="C4096" t="s">
        <v>7444</v>
      </c>
      <c r="D4096" t="s">
        <v>7445</v>
      </c>
      <c r="E4096" t="s">
        <v>183</v>
      </c>
      <c r="F4096" t="s">
        <v>7446</v>
      </c>
      <c r="G4096" t="str">
        <f>"201511021671"</f>
        <v>201511021671</v>
      </c>
      <c r="H4096" t="s">
        <v>1540</v>
      </c>
      <c r="I4096">
        <v>0</v>
      </c>
      <c r="J4096">
        <v>0</v>
      </c>
      <c r="K4096">
        <v>0</v>
      </c>
      <c r="L4096">
        <v>0</v>
      </c>
      <c r="M4096">
        <v>100</v>
      </c>
      <c r="N4096">
        <v>0</v>
      </c>
      <c r="O4096">
        <v>0</v>
      </c>
      <c r="P4096">
        <v>0</v>
      </c>
      <c r="Q4096">
        <v>0</v>
      </c>
      <c r="R4096">
        <v>0</v>
      </c>
      <c r="S4096">
        <v>0</v>
      </c>
      <c r="T4096">
        <v>0</v>
      </c>
      <c r="U4096">
        <v>0</v>
      </c>
      <c r="V4096">
        <v>0</v>
      </c>
      <c r="W4096">
        <v>0</v>
      </c>
      <c r="X4096">
        <v>0</v>
      </c>
      <c r="Z4096">
        <v>0</v>
      </c>
      <c r="AA4096">
        <v>0</v>
      </c>
      <c r="AB4096">
        <v>0</v>
      </c>
      <c r="AC4096">
        <v>0</v>
      </c>
      <c r="AD4096" t="s">
        <v>7447</v>
      </c>
    </row>
    <row r="4097" spans="1:30" x14ac:dyDescent="0.25">
      <c r="H4097" t="s">
        <v>7448</v>
      </c>
    </row>
    <row r="4098" spans="1:30" x14ac:dyDescent="0.25">
      <c r="A4098">
        <v>2046</v>
      </c>
      <c r="B4098">
        <v>977</v>
      </c>
      <c r="C4098" t="s">
        <v>7449</v>
      </c>
      <c r="D4098" t="s">
        <v>134</v>
      </c>
      <c r="E4098" t="s">
        <v>509</v>
      </c>
      <c r="F4098" t="s">
        <v>7450</v>
      </c>
      <c r="G4098" t="str">
        <f>"00006088"</f>
        <v>00006088</v>
      </c>
      <c r="H4098" t="s">
        <v>2321</v>
      </c>
      <c r="I4098">
        <v>0</v>
      </c>
      <c r="J4098">
        <v>0</v>
      </c>
      <c r="K4098">
        <v>0</v>
      </c>
      <c r="L4098">
        <v>0</v>
      </c>
      <c r="M4098">
        <v>0</v>
      </c>
      <c r="N4098">
        <v>30</v>
      </c>
      <c r="O4098">
        <v>0</v>
      </c>
      <c r="P4098">
        <v>0</v>
      </c>
      <c r="Q4098">
        <v>0</v>
      </c>
      <c r="R4098">
        <v>0</v>
      </c>
      <c r="S4098">
        <v>0</v>
      </c>
      <c r="T4098">
        <v>0</v>
      </c>
      <c r="U4098">
        <v>0</v>
      </c>
      <c r="V4098">
        <v>0</v>
      </c>
      <c r="W4098">
        <v>0</v>
      </c>
      <c r="X4098">
        <v>0</v>
      </c>
      <c r="Z4098">
        <v>3</v>
      </c>
      <c r="AA4098">
        <v>0</v>
      </c>
      <c r="AB4098">
        <v>0</v>
      </c>
      <c r="AC4098">
        <v>0</v>
      </c>
      <c r="AD4098" t="s">
        <v>7451</v>
      </c>
    </row>
    <row r="4099" spans="1:30" x14ac:dyDescent="0.25">
      <c r="H4099" t="s">
        <v>7452</v>
      </c>
    </row>
    <row r="4100" spans="1:30" x14ac:dyDescent="0.25">
      <c r="A4100">
        <v>2047</v>
      </c>
      <c r="B4100">
        <v>1527</v>
      </c>
      <c r="C4100" t="s">
        <v>7453</v>
      </c>
      <c r="D4100" t="s">
        <v>14</v>
      </c>
      <c r="E4100" t="s">
        <v>39</v>
      </c>
      <c r="F4100" t="s">
        <v>7454</v>
      </c>
      <c r="G4100" t="str">
        <f>"00219130"</f>
        <v>00219130</v>
      </c>
      <c r="H4100" t="s">
        <v>826</v>
      </c>
      <c r="I4100">
        <v>0</v>
      </c>
      <c r="J4100">
        <v>0</v>
      </c>
      <c r="K4100">
        <v>0</v>
      </c>
      <c r="L4100">
        <v>0</v>
      </c>
      <c r="M4100">
        <v>0</v>
      </c>
      <c r="N4100">
        <v>0</v>
      </c>
      <c r="O4100">
        <v>0</v>
      </c>
      <c r="P4100">
        <v>0</v>
      </c>
      <c r="Q4100">
        <v>0</v>
      </c>
      <c r="R4100">
        <v>0</v>
      </c>
      <c r="S4100">
        <v>0</v>
      </c>
      <c r="T4100">
        <v>0</v>
      </c>
      <c r="U4100">
        <v>0</v>
      </c>
      <c r="V4100">
        <v>0</v>
      </c>
      <c r="W4100">
        <v>0</v>
      </c>
      <c r="X4100">
        <v>0</v>
      </c>
      <c r="Z4100">
        <v>0</v>
      </c>
      <c r="AA4100">
        <v>0</v>
      </c>
      <c r="AB4100">
        <v>0</v>
      </c>
      <c r="AC4100">
        <v>0</v>
      </c>
      <c r="AD4100" t="s">
        <v>826</v>
      </c>
    </row>
    <row r="4101" spans="1:30" x14ac:dyDescent="0.25">
      <c r="H4101" t="s">
        <v>7455</v>
      </c>
    </row>
    <row r="4102" spans="1:30" x14ac:dyDescent="0.25">
      <c r="A4102">
        <v>2048</v>
      </c>
      <c r="B4102">
        <v>929</v>
      </c>
      <c r="C4102" t="s">
        <v>7456</v>
      </c>
      <c r="D4102" t="s">
        <v>40</v>
      </c>
      <c r="E4102" t="s">
        <v>151</v>
      </c>
      <c r="F4102" t="s">
        <v>7457</v>
      </c>
      <c r="G4102" t="str">
        <f>"00249036"</f>
        <v>00249036</v>
      </c>
      <c r="H4102" t="s">
        <v>388</v>
      </c>
      <c r="I4102">
        <v>0</v>
      </c>
      <c r="J4102">
        <v>0</v>
      </c>
      <c r="K4102">
        <v>0</v>
      </c>
      <c r="L4102">
        <v>0</v>
      </c>
      <c r="M4102">
        <v>0</v>
      </c>
      <c r="N4102">
        <v>70</v>
      </c>
      <c r="O4102">
        <v>0</v>
      </c>
      <c r="P4102">
        <v>0</v>
      </c>
      <c r="Q4102">
        <v>0</v>
      </c>
      <c r="R4102">
        <v>0</v>
      </c>
      <c r="S4102">
        <v>0</v>
      </c>
      <c r="T4102">
        <v>0</v>
      </c>
      <c r="U4102">
        <v>0</v>
      </c>
      <c r="V4102">
        <v>1</v>
      </c>
      <c r="W4102">
        <v>7</v>
      </c>
      <c r="X4102">
        <v>0</v>
      </c>
      <c r="Z4102">
        <v>0</v>
      </c>
      <c r="AA4102">
        <v>0</v>
      </c>
      <c r="AB4102">
        <v>0</v>
      </c>
      <c r="AC4102">
        <v>0</v>
      </c>
      <c r="AD4102" t="s">
        <v>826</v>
      </c>
    </row>
    <row r="4103" spans="1:30" x14ac:dyDescent="0.25">
      <c r="H4103" t="s">
        <v>7458</v>
      </c>
    </row>
    <row r="4104" spans="1:30" x14ac:dyDescent="0.25">
      <c r="A4104">
        <v>2049</v>
      </c>
      <c r="B4104">
        <v>929</v>
      </c>
      <c r="C4104" t="s">
        <v>7456</v>
      </c>
      <c r="D4104" t="s">
        <v>40</v>
      </c>
      <c r="E4104" t="s">
        <v>151</v>
      </c>
      <c r="F4104" t="s">
        <v>7457</v>
      </c>
      <c r="G4104" t="str">
        <f>"00249036"</f>
        <v>00249036</v>
      </c>
      <c r="H4104" t="s">
        <v>388</v>
      </c>
      <c r="I4104">
        <v>0</v>
      </c>
      <c r="J4104">
        <v>0</v>
      </c>
      <c r="K4104">
        <v>0</v>
      </c>
      <c r="L4104">
        <v>0</v>
      </c>
      <c r="M4104">
        <v>0</v>
      </c>
      <c r="N4104">
        <v>70</v>
      </c>
      <c r="O4104">
        <v>0</v>
      </c>
      <c r="P4104">
        <v>0</v>
      </c>
      <c r="Q4104">
        <v>0</v>
      </c>
      <c r="R4104">
        <v>0</v>
      </c>
      <c r="S4104">
        <v>0</v>
      </c>
      <c r="T4104">
        <v>0</v>
      </c>
      <c r="U4104">
        <v>0</v>
      </c>
      <c r="V4104">
        <v>1</v>
      </c>
      <c r="W4104">
        <v>7</v>
      </c>
      <c r="X4104">
        <v>6</v>
      </c>
      <c r="Y4104">
        <v>1251</v>
      </c>
      <c r="Z4104">
        <v>0</v>
      </c>
      <c r="AA4104">
        <v>0</v>
      </c>
      <c r="AB4104">
        <v>0</v>
      </c>
      <c r="AC4104">
        <v>0</v>
      </c>
      <c r="AD4104" t="s">
        <v>826</v>
      </c>
    </row>
    <row r="4105" spans="1:30" x14ac:dyDescent="0.25">
      <c r="H4105" t="s">
        <v>7458</v>
      </c>
    </row>
    <row r="4106" spans="1:30" x14ac:dyDescent="0.25">
      <c r="A4106">
        <v>2050</v>
      </c>
      <c r="B4106">
        <v>3296</v>
      </c>
      <c r="C4106" t="s">
        <v>7459</v>
      </c>
      <c r="D4106" t="s">
        <v>107</v>
      </c>
      <c r="E4106" t="s">
        <v>151</v>
      </c>
      <c r="F4106" t="s">
        <v>7460</v>
      </c>
      <c r="G4106" t="str">
        <f>"00218641"</f>
        <v>00218641</v>
      </c>
      <c r="H4106" t="s">
        <v>642</v>
      </c>
      <c r="I4106">
        <v>0</v>
      </c>
      <c r="J4106">
        <v>0</v>
      </c>
      <c r="K4106">
        <v>0</v>
      </c>
      <c r="L4106">
        <v>0</v>
      </c>
      <c r="M4106">
        <v>0</v>
      </c>
      <c r="N4106">
        <v>30</v>
      </c>
      <c r="O4106">
        <v>0</v>
      </c>
      <c r="P4106">
        <v>0</v>
      </c>
      <c r="Q4106">
        <v>0</v>
      </c>
      <c r="R4106">
        <v>0</v>
      </c>
      <c r="S4106">
        <v>0</v>
      </c>
      <c r="T4106">
        <v>0</v>
      </c>
      <c r="U4106">
        <v>0</v>
      </c>
      <c r="V4106">
        <v>12</v>
      </c>
      <c r="W4106">
        <v>84</v>
      </c>
      <c r="X4106">
        <v>0</v>
      </c>
      <c r="Z4106">
        <v>0</v>
      </c>
      <c r="AA4106">
        <v>0</v>
      </c>
      <c r="AB4106">
        <v>0</v>
      </c>
      <c r="AC4106">
        <v>0</v>
      </c>
      <c r="AD4106" t="s">
        <v>7461</v>
      </c>
    </row>
    <row r="4107" spans="1:30" x14ac:dyDescent="0.25">
      <c r="H4107" t="s">
        <v>7462</v>
      </c>
    </row>
    <row r="4108" spans="1:30" x14ac:dyDescent="0.25">
      <c r="A4108">
        <v>2051</v>
      </c>
      <c r="B4108">
        <v>2360</v>
      </c>
      <c r="C4108" t="s">
        <v>7039</v>
      </c>
      <c r="D4108" t="s">
        <v>1507</v>
      </c>
      <c r="E4108" t="s">
        <v>107</v>
      </c>
      <c r="F4108" t="s">
        <v>7463</v>
      </c>
      <c r="G4108" t="str">
        <f>"00206535"</f>
        <v>00206535</v>
      </c>
      <c r="H4108" t="s">
        <v>1063</v>
      </c>
      <c r="I4108">
        <v>0</v>
      </c>
      <c r="J4108">
        <v>0</v>
      </c>
      <c r="K4108">
        <v>0</v>
      </c>
      <c r="L4108">
        <v>0</v>
      </c>
      <c r="M4108">
        <v>0</v>
      </c>
      <c r="N4108">
        <v>30</v>
      </c>
      <c r="O4108">
        <v>0</v>
      </c>
      <c r="P4108">
        <v>0</v>
      </c>
      <c r="Q4108">
        <v>0</v>
      </c>
      <c r="R4108">
        <v>0</v>
      </c>
      <c r="S4108">
        <v>0</v>
      </c>
      <c r="T4108">
        <v>0</v>
      </c>
      <c r="U4108">
        <v>0</v>
      </c>
      <c r="V4108">
        <v>0</v>
      </c>
      <c r="W4108">
        <v>0</v>
      </c>
      <c r="X4108">
        <v>0</v>
      </c>
      <c r="Z4108">
        <v>0</v>
      </c>
      <c r="AA4108">
        <v>0</v>
      </c>
      <c r="AB4108">
        <v>0</v>
      </c>
      <c r="AC4108">
        <v>0</v>
      </c>
      <c r="AD4108" t="s">
        <v>7464</v>
      </c>
    </row>
    <row r="4109" spans="1:30" x14ac:dyDescent="0.25">
      <c r="H4109" t="s">
        <v>4606</v>
      </c>
    </row>
    <row r="4110" spans="1:30" x14ac:dyDescent="0.25">
      <c r="A4110">
        <v>2052</v>
      </c>
      <c r="B4110">
        <v>4294</v>
      </c>
      <c r="C4110" t="s">
        <v>7465</v>
      </c>
      <c r="D4110" t="s">
        <v>335</v>
      </c>
      <c r="E4110" t="s">
        <v>290</v>
      </c>
      <c r="F4110" t="s">
        <v>7466</v>
      </c>
      <c r="G4110" t="str">
        <f>"201511030715"</f>
        <v>201511030715</v>
      </c>
      <c r="H4110">
        <v>704</v>
      </c>
      <c r="I4110">
        <v>0</v>
      </c>
      <c r="J4110">
        <v>0</v>
      </c>
      <c r="K4110">
        <v>0</v>
      </c>
      <c r="L4110">
        <v>0</v>
      </c>
      <c r="M4110">
        <v>0</v>
      </c>
      <c r="N4110">
        <v>0</v>
      </c>
      <c r="O4110">
        <v>0</v>
      </c>
      <c r="P4110">
        <v>0</v>
      </c>
      <c r="Q4110">
        <v>0</v>
      </c>
      <c r="R4110">
        <v>0</v>
      </c>
      <c r="S4110">
        <v>0</v>
      </c>
      <c r="T4110">
        <v>0</v>
      </c>
      <c r="U4110">
        <v>0</v>
      </c>
      <c r="V4110">
        <v>10</v>
      </c>
      <c r="W4110">
        <v>70</v>
      </c>
      <c r="X4110">
        <v>0</v>
      </c>
      <c r="Z4110">
        <v>2</v>
      </c>
      <c r="AA4110">
        <v>0</v>
      </c>
      <c r="AB4110">
        <v>0</v>
      </c>
      <c r="AC4110">
        <v>0</v>
      </c>
      <c r="AD4110">
        <v>774</v>
      </c>
    </row>
    <row r="4111" spans="1:30" x14ac:dyDescent="0.25">
      <c r="H4111" t="s">
        <v>7467</v>
      </c>
    </row>
    <row r="4112" spans="1:30" x14ac:dyDescent="0.25">
      <c r="A4112">
        <v>2053</v>
      </c>
      <c r="B4112">
        <v>4178</v>
      </c>
      <c r="C4112" t="s">
        <v>7468</v>
      </c>
      <c r="D4112" t="s">
        <v>7469</v>
      </c>
      <c r="E4112" t="s">
        <v>51</v>
      </c>
      <c r="F4112" t="s">
        <v>7470</v>
      </c>
      <c r="G4112" t="str">
        <f>"201406003117"</f>
        <v>201406003117</v>
      </c>
      <c r="H4112">
        <v>704</v>
      </c>
      <c r="I4112">
        <v>0</v>
      </c>
      <c r="J4112">
        <v>0</v>
      </c>
      <c r="K4112">
        <v>0</v>
      </c>
      <c r="L4112">
        <v>0</v>
      </c>
      <c r="M4112">
        <v>0</v>
      </c>
      <c r="N4112">
        <v>70</v>
      </c>
      <c r="O4112">
        <v>0</v>
      </c>
      <c r="P4112">
        <v>0</v>
      </c>
      <c r="Q4112">
        <v>0</v>
      </c>
      <c r="R4112">
        <v>0</v>
      </c>
      <c r="S4112">
        <v>0</v>
      </c>
      <c r="T4112">
        <v>0</v>
      </c>
      <c r="U4112">
        <v>0</v>
      </c>
      <c r="V4112">
        <v>0</v>
      </c>
      <c r="W4112">
        <v>0</v>
      </c>
      <c r="X4112">
        <v>0</v>
      </c>
      <c r="Z4112">
        <v>0</v>
      </c>
      <c r="AA4112">
        <v>0</v>
      </c>
      <c r="AB4112">
        <v>0</v>
      </c>
      <c r="AC4112">
        <v>0</v>
      </c>
      <c r="AD4112">
        <v>774</v>
      </c>
    </row>
    <row r="4113" spans="1:30" x14ac:dyDescent="0.25">
      <c r="H4113" t="s">
        <v>7471</v>
      </c>
    </row>
    <row r="4114" spans="1:30" x14ac:dyDescent="0.25">
      <c r="A4114">
        <v>2054</v>
      </c>
      <c r="B4114">
        <v>2043</v>
      </c>
      <c r="C4114" t="s">
        <v>7472</v>
      </c>
      <c r="D4114" t="s">
        <v>335</v>
      </c>
      <c r="E4114" t="s">
        <v>144</v>
      </c>
      <c r="F4114" t="s">
        <v>7473</v>
      </c>
      <c r="G4114" t="str">
        <f>"201506001203"</f>
        <v>201506001203</v>
      </c>
      <c r="H4114" t="s">
        <v>2434</v>
      </c>
      <c r="I4114">
        <v>0</v>
      </c>
      <c r="J4114">
        <v>0</v>
      </c>
      <c r="K4114">
        <v>0</v>
      </c>
      <c r="L4114">
        <v>0</v>
      </c>
      <c r="M4114">
        <v>0</v>
      </c>
      <c r="N4114">
        <v>30</v>
      </c>
      <c r="O4114">
        <v>0</v>
      </c>
      <c r="P4114">
        <v>30</v>
      </c>
      <c r="Q4114">
        <v>0</v>
      </c>
      <c r="R4114">
        <v>0</v>
      </c>
      <c r="S4114">
        <v>0</v>
      </c>
      <c r="T4114">
        <v>0</v>
      </c>
      <c r="U4114">
        <v>0</v>
      </c>
      <c r="V4114">
        <v>0</v>
      </c>
      <c r="W4114">
        <v>0</v>
      </c>
      <c r="X4114">
        <v>0</v>
      </c>
      <c r="Z4114">
        <v>0</v>
      </c>
      <c r="AA4114">
        <v>0</v>
      </c>
      <c r="AB4114">
        <v>0</v>
      </c>
      <c r="AC4114">
        <v>0</v>
      </c>
      <c r="AD4114" t="s">
        <v>7474</v>
      </c>
    </row>
    <row r="4115" spans="1:30" x14ac:dyDescent="0.25">
      <c r="H4115" t="s">
        <v>5857</v>
      </c>
    </row>
    <row r="4116" spans="1:30" x14ac:dyDescent="0.25">
      <c r="A4116">
        <v>2055</v>
      </c>
      <c r="B4116">
        <v>1260</v>
      </c>
      <c r="C4116" t="s">
        <v>5543</v>
      </c>
      <c r="D4116" t="s">
        <v>335</v>
      </c>
      <c r="E4116" t="s">
        <v>107</v>
      </c>
      <c r="F4116" t="s">
        <v>7475</v>
      </c>
      <c r="G4116" t="str">
        <f>"00258719"</f>
        <v>00258719</v>
      </c>
      <c r="H4116" t="s">
        <v>2705</v>
      </c>
      <c r="I4116">
        <v>0</v>
      </c>
      <c r="J4116">
        <v>0</v>
      </c>
      <c r="K4116">
        <v>0</v>
      </c>
      <c r="L4116">
        <v>0</v>
      </c>
      <c r="M4116">
        <v>0</v>
      </c>
      <c r="N4116">
        <v>30</v>
      </c>
      <c r="O4116">
        <v>0</v>
      </c>
      <c r="P4116">
        <v>0</v>
      </c>
      <c r="Q4116">
        <v>0</v>
      </c>
      <c r="R4116">
        <v>0</v>
      </c>
      <c r="S4116">
        <v>0</v>
      </c>
      <c r="T4116">
        <v>0</v>
      </c>
      <c r="U4116">
        <v>0</v>
      </c>
      <c r="V4116">
        <v>9</v>
      </c>
      <c r="W4116">
        <v>63</v>
      </c>
      <c r="X4116">
        <v>0</v>
      </c>
      <c r="Z4116">
        <v>0</v>
      </c>
      <c r="AA4116">
        <v>0</v>
      </c>
      <c r="AB4116">
        <v>0</v>
      </c>
      <c r="AC4116">
        <v>0</v>
      </c>
      <c r="AD4116" t="s">
        <v>7474</v>
      </c>
    </row>
    <row r="4117" spans="1:30" x14ac:dyDescent="0.25">
      <c r="H4117" t="s">
        <v>451</v>
      </c>
    </row>
    <row r="4118" spans="1:30" x14ac:dyDescent="0.25">
      <c r="A4118">
        <v>2056</v>
      </c>
      <c r="B4118">
        <v>3119</v>
      </c>
      <c r="C4118" t="s">
        <v>4901</v>
      </c>
      <c r="D4118" t="s">
        <v>143</v>
      </c>
      <c r="E4118" t="s">
        <v>1039</v>
      </c>
      <c r="F4118" t="s">
        <v>7476</v>
      </c>
      <c r="G4118" t="str">
        <f>"200802001493"</f>
        <v>200802001493</v>
      </c>
      <c r="H4118" t="s">
        <v>754</v>
      </c>
      <c r="I4118">
        <v>0</v>
      </c>
      <c r="J4118">
        <v>0</v>
      </c>
      <c r="K4118">
        <v>0</v>
      </c>
      <c r="L4118">
        <v>0</v>
      </c>
      <c r="M4118">
        <v>0</v>
      </c>
      <c r="N4118">
        <v>50</v>
      </c>
      <c r="O4118">
        <v>0</v>
      </c>
      <c r="P4118">
        <v>0</v>
      </c>
      <c r="Q4118">
        <v>0</v>
      </c>
      <c r="R4118">
        <v>0</v>
      </c>
      <c r="S4118">
        <v>0</v>
      </c>
      <c r="T4118">
        <v>0</v>
      </c>
      <c r="U4118">
        <v>0</v>
      </c>
      <c r="V4118">
        <v>0</v>
      </c>
      <c r="W4118">
        <v>0</v>
      </c>
      <c r="X4118">
        <v>0</v>
      </c>
      <c r="Z4118">
        <v>0</v>
      </c>
      <c r="AA4118">
        <v>0</v>
      </c>
      <c r="AB4118">
        <v>0</v>
      </c>
      <c r="AC4118">
        <v>0</v>
      </c>
      <c r="AD4118" t="s">
        <v>7477</v>
      </c>
    </row>
    <row r="4119" spans="1:30" x14ac:dyDescent="0.25">
      <c r="H4119" t="s">
        <v>7478</v>
      </c>
    </row>
    <row r="4120" spans="1:30" x14ac:dyDescent="0.25">
      <c r="A4120">
        <v>2057</v>
      </c>
      <c r="B4120">
        <v>1094</v>
      </c>
      <c r="C4120" t="s">
        <v>7479</v>
      </c>
      <c r="D4120" t="s">
        <v>46</v>
      </c>
      <c r="E4120" t="s">
        <v>2482</v>
      </c>
      <c r="F4120" t="s">
        <v>7480</v>
      </c>
      <c r="G4120" t="str">
        <f>"200803000741"</f>
        <v>200803000741</v>
      </c>
      <c r="H4120" t="s">
        <v>352</v>
      </c>
      <c r="I4120">
        <v>0</v>
      </c>
      <c r="J4120">
        <v>0</v>
      </c>
      <c r="K4120">
        <v>0</v>
      </c>
      <c r="L4120">
        <v>0</v>
      </c>
      <c r="M4120">
        <v>0</v>
      </c>
      <c r="N4120">
        <v>0</v>
      </c>
      <c r="O4120">
        <v>0</v>
      </c>
      <c r="P4120">
        <v>0</v>
      </c>
      <c r="Q4120">
        <v>0</v>
      </c>
      <c r="R4120">
        <v>0</v>
      </c>
      <c r="S4120">
        <v>0</v>
      </c>
      <c r="T4120">
        <v>0</v>
      </c>
      <c r="U4120">
        <v>0</v>
      </c>
      <c r="V4120">
        <v>0</v>
      </c>
      <c r="W4120">
        <v>0</v>
      </c>
      <c r="X4120">
        <v>0</v>
      </c>
      <c r="Z4120">
        <v>0</v>
      </c>
      <c r="AA4120">
        <v>0</v>
      </c>
      <c r="AB4120">
        <v>0</v>
      </c>
      <c r="AC4120">
        <v>0</v>
      </c>
      <c r="AD4120" t="s">
        <v>352</v>
      </c>
    </row>
    <row r="4121" spans="1:30" x14ac:dyDescent="0.25">
      <c r="H4121" t="s">
        <v>7481</v>
      </c>
    </row>
    <row r="4122" spans="1:30" x14ac:dyDescent="0.25">
      <c r="A4122">
        <v>2058</v>
      </c>
      <c r="B4122">
        <v>4838</v>
      </c>
      <c r="C4122" t="s">
        <v>2279</v>
      </c>
      <c r="D4122" t="s">
        <v>229</v>
      </c>
      <c r="E4122" t="s">
        <v>107</v>
      </c>
      <c r="F4122" t="s">
        <v>7482</v>
      </c>
      <c r="G4122" t="str">
        <f>"00338940"</f>
        <v>00338940</v>
      </c>
      <c r="H4122" t="s">
        <v>1131</v>
      </c>
      <c r="I4122">
        <v>0</v>
      </c>
      <c r="J4122">
        <v>0</v>
      </c>
      <c r="K4122">
        <v>0</v>
      </c>
      <c r="L4122">
        <v>0</v>
      </c>
      <c r="M4122">
        <v>0</v>
      </c>
      <c r="N4122">
        <v>70</v>
      </c>
      <c r="O4122">
        <v>0</v>
      </c>
      <c r="P4122">
        <v>0</v>
      </c>
      <c r="Q4122">
        <v>0</v>
      </c>
      <c r="R4122">
        <v>0</v>
      </c>
      <c r="S4122">
        <v>0</v>
      </c>
      <c r="T4122">
        <v>0</v>
      </c>
      <c r="U4122">
        <v>0</v>
      </c>
      <c r="V4122">
        <v>0</v>
      </c>
      <c r="W4122">
        <v>0</v>
      </c>
      <c r="X4122">
        <v>0</v>
      </c>
      <c r="Z4122">
        <v>2</v>
      </c>
      <c r="AA4122">
        <v>0</v>
      </c>
      <c r="AB4122">
        <v>0</v>
      </c>
      <c r="AC4122">
        <v>0</v>
      </c>
      <c r="AD4122" t="s">
        <v>7483</v>
      </c>
    </row>
    <row r="4123" spans="1:30" x14ac:dyDescent="0.25">
      <c r="H4123" t="s">
        <v>7484</v>
      </c>
    </row>
    <row r="4124" spans="1:30" x14ac:dyDescent="0.25">
      <c r="A4124">
        <v>2059</v>
      </c>
      <c r="B4124">
        <v>3413</v>
      </c>
      <c r="C4124" t="s">
        <v>7485</v>
      </c>
      <c r="D4124" t="s">
        <v>182</v>
      </c>
      <c r="E4124" t="s">
        <v>40</v>
      </c>
      <c r="F4124" t="s">
        <v>7486</v>
      </c>
      <c r="G4124" t="str">
        <f>"00369800"</f>
        <v>00369800</v>
      </c>
      <c r="H4124" t="s">
        <v>1806</v>
      </c>
      <c r="I4124">
        <v>0</v>
      </c>
      <c r="J4124">
        <v>0</v>
      </c>
      <c r="K4124">
        <v>0</v>
      </c>
      <c r="L4124">
        <v>0</v>
      </c>
      <c r="M4124">
        <v>0</v>
      </c>
      <c r="N4124">
        <v>30</v>
      </c>
      <c r="O4124">
        <v>0</v>
      </c>
      <c r="P4124">
        <v>0</v>
      </c>
      <c r="Q4124">
        <v>0</v>
      </c>
      <c r="R4124">
        <v>0</v>
      </c>
      <c r="S4124">
        <v>0</v>
      </c>
      <c r="T4124">
        <v>0</v>
      </c>
      <c r="U4124">
        <v>0</v>
      </c>
      <c r="V4124">
        <v>0</v>
      </c>
      <c r="W4124">
        <v>0</v>
      </c>
      <c r="X4124">
        <v>0</v>
      </c>
      <c r="Z4124">
        <v>0</v>
      </c>
      <c r="AA4124">
        <v>0</v>
      </c>
      <c r="AB4124">
        <v>0</v>
      </c>
      <c r="AC4124">
        <v>0</v>
      </c>
      <c r="AD4124" t="s">
        <v>7487</v>
      </c>
    </row>
    <row r="4125" spans="1:30" x14ac:dyDescent="0.25">
      <c r="H4125" t="s">
        <v>7488</v>
      </c>
    </row>
    <row r="4126" spans="1:30" x14ac:dyDescent="0.25">
      <c r="A4126">
        <v>2060</v>
      </c>
      <c r="B4126">
        <v>5837</v>
      </c>
      <c r="C4126" t="s">
        <v>7489</v>
      </c>
      <c r="D4126" t="s">
        <v>1423</v>
      </c>
      <c r="E4126" t="s">
        <v>40</v>
      </c>
      <c r="F4126" t="s">
        <v>7490</v>
      </c>
      <c r="G4126" t="str">
        <f>"00161545"</f>
        <v>00161545</v>
      </c>
      <c r="H4126" t="s">
        <v>1806</v>
      </c>
      <c r="I4126">
        <v>0</v>
      </c>
      <c r="J4126">
        <v>0</v>
      </c>
      <c r="K4126">
        <v>0</v>
      </c>
      <c r="L4126">
        <v>0</v>
      </c>
      <c r="M4126">
        <v>0</v>
      </c>
      <c r="N4126">
        <v>30</v>
      </c>
      <c r="O4126">
        <v>0</v>
      </c>
      <c r="P4126">
        <v>0</v>
      </c>
      <c r="Q4126">
        <v>0</v>
      </c>
      <c r="R4126">
        <v>0</v>
      </c>
      <c r="S4126">
        <v>0</v>
      </c>
      <c r="T4126">
        <v>0</v>
      </c>
      <c r="U4126">
        <v>0</v>
      </c>
      <c r="V4126">
        <v>0</v>
      </c>
      <c r="W4126">
        <v>0</v>
      </c>
      <c r="X4126">
        <v>0</v>
      </c>
      <c r="Z4126">
        <v>0</v>
      </c>
      <c r="AA4126">
        <v>0</v>
      </c>
      <c r="AB4126">
        <v>0</v>
      </c>
      <c r="AC4126">
        <v>0</v>
      </c>
      <c r="AD4126" t="s">
        <v>7487</v>
      </c>
    </row>
    <row r="4127" spans="1:30" x14ac:dyDescent="0.25">
      <c r="H4127" t="s">
        <v>7491</v>
      </c>
    </row>
    <row r="4128" spans="1:30" x14ac:dyDescent="0.25">
      <c r="A4128">
        <v>2061</v>
      </c>
      <c r="B4128">
        <v>443</v>
      </c>
      <c r="C4128" t="s">
        <v>7492</v>
      </c>
      <c r="D4128" t="s">
        <v>47</v>
      </c>
      <c r="E4128" t="s">
        <v>92</v>
      </c>
      <c r="F4128" t="s">
        <v>7493</v>
      </c>
      <c r="G4128" t="str">
        <f>"201510004294"</f>
        <v>201510004294</v>
      </c>
      <c r="H4128" t="s">
        <v>1806</v>
      </c>
      <c r="I4128">
        <v>0</v>
      </c>
      <c r="J4128">
        <v>0</v>
      </c>
      <c r="K4128">
        <v>0</v>
      </c>
      <c r="L4128">
        <v>0</v>
      </c>
      <c r="M4128">
        <v>0</v>
      </c>
      <c r="N4128">
        <v>30</v>
      </c>
      <c r="O4128">
        <v>0</v>
      </c>
      <c r="P4128">
        <v>0</v>
      </c>
      <c r="Q4128">
        <v>0</v>
      </c>
      <c r="R4128">
        <v>0</v>
      </c>
      <c r="S4128">
        <v>0</v>
      </c>
      <c r="T4128">
        <v>0</v>
      </c>
      <c r="U4128">
        <v>0</v>
      </c>
      <c r="V4128">
        <v>0</v>
      </c>
      <c r="W4128">
        <v>0</v>
      </c>
      <c r="X4128">
        <v>0</v>
      </c>
      <c r="Z4128">
        <v>0</v>
      </c>
      <c r="AA4128">
        <v>0</v>
      </c>
      <c r="AB4128">
        <v>0</v>
      </c>
      <c r="AC4128">
        <v>0</v>
      </c>
      <c r="AD4128" t="s">
        <v>7487</v>
      </c>
    </row>
    <row r="4129" spans="1:30" x14ac:dyDescent="0.25">
      <c r="H4129" t="s">
        <v>7494</v>
      </c>
    </row>
    <row r="4130" spans="1:30" x14ac:dyDescent="0.25">
      <c r="A4130">
        <v>2062</v>
      </c>
      <c r="B4130">
        <v>2919</v>
      </c>
      <c r="C4130" t="s">
        <v>3394</v>
      </c>
      <c r="D4130" t="s">
        <v>115</v>
      </c>
      <c r="E4130" t="s">
        <v>1485</v>
      </c>
      <c r="F4130" t="s">
        <v>7495</v>
      </c>
      <c r="G4130" t="str">
        <f>"00246324"</f>
        <v>00246324</v>
      </c>
      <c r="H4130" t="s">
        <v>672</v>
      </c>
      <c r="I4130">
        <v>0</v>
      </c>
      <c r="J4130">
        <v>0</v>
      </c>
      <c r="K4130">
        <v>0</v>
      </c>
      <c r="L4130">
        <v>0</v>
      </c>
      <c r="M4130">
        <v>0</v>
      </c>
      <c r="N4130">
        <v>30</v>
      </c>
      <c r="O4130">
        <v>0</v>
      </c>
      <c r="P4130">
        <v>0</v>
      </c>
      <c r="Q4130">
        <v>0</v>
      </c>
      <c r="R4130">
        <v>0</v>
      </c>
      <c r="S4130">
        <v>0</v>
      </c>
      <c r="T4130">
        <v>0</v>
      </c>
      <c r="U4130">
        <v>0</v>
      </c>
      <c r="V4130">
        <v>1</v>
      </c>
      <c r="W4130">
        <v>7</v>
      </c>
      <c r="X4130">
        <v>0</v>
      </c>
      <c r="Z4130">
        <v>2</v>
      </c>
      <c r="AA4130">
        <v>0</v>
      </c>
      <c r="AB4130">
        <v>0</v>
      </c>
      <c r="AC4130">
        <v>0</v>
      </c>
      <c r="AD4130" t="s">
        <v>7496</v>
      </c>
    </row>
    <row r="4131" spans="1:30" x14ac:dyDescent="0.25">
      <c r="H4131" t="s">
        <v>7497</v>
      </c>
    </row>
    <row r="4132" spans="1:30" x14ac:dyDescent="0.25">
      <c r="A4132">
        <v>2063</v>
      </c>
      <c r="B4132">
        <v>3462</v>
      </c>
      <c r="C4132" t="s">
        <v>7498</v>
      </c>
      <c r="D4132" t="s">
        <v>7499</v>
      </c>
      <c r="E4132" t="s">
        <v>115</v>
      </c>
      <c r="F4132" t="s">
        <v>7500</v>
      </c>
      <c r="G4132" t="str">
        <f>"00364405"</f>
        <v>00364405</v>
      </c>
      <c r="H4132" t="s">
        <v>1150</v>
      </c>
      <c r="I4132">
        <v>0</v>
      </c>
      <c r="J4132">
        <v>0</v>
      </c>
      <c r="K4132">
        <v>0</v>
      </c>
      <c r="L4132">
        <v>0</v>
      </c>
      <c r="M4132">
        <v>0</v>
      </c>
      <c r="N4132">
        <v>70</v>
      </c>
      <c r="O4132">
        <v>0</v>
      </c>
      <c r="P4132">
        <v>0</v>
      </c>
      <c r="Q4132">
        <v>0</v>
      </c>
      <c r="R4132">
        <v>0</v>
      </c>
      <c r="S4132">
        <v>0</v>
      </c>
      <c r="T4132">
        <v>0</v>
      </c>
      <c r="U4132">
        <v>0</v>
      </c>
      <c r="V4132">
        <v>0</v>
      </c>
      <c r="W4132">
        <v>0</v>
      </c>
      <c r="X4132">
        <v>0</v>
      </c>
      <c r="Z4132">
        <v>2</v>
      </c>
      <c r="AA4132">
        <v>0</v>
      </c>
      <c r="AB4132">
        <v>0</v>
      </c>
      <c r="AC4132">
        <v>0</v>
      </c>
      <c r="AD4132" t="s">
        <v>7496</v>
      </c>
    </row>
    <row r="4133" spans="1:30" x14ac:dyDescent="0.25">
      <c r="H4133" t="s">
        <v>7501</v>
      </c>
    </row>
    <row r="4134" spans="1:30" x14ac:dyDescent="0.25">
      <c r="A4134">
        <v>2064</v>
      </c>
      <c r="B4134">
        <v>1865</v>
      </c>
      <c r="C4134" t="s">
        <v>7502</v>
      </c>
      <c r="D4134" t="s">
        <v>151</v>
      </c>
      <c r="E4134" t="s">
        <v>190</v>
      </c>
      <c r="F4134" t="s">
        <v>7503</v>
      </c>
      <c r="G4134" t="str">
        <f>"201403000024"</f>
        <v>201403000024</v>
      </c>
      <c r="H4134" t="s">
        <v>1150</v>
      </c>
      <c r="I4134">
        <v>0</v>
      </c>
      <c r="J4134">
        <v>0</v>
      </c>
      <c r="K4134">
        <v>0</v>
      </c>
      <c r="L4134">
        <v>0</v>
      </c>
      <c r="M4134">
        <v>0</v>
      </c>
      <c r="N4134">
        <v>70</v>
      </c>
      <c r="O4134">
        <v>0</v>
      </c>
      <c r="P4134">
        <v>0</v>
      </c>
      <c r="Q4134">
        <v>0</v>
      </c>
      <c r="R4134">
        <v>0</v>
      </c>
      <c r="S4134">
        <v>0</v>
      </c>
      <c r="T4134">
        <v>0</v>
      </c>
      <c r="U4134">
        <v>0</v>
      </c>
      <c r="V4134">
        <v>0</v>
      </c>
      <c r="W4134">
        <v>0</v>
      </c>
      <c r="X4134">
        <v>0</v>
      </c>
      <c r="Z4134">
        <v>0</v>
      </c>
      <c r="AA4134">
        <v>0</v>
      </c>
      <c r="AB4134">
        <v>0</v>
      </c>
      <c r="AC4134">
        <v>0</v>
      </c>
      <c r="AD4134" t="s">
        <v>7496</v>
      </c>
    </row>
    <row r="4135" spans="1:30" x14ac:dyDescent="0.25">
      <c r="H4135" t="s">
        <v>7504</v>
      </c>
    </row>
    <row r="4136" spans="1:30" x14ac:dyDescent="0.25">
      <c r="A4136">
        <v>2065</v>
      </c>
      <c r="B4136">
        <v>3640</v>
      </c>
      <c r="C4136" t="s">
        <v>3586</v>
      </c>
      <c r="D4136" t="s">
        <v>1555</v>
      </c>
      <c r="E4136" t="s">
        <v>551</v>
      </c>
      <c r="F4136" t="s">
        <v>7505</v>
      </c>
      <c r="G4136" t="str">
        <f>"00199063"</f>
        <v>00199063</v>
      </c>
      <c r="H4136" t="s">
        <v>760</v>
      </c>
      <c r="I4136">
        <v>0</v>
      </c>
      <c r="J4136">
        <v>0</v>
      </c>
      <c r="K4136">
        <v>0</v>
      </c>
      <c r="L4136">
        <v>0</v>
      </c>
      <c r="M4136">
        <v>0</v>
      </c>
      <c r="N4136">
        <v>0</v>
      </c>
      <c r="O4136">
        <v>0</v>
      </c>
      <c r="P4136">
        <v>0</v>
      </c>
      <c r="Q4136">
        <v>0</v>
      </c>
      <c r="R4136">
        <v>0</v>
      </c>
      <c r="S4136">
        <v>0</v>
      </c>
      <c r="T4136">
        <v>0</v>
      </c>
      <c r="U4136">
        <v>0</v>
      </c>
      <c r="V4136">
        <v>7</v>
      </c>
      <c r="W4136">
        <v>49</v>
      </c>
      <c r="X4136">
        <v>0</v>
      </c>
      <c r="Z4136">
        <v>2</v>
      </c>
      <c r="AA4136">
        <v>0</v>
      </c>
      <c r="AB4136">
        <v>0</v>
      </c>
      <c r="AC4136">
        <v>0</v>
      </c>
      <c r="AD4136" t="s">
        <v>7506</v>
      </c>
    </row>
    <row r="4137" spans="1:30" x14ac:dyDescent="0.25">
      <c r="H4137" t="s">
        <v>1048</v>
      </c>
    </row>
    <row r="4138" spans="1:30" x14ac:dyDescent="0.25">
      <c r="A4138">
        <v>2066</v>
      </c>
      <c r="B4138">
        <v>3913</v>
      </c>
      <c r="C4138" t="s">
        <v>7507</v>
      </c>
      <c r="D4138" t="s">
        <v>7508</v>
      </c>
      <c r="E4138" t="s">
        <v>107</v>
      </c>
      <c r="F4138" t="s">
        <v>7509</v>
      </c>
      <c r="G4138" t="str">
        <f>"00207897"</f>
        <v>00207897</v>
      </c>
      <c r="H4138" t="s">
        <v>1546</v>
      </c>
      <c r="I4138">
        <v>0</v>
      </c>
      <c r="J4138">
        <v>0</v>
      </c>
      <c r="K4138">
        <v>0</v>
      </c>
      <c r="L4138">
        <v>0</v>
      </c>
      <c r="M4138">
        <v>0</v>
      </c>
      <c r="N4138">
        <v>30</v>
      </c>
      <c r="O4138">
        <v>0</v>
      </c>
      <c r="P4138">
        <v>0</v>
      </c>
      <c r="Q4138">
        <v>0</v>
      </c>
      <c r="R4138">
        <v>0</v>
      </c>
      <c r="S4138">
        <v>0</v>
      </c>
      <c r="T4138">
        <v>0</v>
      </c>
      <c r="U4138">
        <v>0</v>
      </c>
      <c r="V4138">
        <v>0</v>
      </c>
      <c r="W4138">
        <v>0</v>
      </c>
      <c r="X4138">
        <v>0</v>
      </c>
      <c r="Z4138">
        <v>0</v>
      </c>
      <c r="AA4138">
        <v>0</v>
      </c>
      <c r="AB4138">
        <v>0</v>
      </c>
      <c r="AC4138">
        <v>0</v>
      </c>
      <c r="AD4138" t="s">
        <v>7510</v>
      </c>
    </row>
    <row r="4139" spans="1:30" x14ac:dyDescent="0.25">
      <c r="H4139" t="s">
        <v>7511</v>
      </c>
    </row>
    <row r="4140" spans="1:30" x14ac:dyDescent="0.25">
      <c r="A4140">
        <v>2067</v>
      </c>
      <c r="B4140">
        <v>696</v>
      </c>
      <c r="C4140" t="s">
        <v>7512</v>
      </c>
      <c r="D4140" t="s">
        <v>544</v>
      </c>
      <c r="E4140" t="s">
        <v>509</v>
      </c>
      <c r="F4140" t="s">
        <v>7513</v>
      </c>
      <c r="G4140" t="str">
        <f>"00199720"</f>
        <v>00199720</v>
      </c>
      <c r="H4140" t="s">
        <v>3441</v>
      </c>
      <c r="I4140">
        <v>0</v>
      </c>
      <c r="J4140">
        <v>0</v>
      </c>
      <c r="K4140">
        <v>0</v>
      </c>
      <c r="L4140">
        <v>0</v>
      </c>
      <c r="M4140">
        <v>0</v>
      </c>
      <c r="N4140">
        <v>30</v>
      </c>
      <c r="O4140">
        <v>50</v>
      </c>
      <c r="P4140">
        <v>0</v>
      </c>
      <c r="Q4140">
        <v>0</v>
      </c>
      <c r="R4140">
        <v>0</v>
      </c>
      <c r="S4140">
        <v>0</v>
      </c>
      <c r="T4140">
        <v>0</v>
      </c>
      <c r="U4140">
        <v>0</v>
      </c>
      <c r="V4140">
        <v>0</v>
      </c>
      <c r="W4140">
        <v>0</v>
      </c>
      <c r="X4140">
        <v>0</v>
      </c>
      <c r="Z4140">
        <v>2</v>
      </c>
      <c r="AA4140">
        <v>0</v>
      </c>
      <c r="AB4140">
        <v>0</v>
      </c>
      <c r="AC4140">
        <v>0</v>
      </c>
      <c r="AD4140" t="s">
        <v>7514</v>
      </c>
    </row>
    <row r="4141" spans="1:30" x14ac:dyDescent="0.25">
      <c r="H4141" t="s">
        <v>7515</v>
      </c>
    </row>
    <row r="4142" spans="1:30" x14ac:dyDescent="0.25">
      <c r="A4142">
        <v>2068</v>
      </c>
      <c r="B4142">
        <v>4392</v>
      </c>
      <c r="C4142" t="s">
        <v>7516</v>
      </c>
      <c r="D4142" t="s">
        <v>2213</v>
      </c>
      <c r="E4142" t="s">
        <v>39</v>
      </c>
      <c r="F4142" t="s">
        <v>7517</v>
      </c>
      <c r="G4142" t="str">
        <f>"201511027823"</f>
        <v>201511027823</v>
      </c>
      <c r="H4142" t="s">
        <v>1385</v>
      </c>
      <c r="I4142">
        <v>0</v>
      </c>
      <c r="J4142">
        <v>0</v>
      </c>
      <c r="K4142">
        <v>0</v>
      </c>
      <c r="L4142">
        <v>0</v>
      </c>
      <c r="M4142">
        <v>0</v>
      </c>
      <c r="N4142">
        <v>0</v>
      </c>
      <c r="O4142">
        <v>0</v>
      </c>
      <c r="P4142">
        <v>0</v>
      </c>
      <c r="Q4142">
        <v>0</v>
      </c>
      <c r="R4142">
        <v>0</v>
      </c>
      <c r="S4142">
        <v>0</v>
      </c>
      <c r="T4142">
        <v>0</v>
      </c>
      <c r="U4142">
        <v>0</v>
      </c>
      <c r="V4142">
        <v>13</v>
      </c>
      <c r="W4142">
        <v>91</v>
      </c>
      <c r="X4142">
        <v>0</v>
      </c>
      <c r="Z4142">
        <v>0</v>
      </c>
      <c r="AA4142">
        <v>0</v>
      </c>
      <c r="AB4142">
        <v>0</v>
      </c>
      <c r="AC4142">
        <v>0</v>
      </c>
      <c r="AD4142" t="s">
        <v>7514</v>
      </c>
    </row>
    <row r="4143" spans="1:30" x14ac:dyDescent="0.25">
      <c r="H4143" t="s">
        <v>7518</v>
      </c>
    </row>
    <row r="4144" spans="1:30" x14ac:dyDescent="0.25">
      <c r="A4144">
        <v>2069</v>
      </c>
      <c r="B4144">
        <v>3445</v>
      </c>
      <c r="C4144" t="s">
        <v>7519</v>
      </c>
      <c r="D4144" t="s">
        <v>335</v>
      </c>
      <c r="E4144" t="s">
        <v>2149</v>
      </c>
      <c r="F4144" t="s">
        <v>7520</v>
      </c>
      <c r="G4144" t="str">
        <f>"00246410"</f>
        <v>00246410</v>
      </c>
      <c r="H4144" t="s">
        <v>231</v>
      </c>
      <c r="I4144">
        <v>0</v>
      </c>
      <c r="J4144">
        <v>0</v>
      </c>
      <c r="K4144">
        <v>0</v>
      </c>
      <c r="L4144">
        <v>0</v>
      </c>
      <c r="M4144">
        <v>0</v>
      </c>
      <c r="N4144">
        <v>50</v>
      </c>
      <c r="O4144">
        <v>0</v>
      </c>
      <c r="P4144">
        <v>0</v>
      </c>
      <c r="Q4144">
        <v>0</v>
      </c>
      <c r="R4144">
        <v>0</v>
      </c>
      <c r="S4144">
        <v>0</v>
      </c>
      <c r="T4144">
        <v>0</v>
      </c>
      <c r="U4144">
        <v>0</v>
      </c>
      <c r="V4144">
        <v>0</v>
      </c>
      <c r="W4144">
        <v>0</v>
      </c>
      <c r="X4144">
        <v>0</v>
      </c>
      <c r="Z4144">
        <v>1</v>
      </c>
      <c r="AA4144">
        <v>0</v>
      </c>
      <c r="AB4144">
        <v>0</v>
      </c>
      <c r="AC4144">
        <v>0</v>
      </c>
      <c r="AD4144" t="s">
        <v>7521</v>
      </c>
    </row>
    <row r="4145" spans="1:30" x14ac:dyDescent="0.25">
      <c r="H4145" t="s">
        <v>7522</v>
      </c>
    </row>
    <row r="4146" spans="1:30" x14ac:dyDescent="0.25">
      <c r="A4146">
        <v>2070</v>
      </c>
      <c r="B4146">
        <v>325</v>
      </c>
      <c r="C4146" t="s">
        <v>7523</v>
      </c>
      <c r="D4146" t="s">
        <v>140</v>
      </c>
      <c r="E4146" t="s">
        <v>107</v>
      </c>
      <c r="F4146" t="s">
        <v>7524</v>
      </c>
      <c r="G4146" t="str">
        <f>"00294318"</f>
        <v>00294318</v>
      </c>
      <c r="H4146" t="s">
        <v>231</v>
      </c>
      <c r="I4146">
        <v>0</v>
      </c>
      <c r="J4146">
        <v>0</v>
      </c>
      <c r="K4146">
        <v>0</v>
      </c>
      <c r="L4146">
        <v>0</v>
      </c>
      <c r="M4146">
        <v>0</v>
      </c>
      <c r="N4146">
        <v>50</v>
      </c>
      <c r="O4146">
        <v>0</v>
      </c>
      <c r="P4146">
        <v>0</v>
      </c>
      <c r="Q4146">
        <v>0</v>
      </c>
      <c r="R4146">
        <v>0</v>
      </c>
      <c r="S4146">
        <v>0</v>
      </c>
      <c r="T4146">
        <v>0</v>
      </c>
      <c r="U4146">
        <v>0</v>
      </c>
      <c r="V4146">
        <v>0</v>
      </c>
      <c r="W4146">
        <v>0</v>
      </c>
      <c r="X4146">
        <v>0</v>
      </c>
      <c r="Z4146">
        <v>0</v>
      </c>
      <c r="AA4146">
        <v>0</v>
      </c>
      <c r="AB4146">
        <v>0</v>
      </c>
      <c r="AC4146">
        <v>0</v>
      </c>
      <c r="AD4146" t="s">
        <v>7521</v>
      </c>
    </row>
    <row r="4147" spans="1:30" x14ac:dyDescent="0.25">
      <c r="H4147" t="s">
        <v>7525</v>
      </c>
    </row>
    <row r="4148" spans="1:30" x14ac:dyDescent="0.25">
      <c r="A4148">
        <v>2071</v>
      </c>
      <c r="B4148">
        <v>1344</v>
      </c>
      <c r="C4148" t="s">
        <v>7526</v>
      </c>
      <c r="D4148" t="s">
        <v>7527</v>
      </c>
      <c r="E4148" t="s">
        <v>162</v>
      </c>
      <c r="F4148" t="s">
        <v>7528</v>
      </c>
      <c r="G4148" t="str">
        <f>"201402010038"</f>
        <v>201402010038</v>
      </c>
      <c r="H4148" t="s">
        <v>1850</v>
      </c>
      <c r="I4148">
        <v>0</v>
      </c>
      <c r="J4148">
        <v>0</v>
      </c>
      <c r="K4148">
        <v>0</v>
      </c>
      <c r="L4148">
        <v>0</v>
      </c>
      <c r="M4148">
        <v>0</v>
      </c>
      <c r="N4148">
        <v>30</v>
      </c>
      <c r="O4148">
        <v>0</v>
      </c>
      <c r="P4148">
        <v>0</v>
      </c>
      <c r="Q4148">
        <v>0</v>
      </c>
      <c r="R4148">
        <v>0</v>
      </c>
      <c r="S4148">
        <v>0</v>
      </c>
      <c r="T4148">
        <v>0</v>
      </c>
      <c r="U4148">
        <v>0</v>
      </c>
      <c r="V4148">
        <v>5</v>
      </c>
      <c r="W4148">
        <v>35</v>
      </c>
      <c r="X4148">
        <v>0</v>
      </c>
      <c r="Z4148">
        <v>0</v>
      </c>
      <c r="AA4148">
        <v>0</v>
      </c>
      <c r="AB4148">
        <v>0</v>
      </c>
      <c r="AC4148">
        <v>0</v>
      </c>
      <c r="AD4148" t="s">
        <v>7529</v>
      </c>
    </row>
    <row r="4149" spans="1:30" x14ac:dyDescent="0.25">
      <c r="H4149" t="s">
        <v>7530</v>
      </c>
    </row>
    <row r="4150" spans="1:30" x14ac:dyDescent="0.25">
      <c r="A4150">
        <v>2072</v>
      </c>
      <c r="B4150">
        <v>3794</v>
      </c>
      <c r="C4150" t="s">
        <v>7531</v>
      </c>
      <c r="D4150" t="s">
        <v>1625</v>
      </c>
      <c r="E4150" t="s">
        <v>51</v>
      </c>
      <c r="F4150" t="s">
        <v>7532</v>
      </c>
      <c r="G4150" t="str">
        <f>"00356825"</f>
        <v>00356825</v>
      </c>
      <c r="H4150">
        <v>770</v>
      </c>
      <c r="I4150">
        <v>0</v>
      </c>
      <c r="J4150">
        <v>0</v>
      </c>
      <c r="K4150">
        <v>0</v>
      </c>
      <c r="L4150">
        <v>0</v>
      </c>
      <c r="M4150">
        <v>0</v>
      </c>
      <c r="N4150">
        <v>0</v>
      </c>
      <c r="O4150">
        <v>0</v>
      </c>
      <c r="P4150">
        <v>0</v>
      </c>
      <c r="Q4150">
        <v>0</v>
      </c>
      <c r="R4150">
        <v>0</v>
      </c>
      <c r="S4150">
        <v>0</v>
      </c>
      <c r="T4150">
        <v>0</v>
      </c>
      <c r="U4150">
        <v>0</v>
      </c>
      <c r="V4150">
        <v>0</v>
      </c>
      <c r="W4150">
        <v>0</v>
      </c>
      <c r="X4150">
        <v>0</v>
      </c>
      <c r="Z4150">
        <v>0</v>
      </c>
      <c r="AA4150">
        <v>0</v>
      </c>
      <c r="AB4150">
        <v>0</v>
      </c>
      <c r="AC4150">
        <v>0</v>
      </c>
      <c r="AD4150">
        <v>770</v>
      </c>
    </row>
    <row r="4151" spans="1:30" x14ac:dyDescent="0.25">
      <c r="H4151" t="s">
        <v>2270</v>
      </c>
    </row>
    <row r="4152" spans="1:30" x14ac:dyDescent="0.25">
      <c r="A4152">
        <v>2073</v>
      </c>
      <c r="B4152">
        <v>2368</v>
      </c>
      <c r="C4152" t="s">
        <v>7533</v>
      </c>
      <c r="D4152" t="s">
        <v>223</v>
      </c>
      <c r="E4152" t="s">
        <v>7534</v>
      </c>
      <c r="F4152" t="s">
        <v>7535</v>
      </c>
      <c r="G4152" t="str">
        <f>"00330565"</f>
        <v>00330565</v>
      </c>
      <c r="H4152">
        <v>770</v>
      </c>
      <c r="I4152">
        <v>0</v>
      </c>
      <c r="J4152">
        <v>0</v>
      </c>
      <c r="K4152">
        <v>0</v>
      </c>
      <c r="L4152">
        <v>0</v>
      </c>
      <c r="M4152">
        <v>0</v>
      </c>
      <c r="N4152">
        <v>0</v>
      </c>
      <c r="O4152">
        <v>0</v>
      </c>
      <c r="P4152">
        <v>0</v>
      </c>
      <c r="Q4152">
        <v>0</v>
      </c>
      <c r="R4152">
        <v>0</v>
      </c>
      <c r="S4152">
        <v>0</v>
      </c>
      <c r="T4152">
        <v>0</v>
      </c>
      <c r="U4152">
        <v>0</v>
      </c>
      <c r="V4152">
        <v>0</v>
      </c>
      <c r="W4152">
        <v>0</v>
      </c>
      <c r="X4152">
        <v>0</v>
      </c>
      <c r="Z4152">
        <v>0</v>
      </c>
      <c r="AA4152">
        <v>0</v>
      </c>
      <c r="AB4152">
        <v>0</v>
      </c>
      <c r="AC4152">
        <v>0</v>
      </c>
      <c r="AD4152">
        <v>770</v>
      </c>
    </row>
    <row r="4153" spans="1:30" x14ac:dyDescent="0.25">
      <c r="H4153" t="s">
        <v>7536</v>
      </c>
    </row>
    <row r="4154" spans="1:30" x14ac:dyDescent="0.25">
      <c r="A4154">
        <v>2074</v>
      </c>
      <c r="B4154">
        <v>4303</v>
      </c>
      <c r="C4154" t="s">
        <v>7537</v>
      </c>
      <c r="D4154" t="s">
        <v>40</v>
      </c>
      <c r="E4154" t="s">
        <v>595</v>
      </c>
      <c r="F4154" t="s">
        <v>7538</v>
      </c>
      <c r="G4154" t="str">
        <f>"00154967"</f>
        <v>00154967</v>
      </c>
      <c r="H4154" t="s">
        <v>241</v>
      </c>
      <c r="I4154">
        <v>0</v>
      </c>
      <c r="J4154">
        <v>0</v>
      </c>
      <c r="K4154">
        <v>0</v>
      </c>
      <c r="L4154">
        <v>0</v>
      </c>
      <c r="M4154">
        <v>0</v>
      </c>
      <c r="N4154">
        <v>50</v>
      </c>
      <c r="O4154">
        <v>0</v>
      </c>
      <c r="P4154">
        <v>0</v>
      </c>
      <c r="Q4154">
        <v>0</v>
      </c>
      <c r="R4154">
        <v>0</v>
      </c>
      <c r="S4154">
        <v>0</v>
      </c>
      <c r="T4154">
        <v>0</v>
      </c>
      <c r="U4154">
        <v>0</v>
      </c>
      <c r="V4154">
        <v>0</v>
      </c>
      <c r="W4154">
        <v>0</v>
      </c>
      <c r="X4154">
        <v>0</v>
      </c>
      <c r="Z4154">
        <v>0</v>
      </c>
      <c r="AA4154">
        <v>0</v>
      </c>
      <c r="AB4154">
        <v>0</v>
      </c>
      <c r="AC4154">
        <v>0</v>
      </c>
      <c r="AD4154" t="s">
        <v>7539</v>
      </c>
    </row>
    <row r="4155" spans="1:30" x14ac:dyDescent="0.25">
      <c r="H4155" t="s">
        <v>7540</v>
      </c>
    </row>
    <row r="4156" spans="1:30" x14ac:dyDescent="0.25">
      <c r="A4156">
        <v>2075</v>
      </c>
      <c r="B4156">
        <v>4339</v>
      </c>
      <c r="C4156" t="s">
        <v>4208</v>
      </c>
      <c r="D4156" t="s">
        <v>572</v>
      </c>
      <c r="E4156" t="s">
        <v>595</v>
      </c>
      <c r="F4156" t="s">
        <v>7541</v>
      </c>
      <c r="G4156" t="str">
        <f>"00222049"</f>
        <v>00222049</v>
      </c>
      <c r="H4156" t="s">
        <v>2742</v>
      </c>
      <c r="I4156">
        <v>0</v>
      </c>
      <c r="J4156">
        <v>0</v>
      </c>
      <c r="K4156">
        <v>0</v>
      </c>
      <c r="L4156">
        <v>0</v>
      </c>
      <c r="M4156">
        <v>0</v>
      </c>
      <c r="N4156">
        <v>30</v>
      </c>
      <c r="O4156">
        <v>0</v>
      </c>
      <c r="P4156">
        <v>0</v>
      </c>
      <c r="Q4156">
        <v>0</v>
      </c>
      <c r="R4156">
        <v>0</v>
      </c>
      <c r="S4156">
        <v>0</v>
      </c>
      <c r="T4156">
        <v>0</v>
      </c>
      <c r="U4156">
        <v>0</v>
      </c>
      <c r="V4156">
        <v>0</v>
      </c>
      <c r="W4156">
        <v>0</v>
      </c>
      <c r="X4156">
        <v>0</v>
      </c>
      <c r="Z4156">
        <v>0</v>
      </c>
      <c r="AA4156">
        <v>0</v>
      </c>
      <c r="AB4156">
        <v>0</v>
      </c>
      <c r="AC4156">
        <v>0</v>
      </c>
      <c r="AD4156" t="s">
        <v>7542</v>
      </c>
    </row>
    <row r="4157" spans="1:30" x14ac:dyDescent="0.25">
      <c r="H4157" t="s">
        <v>7543</v>
      </c>
    </row>
    <row r="4158" spans="1:30" x14ac:dyDescent="0.25">
      <c r="A4158">
        <v>2076</v>
      </c>
      <c r="B4158">
        <v>5384</v>
      </c>
      <c r="C4158" t="s">
        <v>7544</v>
      </c>
      <c r="D4158" t="s">
        <v>7545</v>
      </c>
      <c r="E4158" t="s">
        <v>7546</v>
      </c>
      <c r="F4158" t="s">
        <v>7547</v>
      </c>
      <c r="G4158" t="str">
        <f>"00352981"</f>
        <v>00352981</v>
      </c>
      <c r="H4158" t="s">
        <v>7190</v>
      </c>
      <c r="I4158">
        <v>0</v>
      </c>
      <c r="J4158">
        <v>0</v>
      </c>
      <c r="K4158">
        <v>0</v>
      </c>
      <c r="L4158">
        <v>0</v>
      </c>
      <c r="M4158">
        <v>0</v>
      </c>
      <c r="N4158">
        <v>30</v>
      </c>
      <c r="O4158">
        <v>0</v>
      </c>
      <c r="P4158">
        <v>0</v>
      </c>
      <c r="Q4158">
        <v>0</v>
      </c>
      <c r="R4158">
        <v>0</v>
      </c>
      <c r="S4158">
        <v>0</v>
      </c>
      <c r="T4158">
        <v>0</v>
      </c>
      <c r="U4158">
        <v>0</v>
      </c>
      <c r="V4158">
        <v>11</v>
      </c>
      <c r="W4158">
        <v>77</v>
      </c>
      <c r="X4158">
        <v>0</v>
      </c>
      <c r="Z4158">
        <v>0</v>
      </c>
      <c r="AA4158">
        <v>0</v>
      </c>
      <c r="AB4158">
        <v>0</v>
      </c>
      <c r="AC4158">
        <v>0</v>
      </c>
      <c r="AD4158" t="s">
        <v>7542</v>
      </c>
    </row>
    <row r="4159" spans="1:30" x14ac:dyDescent="0.25">
      <c r="H4159">
        <v>1250</v>
      </c>
    </row>
    <row r="4160" spans="1:30" x14ac:dyDescent="0.25">
      <c r="A4160">
        <v>2077</v>
      </c>
      <c r="B4160">
        <v>44</v>
      </c>
      <c r="C4160" t="s">
        <v>7548</v>
      </c>
      <c r="D4160" t="s">
        <v>151</v>
      </c>
      <c r="E4160" t="s">
        <v>40</v>
      </c>
      <c r="F4160" t="s">
        <v>7549</v>
      </c>
      <c r="G4160" t="str">
        <f>"00225651"</f>
        <v>00225651</v>
      </c>
      <c r="H4160" t="s">
        <v>7190</v>
      </c>
      <c r="I4160">
        <v>0</v>
      </c>
      <c r="J4160">
        <v>0</v>
      </c>
      <c r="K4160">
        <v>0</v>
      </c>
      <c r="L4160">
        <v>0</v>
      </c>
      <c r="M4160">
        <v>0</v>
      </c>
      <c r="N4160">
        <v>30</v>
      </c>
      <c r="O4160">
        <v>0</v>
      </c>
      <c r="P4160">
        <v>0</v>
      </c>
      <c r="Q4160">
        <v>0</v>
      </c>
      <c r="R4160">
        <v>0</v>
      </c>
      <c r="S4160">
        <v>0</v>
      </c>
      <c r="T4160">
        <v>0</v>
      </c>
      <c r="U4160">
        <v>0</v>
      </c>
      <c r="V4160">
        <v>11</v>
      </c>
      <c r="W4160">
        <v>77</v>
      </c>
      <c r="X4160">
        <v>0</v>
      </c>
      <c r="Z4160">
        <v>2</v>
      </c>
      <c r="AA4160">
        <v>0</v>
      </c>
      <c r="AB4160">
        <v>0</v>
      </c>
      <c r="AC4160">
        <v>0</v>
      </c>
      <c r="AD4160" t="s">
        <v>7542</v>
      </c>
    </row>
    <row r="4161" spans="1:30" x14ac:dyDescent="0.25">
      <c r="H4161">
        <v>1247</v>
      </c>
    </row>
    <row r="4162" spans="1:30" x14ac:dyDescent="0.25">
      <c r="A4162">
        <v>2078</v>
      </c>
      <c r="B4162">
        <v>181</v>
      </c>
      <c r="C4162" t="s">
        <v>7550</v>
      </c>
      <c r="D4162" t="s">
        <v>151</v>
      </c>
      <c r="E4162" t="s">
        <v>144</v>
      </c>
      <c r="F4162" t="s">
        <v>7551</v>
      </c>
      <c r="G4162" t="str">
        <f>"201302000051"</f>
        <v>201302000051</v>
      </c>
      <c r="H4162" t="s">
        <v>1315</v>
      </c>
      <c r="I4162">
        <v>0</v>
      </c>
      <c r="J4162">
        <v>0</v>
      </c>
      <c r="K4162">
        <v>0</v>
      </c>
      <c r="L4162">
        <v>0</v>
      </c>
      <c r="M4162">
        <v>0</v>
      </c>
      <c r="N4162">
        <v>0</v>
      </c>
      <c r="O4162">
        <v>0</v>
      </c>
      <c r="P4162">
        <v>0</v>
      </c>
      <c r="Q4162">
        <v>0</v>
      </c>
      <c r="R4162">
        <v>0</v>
      </c>
      <c r="S4162">
        <v>0</v>
      </c>
      <c r="T4162">
        <v>0</v>
      </c>
      <c r="U4162">
        <v>0</v>
      </c>
      <c r="V4162">
        <v>10</v>
      </c>
      <c r="W4162">
        <v>70</v>
      </c>
      <c r="X4162">
        <v>0</v>
      </c>
      <c r="Z4162">
        <v>0</v>
      </c>
      <c r="AA4162">
        <v>0</v>
      </c>
      <c r="AB4162">
        <v>0</v>
      </c>
      <c r="AC4162">
        <v>0</v>
      </c>
      <c r="AD4162" t="s">
        <v>7552</v>
      </c>
    </row>
    <row r="4163" spans="1:30" x14ac:dyDescent="0.25">
      <c r="H4163" t="s">
        <v>7553</v>
      </c>
    </row>
    <row r="4164" spans="1:30" x14ac:dyDescent="0.25">
      <c r="A4164">
        <v>2079</v>
      </c>
      <c r="B4164">
        <v>6102</v>
      </c>
      <c r="C4164" t="s">
        <v>7554</v>
      </c>
      <c r="D4164" t="s">
        <v>2713</v>
      </c>
      <c r="E4164" t="s">
        <v>162</v>
      </c>
      <c r="F4164" t="s">
        <v>7555</v>
      </c>
      <c r="G4164" t="str">
        <f>"201412007326"</f>
        <v>201412007326</v>
      </c>
      <c r="H4164" t="s">
        <v>813</v>
      </c>
      <c r="I4164">
        <v>0</v>
      </c>
      <c r="J4164">
        <v>0</v>
      </c>
      <c r="K4164">
        <v>0</v>
      </c>
      <c r="L4164">
        <v>0</v>
      </c>
      <c r="M4164">
        <v>0</v>
      </c>
      <c r="N4164">
        <v>30</v>
      </c>
      <c r="O4164">
        <v>0</v>
      </c>
      <c r="P4164">
        <v>0</v>
      </c>
      <c r="Q4164">
        <v>0</v>
      </c>
      <c r="R4164">
        <v>0</v>
      </c>
      <c r="S4164">
        <v>0</v>
      </c>
      <c r="T4164">
        <v>0</v>
      </c>
      <c r="U4164">
        <v>0</v>
      </c>
      <c r="V4164">
        <v>0</v>
      </c>
      <c r="W4164">
        <v>0</v>
      </c>
      <c r="X4164">
        <v>0</v>
      </c>
      <c r="Z4164">
        <v>0</v>
      </c>
      <c r="AA4164">
        <v>0</v>
      </c>
      <c r="AB4164">
        <v>0</v>
      </c>
      <c r="AC4164">
        <v>0</v>
      </c>
      <c r="AD4164" t="s">
        <v>7556</v>
      </c>
    </row>
    <row r="4165" spans="1:30" x14ac:dyDescent="0.25">
      <c r="H4165" t="s">
        <v>7557</v>
      </c>
    </row>
    <row r="4166" spans="1:30" x14ac:dyDescent="0.25">
      <c r="A4166">
        <v>2080</v>
      </c>
      <c r="B4166">
        <v>3574</v>
      </c>
      <c r="C4166" t="s">
        <v>7558</v>
      </c>
      <c r="D4166" t="s">
        <v>7559</v>
      </c>
      <c r="E4166" t="s">
        <v>39</v>
      </c>
      <c r="F4166" t="s">
        <v>7560</v>
      </c>
      <c r="G4166" t="str">
        <f>"00123815"</f>
        <v>00123815</v>
      </c>
      <c r="H4166" t="s">
        <v>813</v>
      </c>
      <c r="I4166">
        <v>0</v>
      </c>
      <c r="J4166">
        <v>0</v>
      </c>
      <c r="K4166">
        <v>0</v>
      </c>
      <c r="L4166">
        <v>0</v>
      </c>
      <c r="M4166">
        <v>0</v>
      </c>
      <c r="N4166">
        <v>30</v>
      </c>
      <c r="O4166">
        <v>0</v>
      </c>
      <c r="P4166">
        <v>0</v>
      </c>
      <c r="Q4166">
        <v>0</v>
      </c>
      <c r="R4166">
        <v>0</v>
      </c>
      <c r="S4166">
        <v>0</v>
      </c>
      <c r="T4166">
        <v>0</v>
      </c>
      <c r="U4166">
        <v>0</v>
      </c>
      <c r="V4166">
        <v>0</v>
      </c>
      <c r="W4166">
        <v>0</v>
      </c>
      <c r="X4166">
        <v>0</v>
      </c>
      <c r="Z4166">
        <v>0</v>
      </c>
      <c r="AA4166">
        <v>0</v>
      </c>
      <c r="AB4166">
        <v>0</v>
      </c>
      <c r="AC4166">
        <v>0</v>
      </c>
      <c r="AD4166" t="s">
        <v>7556</v>
      </c>
    </row>
    <row r="4167" spans="1:30" x14ac:dyDescent="0.25">
      <c r="H4167">
        <v>1249</v>
      </c>
    </row>
    <row r="4168" spans="1:30" x14ac:dyDescent="0.25">
      <c r="A4168">
        <v>2081</v>
      </c>
      <c r="B4168">
        <v>3665</v>
      </c>
      <c r="C4168" t="s">
        <v>7561</v>
      </c>
      <c r="D4168" t="s">
        <v>1828</v>
      </c>
      <c r="E4168" t="s">
        <v>7562</v>
      </c>
      <c r="F4168" t="s">
        <v>7563</v>
      </c>
      <c r="G4168" t="str">
        <f>"201412005916"</f>
        <v>201412005916</v>
      </c>
      <c r="H4168" t="s">
        <v>422</v>
      </c>
      <c r="I4168">
        <v>0</v>
      </c>
      <c r="J4168">
        <v>0</v>
      </c>
      <c r="K4168">
        <v>0</v>
      </c>
      <c r="L4168">
        <v>0</v>
      </c>
      <c r="M4168">
        <v>0</v>
      </c>
      <c r="N4168">
        <v>30</v>
      </c>
      <c r="O4168">
        <v>0</v>
      </c>
      <c r="P4168">
        <v>0</v>
      </c>
      <c r="Q4168">
        <v>0</v>
      </c>
      <c r="R4168">
        <v>0</v>
      </c>
      <c r="S4168">
        <v>0</v>
      </c>
      <c r="T4168">
        <v>0</v>
      </c>
      <c r="U4168">
        <v>0</v>
      </c>
      <c r="V4168">
        <v>7</v>
      </c>
      <c r="W4168">
        <v>49</v>
      </c>
      <c r="X4168">
        <v>0</v>
      </c>
      <c r="Z4168">
        <v>0</v>
      </c>
      <c r="AA4168">
        <v>0</v>
      </c>
      <c r="AB4168">
        <v>0</v>
      </c>
      <c r="AC4168">
        <v>0</v>
      </c>
      <c r="AD4168" t="s">
        <v>7564</v>
      </c>
    </row>
    <row r="4169" spans="1:30" x14ac:dyDescent="0.25">
      <c r="H4169" t="s">
        <v>7565</v>
      </c>
    </row>
    <row r="4170" spans="1:30" x14ac:dyDescent="0.25">
      <c r="A4170">
        <v>2082</v>
      </c>
      <c r="B4170">
        <v>2793</v>
      </c>
      <c r="C4170" t="s">
        <v>5513</v>
      </c>
      <c r="D4170" t="s">
        <v>166</v>
      </c>
      <c r="E4170" t="s">
        <v>176</v>
      </c>
      <c r="F4170" t="s">
        <v>6231</v>
      </c>
      <c r="G4170" t="str">
        <f>"00339815"</f>
        <v>00339815</v>
      </c>
      <c r="H4170" t="s">
        <v>1101</v>
      </c>
      <c r="I4170">
        <v>0</v>
      </c>
      <c r="J4170">
        <v>0</v>
      </c>
      <c r="K4170">
        <v>0</v>
      </c>
      <c r="L4170">
        <v>0</v>
      </c>
      <c r="M4170">
        <v>0</v>
      </c>
      <c r="N4170">
        <v>50</v>
      </c>
      <c r="O4170">
        <v>0</v>
      </c>
      <c r="P4170">
        <v>0</v>
      </c>
      <c r="Q4170">
        <v>0</v>
      </c>
      <c r="R4170">
        <v>0</v>
      </c>
      <c r="S4170">
        <v>30</v>
      </c>
      <c r="T4170">
        <v>0</v>
      </c>
      <c r="U4170">
        <v>0</v>
      </c>
      <c r="V4170">
        <v>0</v>
      </c>
      <c r="W4170">
        <v>0</v>
      </c>
      <c r="X4170">
        <v>0</v>
      </c>
      <c r="Z4170">
        <v>0</v>
      </c>
      <c r="AA4170">
        <v>0</v>
      </c>
      <c r="AB4170">
        <v>0</v>
      </c>
      <c r="AC4170">
        <v>0</v>
      </c>
      <c r="AD4170" t="s">
        <v>7566</v>
      </c>
    </row>
    <row r="4171" spans="1:30" x14ac:dyDescent="0.25">
      <c r="H4171" t="s">
        <v>6233</v>
      </c>
    </row>
    <row r="4172" spans="1:30" x14ac:dyDescent="0.25">
      <c r="A4172">
        <v>2083</v>
      </c>
      <c r="B4172">
        <v>6246</v>
      </c>
      <c r="C4172" t="s">
        <v>7567</v>
      </c>
      <c r="D4172" t="s">
        <v>7568</v>
      </c>
      <c r="E4172" t="s">
        <v>251</v>
      </c>
      <c r="F4172" t="s">
        <v>7569</v>
      </c>
      <c r="G4172" t="str">
        <f>"00201967"</f>
        <v>00201967</v>
      </c>
      <c r="H4172">
        <v>737</v>
      </c>
      <c r="I4172">
        <v>0</v>
      </c>
      <c r="J4172">
        <v>0</v>
      </c>
      <c r="K4172">
        <v>0</v>
      </c>
      <c r="L4172">
        <v>0</v>
      </c>
      <c r="M4172">
        <v>0</v>
      </c>
      <c r="N4172">
        <v>30</v>
      </c>
      <c r="O4172">
        <v>0</v>
      </c>
      <c r="P4172">
        <v>0</v>
      </c>
      <c r="Q4172">
        <v>0</v>
      </c>
      <c r="R4172">
        <v>0</v>
      </c>
      <c r="S4172">
        <v>0</v>
      </c>
      <c r="T4172">
        <v>0</v>
      </c>
      <c r="U4172">
        <v>0</v>
      </c>
      <c r="V4172">
        <v>0</v>
      </c>
      <c r="W4172">
        <v>0</v>
      </c>
      <c r="X4172">
        <v>0</v>
      </c>
      <c r="Z4172">
        <v>0</v>
      </c>
      <c r="AA4172">
        <v>0</v>
      </c>
      <c r="AB4172">
        <v>0</v>
      </c>
      <c r="AC4172">
        <v>0</v>
      </c>
      <c r="AD4172">
        <v>767</v>
      </c>
    </row>
    <row r="4173" spans="1:30" x14ac:dyDescent="0.25">
      <c r="H4173" t="s">
        <v>7570</v>
      </c>
    </row>
    <row r="4174" spans="1:30" x14ac:dyDescent="0.25">
      <c r="A4174">
        <v>2084</v>
      </c>
      <c r="B4174">
        <v>3276</v>
      </c>
      <c r="C4174" t="s">
        <v>7571</v>
      </c>
      <c r="D4174" t="s">
        <v>335</v>
      </c>
      <c r="E4174" t="s">
        <v>1039</v>
      </c>
      <c r="F4174" t="s">
        <v>7572</v>
      </c>
      <c r="G4174" t="str">
        <f>"201406000660"</f>
        <v>201406000660</v>
      </c>
      <c r="H4174">
        <v>737</v>
      </c>
      <c r="I4174">
        <v>0</v>
      </c>
      <c r="J4174">
        <v>0</v>
      </c>
      <c r="K4174">
        <v>0</v>
      </c>
      <c r="L4174">
        <v>0</v>
      </c>
      <c r="M4174">
        <v>0</v>
      </c>
      <c r="N4174">
        <v>30</v>
      </c>
      <c r="O4174">
        <v>0</v>
      </c>
      <c r="P4174">
        <v>0</v>
      </c>
      <c r="Q4174">
        <v>0</v>
      </c>
      <c r="R4174">
        <v>0</v>
      </c>
      <c r="S4174">
        <v>0</v>
      </c>
      <c r="T4174">
        <v>0</v>
      </c>
      <c r="U4174">
        <v>0</v>
      </c>
      <c r="V4174">
        <v>0</v>
      </c>
      <c r="W4174">
        <v>0</v>
      </c>
      <c r="X4174">
        <v>0</v>
      </c>
      <c r="Z4174">
        <v>0</v>
      </c>
      <c r="AA4174">
        <v>0</v>
      </c>
      <c r="AB4174">
        <v>0</v>
      </c>
      <c r="AC4174">
        <v>0</v>
      </c>
      <c r="AD4174">
        <v>767</v>
      </c>
    </row>
    <row r="4175" spans="1:30" x14ac:dyDescent="0.25">
      <c r="H4175" t="s">
        <v>7573</v>
      </c>
    </row>
    <row r="4176" spans="1:30" x14ac:dyDescent="0.25">
      <c r="A4176">
        <v>2085</v>
      </c>
      <c r="B4176">
        <v>3211</v>
      </c>
      <c r="C4176" t="s">
        <v>7574</v>
      </c>
      <c r="D4176" t="s">
        <v>7575</v>
      </c>
      <c r="E4176" t="s">
        <v>40</v>
      </c>
      <c r="F4176" t="s">
        <v>7576</v>
      </c>
      <c r="G4176" t="str">
        <f>"00151606"</f>
        <v>00151606</v>
      </c>
      <c r="H4176">
        <v>627</v>
      </c>
      <c r="I4176">
        <v>0</v>
      </c>
      <c r="J4176">
        <v>0</v>
      </c>
      <c r="K4176">
        <v>0</v>
      </c>
      <c r="L4176">
        <v>0</v>
      </c>
      <c r="M4176">
        <v>0</v>
      </c>
      <c r="N4176">
        <v>0</v>
      </c>
      <c r="O4176">
        <v>0</v>
      </c>
      <c r="P4176">
        <v>0</v>
      </c>
      <c r="Q4176">
        <v>0</v>
      </c>
      <c r="R4176">
        <v>0</v>
      </c>
      <c r="S4176">
        <v>0</v>
      </c>
      <c r="T4176">
        <v>0</v>
      </c>
      <c r="U4176">
        <v>0</v>
      </c>
      <c r="V4176">
        <v>20</v>
      </c>
      <c r="W4176">
        <v>140</v>
      </c>
      <c r="X4176">
        <v>0</v>
      </c>
      <c r="Z4176">
        <v>0</v>
      </c>
      <c r="AA4176">
        <v>0</v>
      </c>
      <c r="AB4176">
        <v>0</v>
      </c>
      <c r="AC4176">
        <v>0</v>
      </c>
      <c r="AD4176">
        <v>767</v>
      </c>
    </row>
    <row r="4177" spans="1:30" x14ac:dyDescent="0.25">
      <c r="H4177" t="s">
        <v>7577</v>
      </c>
    </row>
    <row r="4178" spans="1:30" x14ac:dyDescent="0.25">
      <c r="A4178">
        <v>2086</v>
      </c>
      <c r="B4178">
        <v>2211</v>
      </c>
      <c r="C4178" t="s">
        <v>7578</v>
      </c>
      <c r="D4178" t="s">
        <v>239</v>
      </c>
      <c r="E4178" t="s">
        <v>238</v>
      </c>
      <c r="F4178" t="s">
        <v>7579</v>
      </c>
      <c r="G4178" t="str">
        <f>"00265691"</f>
        <v>00265691</v>
      </c>
      <c r="H4178" t="s">
        <v>1235</v>
      </c>
      <c r="I4178">
        <v>0</v>
      </c>
      <c r="J4178">
        <v>0</v>
      </c>
      <c r="K4178">
        <v>0</v>
      </c>
      <c r="L4178">
        <v>0</v>
      </c>
      <c r="M4178">
        <v>0</v>
      </c>
      <c r="N4178">
        <v>30</v>
      </c>
      <c r="O4178">
        <v>0</v>
      </c>
      <c r="P4178">
        <v>0</v>
      </c>
      <c r="Q4178">
        <v>0</v>
      </c>
      <c r="R4178">
        <v>0</v>
      </c>
      <c r="S4178">
        <v>0</v>
      </c>
      <c r="T4178">
        <v>0</v>
      </c>
      <c r="U4178">
        <v>0</v>
      </c>
      <c r="V4178">
        <v>0</v>
      </c>
      <c r="W4178">
        <v>0</v>
      </c>
      <c r="X4178">
        <v>0</v>
      </c>
      <c r="Z4178">
        <v>0</v>
      </c>
      <c r="AA4178">
        <v>0</v>
      </c>
      <c r="AB4178">
        <v>4</v>
      </c>
      <c r="AC4178">
        <v>68</v>
      </c>
      <c r="AD4178" t="s">
        <v>7580</v>
      </c>
    </row>
    <row r="4179" spans="1:30" x14ac:dyDescent="0.25">
      <c r="H4179" t="s">
        <v>7581</v>
      </c>
    </row>
    <row r="4180" spans="1:30" x14ac:dyDescent="0.25">
      <c r="A4180">
        <v>2087</v>
      </c>
      <c r="B4180">
        <v>4854</v>
      </c>
      <c r="C4180" t="s">
        <v>7582</v>
      </c>
      <c r="D4180" t="s">
        <v>107</v>
      </c>
      <c r="E4180" t="s">
        <v>151</v>
      </c>
      <c r="F4180" t="s">
        <v>7583</v>
      </c>
      <c r="G4180" t="str">
        <f>"00369380"</f>
        <v>00369380</v>
      </c>
      <c r="H4180" t="s">
        <v>818</v>
      </c>
      <c r="I4180">
        <v>0</v>
      </c>
      <c r="J4180">
        <v>0</v>
      </c>
      <c r="K4180">
        <v>0</v>
      </c>
      <c r="L4180">
        <v>0</v>
      </c>
      <c r="M4180">
        <v>0</v>
      </c>
      <c r="N4180">
        <v>0</v>
      </c>
      <c r="O4180">
        <v>0</v>
      </c>
      <c r="P4180">
        <v>0</v>
      </c>
      <c r="Q4180">
        <v>0</v>
      </c>
      <c r="R4180">
        <v>0</v>
      </c>
      <c r="S4180">
        <v>0</v>
      </c>
      <c r="T4180">
        <v>0</v>
      </c>
      <c r="U4180">
        <v>0</v>
      </c>
      <c r="V4180">
        <v>0</v>
      </c>
      <c r="W4180">
        <v>0</v>
      </c>
      <c r="X4180">
        <v>0</v>
      </c>
      <c r="Z4180">
        <v>1</v>
      </c>
      <c r="AA4180">
        <v>0</v>
      </c>
      <c r="AB4180">
        <v>0</v>
      </c>
      <c r="AC4180">
        <v>0</v>
      </c>
      <c r="AD4180" t="s">
        <v>818</v>
      </c>
    </row>
    <row r="4181" spans="1:30" x14ac:dyDescent="0.25">
      <c r="H4181" t="s">
        <v>7584</v>
      </c>
    </row>
    <row r="4182" spans="1:30" x14ac:dyDescent="0.25">
      <c r="A4182">
        <v>2088</v>
      </c>
      <c r="B4182">
        <v>1059</v>
      </c>
      <c r="C4182" t="s">
        <v>7585</v>
      </c>
      <c r="D4182" t="s">
        <v>229</v>
      </c>
      <c r="E4182" t="s">
        <v>51</v>
      </c>
      <c r="F4182" t="s">
        <v>7586</v>
      </c>
      <c r="G4182" t="str">
        <f>"201410007769"</f>
        <v>201410007769</v>
      </c>
      <c r="H4182" t="s">
        <v>818</v>
      </c>
      <c r="I4182">
        <v>0</v>
      </c>
      <c r="J4182">
        <v>0</v>
      </c>
      <c r="K4182">
        <v>0</v>
      </c>
      <c r="L4182">
        <v>0</v>
      </c>
      <c r="M4182">
        <v>0</v>
      </c>
      <c r="N4182">
        <v>0</v>
      </c>
      <c r="O4182">
        <v>0</v>
      </c>
      <c r="P4182">
        <v>0</v>
      </c>
      <c r="Q4182">
        <v>0</v>
      </c>
      <c r="R4182">
        <v>0</v>
      </c>
      <c r="S4182">
        <v>0</v>
      </c>
      <c r="T4182">
        <v>0</v>
      </c>
      <c r="U4182">
        <v>0</v>
      </c>
      <c r="V4182">
        <v>0</v>
      </c>
      <c r="W4182">
        <v>0</v>
      </c>
      <c r="X4182">
        <v>0</v>
      </c>
      <c r="Z4182">
        <v>1</v>
      </c>
      <c r="AA4182">
        <v>0</v>
      </c>
      <c r="AB4182">
        <v>0</v>
      </c>
      <c r="AC4182">
        <v>0</v>
      </c>
      <c r="AD4182" t="s">
        <v>818</v>
      </c>
    </row>
    <row r="4183" spans="1:30" x14ac:dyDescent="0.25">
      <c r="H4183" t="s">
        <v>7587</v>
      </c>
    </row>
    <row r="4184" spans="1:30" x14ac:dyDescent="0.25">
      <c r="A4184">
        <v>2089</v>
      </c>
      <c r="B4184">
        <v>3932</v>
      </c>
      <c r="C4184" t="s">
        <v>2584</v>
      </c>
      <c r="D4184" t="s">
        <v>91</v>
      </c>
      <c r="E4184" t="s">
        <v>162</v>
      </c>
      <c r="F4184" t="s">
        <v>7588</v>
      </c>
      <c r="G4184" t="str">
        <f>"00218951"</f>
        <v>00218951</v>
      </c>
      <c r="H4184" t="s">
        <v>1101</v>
      </c>
      <c r="I4184">
        <v>0</v>
      </c>
      <c r="J4184">
        <v>0</v>
      </c>
      <c r="K4184">
        <v>0</v>
      </c>
      <c r="L4184">
        <v>0</v>
      </c>
      <c r="M4184">
        <v>0</v>
      </c>
      <c r="N4184">
        <v>30</v>
      </c>
      <c r="O4184">
        <v>0</v>
      </c>
      <c r="P4184">
        <v>0</v>
      </c>
      <c r="Q4184">
        <v>0</v>
      </c>
      <c r="R4184">
        <v>0</v>
      </c>
      <c r="S4184">
        <v>0</v>
      </c>
      <c r="T4184">
        <v>0</v>
      </c>
      <c r="U4184">
        <v>0</v>
      </c>
      <c r="V4184">
        <v>7</v>
      </c>
      <c r="W4184">
        <v>49</v>
      </c>
      <c r="X4184">
        <v>0</v>
      </c>
      <c r="Z4184">
        <v>2</v>
      </c>
      <c r="AA4184">
        <v>0</v>
      </c>
      <c r="AB4184">
        <v>0</v>
      </c>
      <c r="AC4184">
        <v>0</v>
      </c>
      <c r="AD4184" t="s">
        <v>7589</v>
      </c>
    </row>
    <row r="4185" spans="1:30" x14ac:dyDescent="0.25">
      <c r="H4185" t="s">
        <v>7590</v>
      </c>
    </row>
    <row r="4186" spans="1:30" x14ac:dyDescent="0.25">
      <c r="A4186">
        <v>2090</v>
      </c>
      <c r="B4186">
        <v>5307</v>
      </c>
      <c r="C4186" t="s">
        <v>3035</v>
      </c>
      <c r="D4186" t="s">
        <v>420</v>
      </c>
      <c r="E4186" t="s">
        <v>183</v>
      </c>
      <c r="F4186" t="s">
        <v>7591</v>
      </c>
      <c r="G4186" t="str">
        <f>"201406015246"</f>
        <v>201406015246</v>
      </c>
      <c r="H4186" t="s">
        <v>3774</v>
      </c>
      <c r="I4186">
        <v>0</v>
      </c>
      <c r="J4186">
        <v>0</v>
      </c>
      <c r="K4186">
        <v>0</v>
      </c>
      <c r="L4186">
        <v>0</v>
      </c>
      <c r="M4186">
        <v>0</v>
      </c>
      <c r="N4186">
        <v>70</v>
      </c>
      <c r="O4186">
        <v>0</v>
      </c>
      <c r="P4186">
        <v>0</v>
      </c>
      <c r="Q4186">
        <v>0</v>
      </c>
      <c r="R4186">
        <v>0</v>
      </c>
      <c r="S4186">
        <v>0</v>
      </c>
      <c r="T4186">
        <v>0</v>
      </c>
      <c r="U4186">
        <v>0</v>
      </c>
      <c r="V4186">
        <v>0</v>
      </c>
      <c r="W4186">
        <v>0</v>
      </c>
      <c r="X4186">
        <v>0</v>
      </c>
      <c r="Z4186">
        <v>0</v>
      </c>
      <c r="AA4186">
        <v>0</v>
      </c>
      <c r="AB4186">
        <v>0</v>
      </c>
      <c r="AC4186">
        <v>0</v>
      </c>
      <c r="AD4186" t="s">
        <v>7592</v>
      </c>
    </row>
    <row r="4187" spans="1:30" x14ac:dyDescent="0.25">
      <c r="H4187" t="s">
        <v>7593</v>
      </c>
    </row>
    <row r="4188" spans="1:30" x14ac:dyDescent="0.25">
      <c r="A4188">
        <v>2091</v>
      </c>
      <c r="B4188">
        <v>5208</v>
      </c>
      <c r="C4188" t="s">
        <v>2864</v>
      </c>
      <c r="D4188" t="s">
        <v>7594</v>
      </c>
      <c r="E4188" t="s">
        <v>40</v>
      </c>
      <c r="F4188" t="s">
        <v>7595</v>
      </c>
      <c r="G4188" t="str">
        <f>"00198042"</f>
        <v>00198042</v>
      </c>
      <c r="H4188" t="s">
        <v>1339</v>
      </c>
      <c r="I4188">
        <v>0</v>
      </c>
      <c r="J4188">
        <v>0</v>
      </c>
      <c r="K4188">
        <v>0</v>
      </c>
      <c r="L4188">
        <v>0</v>
      </c>
      <c r="M4188">
        <v>0</v>
      </c>
      <c r="N4188">
        <v>30</v>
      </c>
      <c r="O4188">
        <v>0</v>
      </c>
      <c r="P4188">
        <v>0</v>
      </c>
      <c r="Q4188">
        <v>0</v>
      </c>
      <c r="R4188">
        <v>0</v>
      </c>
      <c r="S4188">
        <v>0</v>
      </c>
      <c r="T4188">
        <v>0</v>
      </c>
      <c r="U4188">
        <v>0</v>
      </c>
      <c r="V4188">
        <v>9</v>
      </c>
      <c r="W4188">
        <v>63</v>
      </c>
      <c r="X4188">
        <v>0</v>
      </c>
      <c r="Z4188">
        <v>0</v>
      </c>
      <c r="AA4188">
        <v>0</v>
      </c>
      <c r="AB4188">
        <v>0</v>
      </c>
      <c r="AC4188">
        <v>0</v>
      </c>
      <c r="AD4188" t="s">
        <v>7596</v>
      </c>
    </row>
    <row r="4189" spans="1:30" x14ac:dyDescent="0.25">
      <c r="H4189" t="s">
        <v>7597</v>
      </c>
    </row>
    <row r="4190" spans="1:30" x14ac:dyDescent="0.25">
      <c r="A4190">
        <v>2092</v>
      </c>
      <c r="B4190">
        <v>646</v>
      </c>
      <c r="C4190" t="s">
        <v>7598</v>
      </c>
      <c r="D4190" t="s">
        <v>162</v>
      </c>
      <c r="E4190" t="s">
        <v>183</v>
      </c>
      <c r="F4190" t="s">
        <v>7599</v>
      </c>
      <c r="G4190" t="str">
        <f>"00190117"</f>
        <v>00190117</v>
      </c>
      <c r="H4190" t="s">
        <v>933</v>
      </c>
      <c r="I4190">
        <v>0</v>
      </c>
      <c r="J4190">
        <v>0</v>
      </c>
      <c r="K4190">
        <v>0</v>
      </c>
      <c r="L4190">
        <v>0</v>
      </c>
      <c r="M4190">
        <v>0</v>
      </c>
      <c r="N4190">
        <v>50</v>
      </c>
      <c r="O4190">
        <v>0</v>
      </c>
      <c r="P4190">
        <v>0</v>
      </c>
      <c r="Q4190">
        <v>0</v>
      </c>
      <c r="R4190">
        <v>0</v>
      </c>
      <c r="S4190">
        <v>0</v>
      </c>
      <c r="T4190">
        <v>0</v>
      </c>
      <c r="U4190">
        <v>0</v>
      </c>
      <c r="V4190">
        <v>0</v>
      </c>
      <c r="W4190">
        <v>0</v>
      </c>
      <c r="X4190">
        <v>0</v>
      </c>
      <c r="Z4190">
        <v>0</v>
      </c>
      <c r="AA4190">
        <v>0</v>
      </c>
      <c r="AB4190">
        <v>0</v>
      </c>
      <c r="AC4190">
        <v>0</v>
      </c>
      <c r="AD4190" t="s">
        <v>7600</v>
      </c>
    </row>
    <row r="4191" spans="1:30" x14ac:dyDescent="0.25">
      <c r="H4191" t="s">
        <v>6993</v>
      </c>
    </row>
    <row r="4192" spans="1:30" x14ac:dyDescent="0.25">
      <c r="A4192">
        <v>2093</v>
      </c>
      <c r="B4192">
        <v>2034</v>
      </c>
      <c r="C4192" t="s">
        <v>7601</v>
      </c>
      <c r="D4192" t="s">
        <v>182</v>
      </c>
      <c r="E4192" t="s">
        <v>162</v>
      </c>
      <c r="F4192" t="s">
        <v>7602</v>
      </c>
      <c r="G4192" t="str">
        <f>"00167613"</f>
        <v>00167613</v>
      </c>
      <c r="H4192" t="s">
        <v>933</v>
      </c>
      <c r="I4192">
        <v>0</v>
      </c>
      <c r="J4192">
        <v>0</v>
      </c>
      <c r="K4192">
        <v>0</v>
      </c>
      <c r="L4192">
        <v>0</v>
      </c>
      <c r="M4192">
        <v>0</v>
      </c>
      <c r="N4192">
        <v>50</v>
      </c>
      <c r="O4192">
        <v>0</v>
      </c>
      <c r="P4192">
        <v>0</v>
      </c>
      <c r="Q4192">
        <v>0</v>
      </c>
      <c r="R4192">
        <v>0</v>
      </c>
      <c r="S4192">
        <v>0</v>
      </c>
      <c r="T4192">
        <v>0</v>
      </c>
      <c r="U4192">
        <v>0</v>
      </c>
      <c r="V4192">
        <v>0</v>
      </c>
      <c r="W4192">
        <v>0</v>
      </c>
      <c r="X4192">
        <v>0</v>
      </c>
      <c r="Z4192">
        <v>0</v>
      </c>
      <c r="AA4192">
        <v>0</v>
      </c>
      <c r="AB4192">
        <v>0</v>
      </c>
      <c r="AC4192">
        <v>0</v>
      </c>
      <c r="AD4192" t="s">
        <v>7600</v>
      </c>
    </row>
    <row r="4193" spans="1:30" x14ac:dyDescent="0.25">
      <c r="H4193" t="s">
        <v>521</v>
      </c>
    </row>
    <row r="4194" spans="1:30" x14ac:dyDescent="0.25">
      <c r="A4194">
        <v>2094</v>
      </c>
      <c r="B4194">
        <v>4431</v>
      </c>
      <c r="C4194" t="s">
        <v>7603</v>
      </c>
      <c r="D4194" t="s">
        <v>140</v>
      </c>
      <c r="E4194" t="s">
        <v>51</v>
      </c>
      <c r="F4194" t="s">
        <v>7604</v>
      </c>
      <c r="G4194" t="str">
        <f>"00185688"</f>
        <v>00185688</v>
      </c>
      <c r="H4194" t="s">
        <v>123</v>
      </c>
      <c r="I4194">
        <v>0</v>
      </c>
      <c r="J4194">
        <v>0</v>
      </c>
      <c r="K4194">
        <v>0</v>
      </c>
      <c r="L4194">
        <v>0</v>
      </c>
      <c r="M4194">
        <v>0</v>
      </c>
      <c r="N4194">
        <v>30</v>
      </c>
      <c r="O4194">
        <v>0</v>
      </c>
      <c r="P4194">
        <v>0</v>
      </c>
      <c r="Q4194">
        <v>0</v>
      </c>
      <c r="R4194">
        <v>0</v>
      </c>
      <c r="S4194">
        <v>0</v>
      </c>
      <c r="T4194">
        <v>0</v>
      </c>
      <c r="U4194">
        <v>0</v>
      </c>
      <c r="V4194">
        <v>0</v>
      </c>
      <c r="W4194">
        <v>0</v>
      </c>
      <c r="X4194">
        <v>0</v>
      </c>
      <c r="Z4194">
        <v>0</v>
      </c>
      <c r="AA4194">
        <v>0</v>
      </c>
      <c r="AB4194">
        <v>0</v>
      </c>
      <c r="AC4194">
        <v>0</v>
      </c>
      <c r="AD4194" t="s">
        <v>7605</v>
      </c>
    </row>
    <row r="4195" spans="1:30" x14ac:dyDescent="0.25">
      <c r="H4195" t="s">
        <v>7606</v>
      </c>
    </row>
    <row r="4196" spans="1:30" x14ac:dyDescent="0.25">
      <c r="A4196">
        <v>2095</v>
      </c>
      <c r="B4196">
        <v>3662</v>
      </c>
      <c r="C4196" t="s">
        <v>7607</v>
      </c>
      <c r="D4196" t="s">
        <v>7608</v>
      </c>
      <c r="E4196" t="s">
        <v>40</v>
      </c>
      <c r="F4196" t="s">
        <v>7609</v>
      </c>
      <c r="G4196" t="str">
        <f>"00363418"</f>
        <v>00363418</v>
      </c>
      <c r="H4196" t="s">
        <v>1251</v>
      </c>
      <c r="I4196">
        <v>0</v>
      </c>
      <c r="J4196">
        <v>0</v>
      </c>
      <c r="K4196">
        <v>0</v>
      </c>
      <c r="L4196">
        <v>0</v>
      </c>
      <c r="M4196">
        <v>0</v>
      </c>
      <c r="N4196">
        <v>70</v>
      </c>
      <c r="O4196">
        <v>0</v>
      </c>
      <c r="P4196">
        <v>0</v>
      </c>
      <c r="Q4196">
        <v>0</v>
      </c>
      <c r="R4196">
        <v>0</v>
      </c>
      <c r="S4196">
        <v>0</v>
      </c>
      <c r="T4196">
        <v>0</v>
      </c>
      <c r="U4196">
        <v>0</v>
      </c>
      <c r="V4196">
        <v>0</v>
      </c>
      <c r="W4196">
        <v>0</v>
      </c>
      <c r="X4196">
        <v>0</v>
      </c>
      <c r="Z4196">
        <v>0</v>
      </c>
      <c r="AA4196">
        <v>0</v>
      </c>
      <c r="AB4196">
        <v>0</v>
      </c>
      <c r="AC4196">
        <v>0</v>
      </c>
      <c r="AD4196" t="s">
        <v>7610</v>
      </c>
    </row>
    <row r="4197" spans="1:30" x14ac:dyDescent="0.25">
      <c r="H4197" t="s">
        <v>7611</v>
      </c>
    </row>
    <row r="4198" spans="1:30" x14ac:dyDescent="0.25">
      <c r="A4198">
        <v>2096</v>
      </c>
      <c r="B4198">
        <v>2752</v>
      </c>
      <c r="C4198" t="s">
        <v>7612</v>
      </c>
      <c r="D4198" t="s">
        <v>509</v>
      </c>
      <c r="E4198" t="s">
        <v>162</v>
      </c>
      <c r="F4198" t="s">
        <v>7613</v>
      </c>
      <c r="G4198" t="str">
        <f>"00299279"</f>
        <v>00299279</v>
      </c>
      <c r="H4198">
        <v>715</v>
      </c>
      <c r="I4198">
        <v>0</v>
      </c>
      <c r="J4198">
        <v>0</v>
      </c>
      <c r="K4198">
        <v>0</v>
      </c>
      <c r="L4198">
        <v>0</v>
      </c>
      <c r="M4198">
        <v>0</v>
      </c>
      <c r="N4198">
        <v>50</v>
      </c>
      <c r="O4198">
        <v>0</v>
      </c>
      <c r="P4198">
        <v>0</v>
      </c>
      <c r="Q4198">
        <v>0</v>
      </c>
      <c r="R4198">
        <v>0</v>
      </c>
      <c r="S4198">
        <v>0</v>
      </c>
      <c r="T4198">
        <v>0</v>
      </c>
      <c r="U4198">
        <v>0</v>
      </c>
      <c r="V4198">
        <v>0</v>
      </c>
      <c r="W4198">
        <v>0</v>
      </c>
      <c r="X4198">
        <v>0</v>
      </c>
      <c r="Z4198">
        <v>0</v>
      </c>
      <c r="AA4198">
        <v>0</v>
      </c>
      <c r="AB4198">
        <v>0</v>
      </c>
      <c r="AC4198">
        <v>0</v>
      </c>
      <c r="AD4198">
        <v>765</v>
      </c>
    </row>
    <row r="4199" spans="1:30" x14ac:dyDescent="0.25">
      <c r="H4199" t="s">
        <v>7614</v>
      </c>
    </row>
    <row r="4200" spans="1:30" x14ac:dyDescent="0.25">
      <c r="A4200">
        <v>2097</v>
      </c>
      <c r="B4200">
        <v>5202</v>
      </c>
      <c r="C4200" t="s">
        <v>7615</v>
      </c>
      <c r="D4200" t="s">
        <v>335</v>
      </c>
      <c r="E4200" t="s">
        <v>1292</v>
      </c>
      <c r="F4200" t="s">
        <v>7616</v>
      </c>
      <c r="G4200" t="str">
        <f>"00006258"</f>
        <v>00006258</v>
      </c>
      <c r="H4200" t="s">
        <v>672</v>
      </c>
      <c r="I4200">
        <v>0</v>
      </c>
      <c r="J4200">
        <v>0</v>
      </c>
      <c r="K4200">
        <v>0</v>
      </c>
      <c r="L4200">
        <v>0</v>
      </c>
      <c r="M4200">
        <v>0</v>
      </c>
      <c r="N4200">
        <v>30</v>
      </c>
      <c r="O4200">
        <v>0</v>
      </c>
      <c r="P4200">
        <v>0</v>
      </c>
      <c r="Q4200">
        <v>0</v>
      </c>
      <c r="R4200">
        <v>0</v>
      </c>
      <c r="S4200">
        <v>0</v>
      </c>
      <c r="T4200">
        <v>0</v>
      </c>
      <c r="U4200">
        <v>0</v>
      </c>
      <c r="V4200">
        <v>0</v>
      </c>
      <c r="W4200">
        <v>0</v>
      </c>
      <c r="X4200">
        <v>0</v>
      </c>
      <c r="Z4200">
        <v>0</v>
      </c>
      <c r="AA4200">
        <v>0</v>
      </c>
      <c r="AB4200">
        <v>0</v>
      </c>
      <c r="AC4200">
        <v>0</v>
      </c>
      <c r="AD4200" t="s">
        <v>7617</v>
      </c>
    </row>
    <row r="4201" spans="1:30" x14ac:dyDescent="0.25">
      <c r="H4201" t="s">
        <v>1229</v>
      </c>
    </row>
    <row r="4202" spans="1:30" x14ac:dyDescent="0.25">
      <c r="A4202">
        <v>2098</v>
      </c>
      <c r="B4202">
        <v>762</v>
      </c>
      <c r="C4202" t="s">
        <v>7618</v>
      </c>
      <c r="D4202" t="s">
        <v>183</v>
      </c>
      <c r="E4202" t="s">
        <v>40</v>
      </c>
      <c r="F4202" t="s">
        <v>7619</v>
      </c>
      <c r="G4202" t="str">
        <f>"00176069"</f>
        <v>00176069</v>
      </c>
      <c r="H4202" t="s">
        <v>672</v>
      </c>
      <c r="I4202">
        <v>0</v>
      </c>
      <c r="J4202">
        <v>0</v>
      </c>
      <c r="K4202">
        <v>0</v>
      </c>
      <c r="L4202">
        <v>0</v>
      </c>
      <c r="M4202">
        <v>0</v>
      </c>
      <c r="N4202">
        <v>30</v>
      </c>
      <c r="O4202">
        <v>0</v>
      </c>
      <c r="P4202">
        <v>0</v>
      </c>
      <c r="Q4202">
        <v>0</v>
      </c>
      <c r="R4202">
        <v>0</v>
      </c>
      <c r="S4202">
        <v>0</v>
      </c>
      <c r="T4202">
        <v>0</v>
      </c>
      <c r="U4202">
        <v>0</v>
      </c>
      <c r="V4202">
        <v>0</v>
      </c>
      <c r="W4202">
        <v>0</v>
      </c>
      <c r="X4202">
        <v>0</v>
      </c>
      <c r="Z4202">
        <v>0</v>
      </c>
      <c r="AA4202">
        <v>0</v>
      </c>
      <c r="AB4202">
        <v>0</v>
      </c>
      <c r="AC4202">
        <v>0</v>
      </c>
      <c r="AD4202" t="s">
        <v>7617</v>
      </c>
    </row>
    <row r="4203" spans="1:30" x14ac:dyDescent="0.25">
      <c r="H4203" t="s">
        <v>7620</v>
      </c>
    </row>
    <row r="4204" spans="1:30" x14ac:dyDescent="0.25">
      <c r="A4204">
        <v>2099</v>
      </c>
      <c r="B4204">
        <v>3291</v>
      </c>
      <c r="C4204" t="s">
        <v>7621</v>
      </c>
      <c r="D4204" t="s">
        <v>7622</v>
      </c>
      <c r="E4204" t="s">
        <v>7623</v>
      </c>
      <c r="F4204" t="s">
        <v>7624</v>
      </c>
      <c r="G4204" t="str">
        <f>"00371221"</f>
        <v>00371221</v>
      </c>
      <c r="H4204" t="s">
        <v>1235</v>
      </c>
      <c r="I4204">
        <v>0</v>
      </c>
      <c r="J4204">
        <v>0</v>
      </c>
      <c r="K4204">
        <v>0</v>
      </c>
      <c r="L4204">
        <v>0</v>
      </c>
      <c r="M4204">
        <v>0</v>
      </c>
      <c r="N4204">
        <v>30</v>
      </c>
      <c r="O4204">
        <v>0</v>
      </c>
      <c r="P4204">
        <v>30</v>
      </c>
      <c r="Q4204">
        <v>0</v>
      </c>
      <c r="R4204">
        <v>0</v>
      </c>
      <c r="S4204">
        <v>0</v>
      </c>
      <c r="T4204">
        <v>0</v>
      </c>
      <c r="U4204">
        <v>0</v>
      </c>
      <c r="V4204">
        <v>5</v>
      </c>
      <c r="W4204">
        <v>35</v>
      </c>
      <c r="X4204">
        <v>0</v>
      </c>
      <c r="Z4204">
        <v>2</v>
      </c>
      <c r="AA4204">
        <v>0</v>
      </c>
      <c r="AB4204">
        <v>0</v>
      </c>
      <c r="AC4204">
        <v>0</v>
      </c>
      <c r="AD4204" t="s">
        <v>7625</v>
      </c>
    </row>
    <row r="4205" spans="1:30" x14ac:dyDescent="0.25">
      <c r="H4205" t="s">
        <v>7626</v>
      </c>
    </row>
    <row r="4206" spans="1:30" x14ac:dyDescent="0.25">
      <c r="A4206">
        <v>2100</v>
      </c>
      <c r="B4206">
        <v>1872</v>
      </c>
      <c r="C4206" t="s">
        <v>5694</v>
      </c>
      <c r="D4206" t="s">
        <v>661</v>
      </c>
      <c r="E4206" t="s">
        <v>79</v>
      </c>
      <c r="F4206" t="s">
        <v>7627</v>
      </c>
      <c r="G4206" t="str">
        <f>"00321861"</f>
        <v>00321861</v>
      </c>
      <c r="H4206" t="s">
        <v>293</v>
      </c>
      <c r="I4206">
        <v>0</v>
      </c>
      <c r="J4206">
        <v>0</v>
      </c>
      <c r="K4206">
        <v>0</v>
      </c>
      <c r="L4206">
        <v>0</v>
      </c>
      <c r="M4206">
        <v>0</v>
      </c>
      <c r="N4206">
        <v>30</v>
      </c>
      <c r="O4206">
        <v>0</v>
      </c>
      <c r="P4206">
        <v>0</v>
      </c>
      <c r="Q4206">
        <v>0</v>
      </c>
      <c r="R4206">
        <v>0</v>
      </c>
      <c r="S4206">
        <v>0</v>
      </c>
      <c r="T4206">
        <v>0</v>
      </c>
      <c r="U4206">
        <v>0</v>
      </c>
      <c r="V4206">
        <v>0</v>
      </c>
      <c r="W4206">
        <v>0</v>
      </c>
      <c r="X4206">
        <v>0</v>
      </c>
      <c r="Z4206">
        <v>2</v>
      </c>
      <c r="AA4206">
        <v>0</v>
      </c>
      <c r="AB4206">
        <v>0</v>
      </c>
      <c r="AC4206">
        <v>0</v>
      </c>
      <c r="AD4206" t="s">
        <v>7628</v>
      </c>
    </row>
    <row r="4207" spans="1:30" x14ac:dyDescent="0.25">
      <c r="H4207" t="s">
        <v>7629</v>
      </c>
    </row>
    <row r="4208" spans="1:30" x14ac:dyDescent="0.25">
      <c r="A4208">
        <v>2101</v>
      </c>
      <c r="B4208">
        <v>2813</v>
      </c>
      <c r="C4208" t="s">
        <v>7630</v>
      </c>
      <c r="D4208" t="s">
        <v>107</v>
      </c>
      <c r="E4208" t="s">
        <v>1039</v>
      </c>
      <c r="F4208" t="s">
        <v>7631</v>
      </c>
      <c r="G4208" t="str">
        <f>"00337631"</f>
        <v>00337631</v>
      </c>
      <c r="H4208" t="s">
        <v>436</v>
      </c>
      <c r="I4208">
        <v>0</v>
      </c>
      <c r="J4208">
        <v>0</v>
      </c>
      <c r="K4208">
        <v>0</v>
      </c>
      <c r="L4208">
        <v>0</v>
      </c>
      <c r="M4208">
        <v>0</v>
      </c>
      <c r="N4208">
        <v>0</v>
      </c>
      <c r="O4208">
        <v>0</v>
      </c>
      <c r="P4208">
        <v>0</v>
      </c>
      <c r="Q4208">
        <v>0</v>
      </c>
      <c r="R4208">
        <v>0</v>
      </c>
      <c r="S4208">
        <v>0</v>
      </c>
      <c r="T4208">
        <v>0</v>
      </c>
      <c r="U4208">
        <v>0</v>
      </c>
      <c r="V4208">
        <v>14</v>
      </c>
      <c r="W4208">
        <v>98</v>
      </c>
      <c r="X4208">
        <v>0</v>
      </c>
      <c r="Z4208">
        <v>0</v>
      </c>
      <c r="AA4208">
        <v>0</v>
      </c>
      <c r="AB4208">
        <v>0</v>
      </c>
      <c r="AC4208">
        <v>0</v>
      </c>
      <c r="AD4208" t="s">
        <v>7632</v>
      </c>
    </row>
    <row r="4209" spans="1:30" x14ac:dyDescent="0.25">
      <c r="H4209" t="s">
        <v>7633</v>
      </c>
    </row>
    <row r="4210" spans="1:30" x14ac:dyDescent="0.25">
      <c r="A4210">
        <v>2102</v>
      </c>
      <c r="B4210">
        <v>5315</v>
      </c>
      <c r="C4210" t="s">
        <v>7634</v>
      </c>
      <c r="D4210" t="s">
        <v>182</v>
      </c>
      <c r="E4210" t="s">
        <v>282</v>
      </c>
      <c r="F4210" t="s">
        <v>7635</v>
      </c>
      <c r="G4210" t="str">
        <f>"201411000069"</f>
        <v>201411000069</v>
      </c>
      <c r="H4210" t="s">
        <v>3441</v>
      </c>
      <c r="I4210">
        <v>0</v>
      </c>
      <c r="J4210">
        <v>0</v>
      </c>
      <c r="K4210">
        <v>0</v>
      </c>
      <c r="L4210">
        <v>0</v>
      </c>
      <c r="M4210">
        <v>0</v>
      </c>
      <c r="N4210">
        <v>30</v>
      </c>
      <c r="O4210">
        <v>0</v>
      </c>
      <c r="P4210">
        <v>0</v>
      </c>
      <c r="Q4210">
        <v>0</v>
      </c>
      <c r="R4210">
        <v>0</v>
      </c>
      <c r="S4210">
        <v>0</v>
      </c>
      <c r="T4210">
        <v>0</v>
      </c>
      <c r="U4210">
        <v>0</v>
      </c>
      <c r="V4210">
        <v>6</v>
      </c>
      <c r="W4210">
        <v>42</v>
      </c>
      <c r="X4210">
        <v>0</v>
      </c>
      <c r="Z4210">
        <v>0</v>
      </c>
      <c r="AA4210">
        <v>0</v>
      </c>
      <c r="AB4210">
        <v>0</v>
      </c>
      <c r="AC4210">
        <v>0</v>
      </c>
      <c r="AD4210" t="s">
        <v>7636</v>
      </c>
    </row>
    <row r="4211" spans="1:30" x14ac:dyDescent="0.25">
      <c r="H4211" t="s">
        <v>5668</v>
      </c>
    </row>
    <row r="4212" spans="1:30" x14ac:dyDescent="0.25">
      <c r="A4212">
        <v>2103</v>
      </c>
      <c r="B4212">
        <v>4401</v>
      </c>
      <c r="C4212" t="s">
        <v>7637</v>
      </c>
      <c r="D4212" t="s">
        <v>7638</v>
      </c>
      <c r="E4212" t="s">
        <v>290</v>
      </c>
      <c r="F4212" t="s">
        <v>7639</v>
      </c>
      <c r="G4212" t="str">
        <f>"00085627"</f>
        <v>00085627</v>
      </c>
      <c r="H4212" t="s">
        <v>3441</v>
      </c>
      <c r="I4212">
        <v>0</v>
      </c>
      <c r="J4212">
        <v>0</v>
      </c>
      <c r="K4212">
        <v>0</v>
      </c>
      <c r="L4212">
        <v>0</v>
      </c>
      <c r="M4212">
        <v>0</v>
      </c>
      <c r="N4212">
        <v>30</v>
      </c>
      <c r="O4212">
        <v>0</v>
      </c>
      <c r="P4212">
        <v>0</v>
      </c>
      <c r="Q4212">
        <v>0</v>
      </c>
      <c r="R4212">
        <v>0</v>
      </c>
      <c r="S4212">
        <v>0</v>
      </c>
      <c r="T4212">
        <v>0</v>
      </c>
      <c r="U4212">
        <v>0</v>
      </c>
      <c r="V4212">
        <v>6</v>
      </c>
      <c r="W4212">
        <v>42</v>
      </c>
      <c r="X4212">
        <v>0</v>
      </c>
      <c r="Z4212">
        <v>0</v>
      </c>
      <c r="AA4212">
        <v>0</v>
      </c>
      <c r="AB4212">
        <v>0</v>
      </c>
      <c r="AC4212">
        <v>0</v>
      </c>
      <c r="AD4212" t="s">
        <v>7636</v>
      </c>
    </row>
    <row r="4213" spans="1:30" x14ac:dyDescent="0.25">
      <c r="H4213" t="s">
        <v>7640</v>
      </c>
    </row>
    <row r="4214" spans="1:30" x14ac:dyDescent="0.25">
      <c r="A4214">
        <v>2104</v>
      </c>
      <c r="B4214">
        <v>794</v>
      </c>
      <c r="C4214" t="s">
        <v>7641</v>
      </c>
      <c r="D4214" t="s">
        <v>1343</v>
      </c>
      <c r="E4214" t="s">
        <v>468</v>
      </c>
      <c r="F4214" t="s">
        <v>7642</v>
      </c>
      <c r="G4214" t="str">
        <f>"00291754"</f>
        <v>00291754</v>
      </c>
      <c r="H4214" t="s">
        <v>3441</v>
      </c>
      <c r="I4214">
        <v>0</v>
      </c>
      <c r="J4214">
        <v>0</v>
      </c>
      <c r="K4214">
        <v>0</v>
      </c>
      <c r="L4214">
        <v>0</v>
      </c>
      <c r="M4214">
        <v>0</v>
      </c>
      <c r="N4214">
        <v>30</v>
      </c>
      <c r="O4214">
        <v>0</v>
      </c>
      <c r="P4214">
        <v>0</v>
      </c>
      <c r="Q4214">
        <v>0</v>
      </c>
      <c r="R4214">
        <v>0</v>
      </c>
      <c r="S4214">
        <v>0</v>
      </c>
      <c r="T4214">
        <v>0</v>
      </c>
      <c r="U4214">
        <v>0</v>
      </c>
      <c r="V4214">
        <v>6</v>
      </c>
      <c r="W4214">
        <v>42</v>
      </c>
      <c r="X4214">
        <v>0</v>
      </c>
      <c r="Z4214">
        <v>1</v>
      </c>
      <c r="AA4214">
        <v>0</v>
      </c>
      <c r="AB4214">
        <v>0</v>
      </c>
      <c r="AC4214">
        <v>0</v>
      </c>
      <c r="AD4214" t="s">
        <v>7636</v>
      </c>
    </row>
    <row r="4215" spans="1:30" x14ac:dyDescent="0.25">
      <c r="H4215" t="s">
        <v>7643</v>
      </c>
    </row>
    <row r="4216" spans="1:30" x14ac:dyDescent="0.25">
      <c r="A4216">
        <v>2105</v>
      </c>
      <c r="B4216">
        <v>5830</v>
      </c>
      <c r="C4216" t="s">
        <v>7644</v>
      </c>
      <c r="D4216" t="s">
        <v>183</v>
      </c>
      <c r="E4216" t="s">
        <v>378</v>
      </c>
      <c r="F4216" t="s">
        <v>7645</v>
      </c>
      <c r="G4216" t="str">
        <f>"201405001810"</f>
        <v>201405001810</v>
      </c>
      <c r="H4216" t="s">
        <v>1371</v>
      </c>
      <c r="I4216">
        <v>0</v>
      </c>
      <c r="J4216">
        <v>0</v>
      </c>
      <c r="K4216">
        <v>0</v>
      </c>
      <c r="L4216">
        <v>0</v>
      </c>
      <c r="M4216">
        <v>0</v>
      </c>
      <c r="N4216">
        <v>0</v>
      </c>
      <c r="O4216">
        <v>0</v>
      </c>
      <c r="P4216">
        <v>0</v>
      </c>
      <c r="Q4216">
        <v>0</v>
      </c>
      <c r="R4216">
        <v>0</v>
      </c>
      <c r="S4216">
        <v>0</v>
      </c>
      <c r="T4216">
        <v>0</v>
      </c>
      <c r="U4216">
        <v>0</v>
      </c>
      <c r="V4216">
        <v>0</v>
      </c>
      <c r="W4216">
        <v>0</v>
      </c>
      <c r="X4216">
        <v>0</v>
      </c>
      <c r="Z4216">
        <v>0</v>
      </c>
      <c r="AA4216">
        <v>0</v>
      </c>
      <c r="AB4216">
        <v>0</v>
      </c>
      <c r="AC4216">
        <v>0</v>
      </c>
      <c r="AD4216" t="s">
        <v>1371</v>
      </c>
    </row>
    <row r="4217" spans="1:30" x14ac:dyDescent="0.25">
      <c r="H4217" t="s">
        <v>1852</v>
      </c>
    </row>
    <row r="4218" spans="1:30" x14ac:dyDescent="0.25">
      <c r="A4218">
        <v>2106</v>
      </c>
      <c r="B4218">
        <v>3604</v>
      </c>
      <c r="C4218" t="s">
        <v>3731</v>
      </c>
      <c r="D4218" t="s">
        <v>2092</v>
      </c>
      <c r="E4218" t="s">
        <v>151</v>
      </c>
      <c r="F4218" t="s">
        <v>7646</v>
      </c>
      <c r="G4218" t="str">
        <f>"201604003358"</f>
        <v>201604003358</v>
      </c>
      <c r="H4218" t="s">
        <v>1371</v>
      </c>
      <c r="I4218">
        <v>0</v>
      </c>
      <c r="J4218">
        <v>0</v>
      </c>
      <c r="K4218">
        <v>0</v>
      </c>
      <c r="L4218">
        <v>0</v>
      </c>
      <c r="M4218">
        <v>0</v>
      </c>
      <c r="N4218">
        <v>0</v>
      </c>
      <c r="O4218">
        <v>0</v>
      </c>
      <c r="P4218">
        <v>0</v>
      </c>
      <c r="Q4218">
        <v>0</v>
      </c>
      <c r="R4218">
        <v>0</v>
      </c>
      <c r="S4218">
        <v>0</v>
      </c>
      <c r="T4218">
        <v>0</v>
      </c>
      <c r="U4218">
        <v>0</v>
      </c>
      <c r="V4218">
        <v>0</v>
      </c>
      <c r="W4218">
        <v>0</v>
      </c>
      <c r="X4218">
        <v>0</v>
      </c>
      <c r="Z4218">
        <v>0</v>
      </c>
      <c r="AA4218">
        <v>0</v>
      </c>
      <c r="AB4218">
        <v>0</v>
      </c>
      <c r="AC4218">
        <v>0</v>
      </c>
      <c r="AD4218" t="s">
        <v>1371</v>
      </c>
    </row>
    <row r="4219" spans="1:30" x14ac:dyDescent="0.25">
      <c r="H4219" t="s">
        <v>7647</v>
      </c>
    </row>
    <row r="4220" spans="1:30" x14ac:dyDescent="0.25">
      <c r="A4220">
        <v>2107</v>
      </c>
      <c r="B4220">
        <v>4939</v>
      </c>
      <c r="C4220" t="s">
        <v>3574</v>
      </c>
      <c r="D4220" t="s">
        <v>661</v>
      </c>
      <c r="E4220" t="s">
        <v>238</v>
      </c>
      <c r="F4220" t="s">
        <v>7648</v>
      </c>
      <c r="G4220" t="str">
        <f>"00358222"</f>
        <v>00358222</v>
      </c>
      <c r="H4220" t="s">
        <v>1371</v>
      </c>
      <c r="I4220">
        <v>0</v>
      </c>
      <c r="J4220">
        <v>0</v>
      </c>
      <c r="K4220">
        <v>0</v>
      </c>
      <c r="L4220">
        <v>0</v>
      </c>
      <c r="M4220">
        <v>0</v>
      </c>
      <c r="N4220">
        <v>0</v>
      </c>
      <c r="O4220">
        <v>0</v>
      </c>
      <c r="P4220">
        <v>0</v>
      </c>
      <c r="Q4220">
        <v>0</v>
      </c>
      <c r="R4220">
        <v>0</v>
      </c>
      <c r="S4220">
        <v>0</v>
      </c>
      <c r="T4220">
        <v>0</v>
      </c>
      <c r="U4220">
        <v>0</v>
      </c>
      <c r="V4220">
        <v>0</v>
      </c>
      <c r="W4220">
        <v>0</v>
      </c>
      <c r="X4220">
        <v>0</v>
      </c>
      <c r="Z4220">
        <v>0</v>
      </c>
      <c r="AA4220">
        <v>0</v>
      </c>
      <c r="AB4220">
        <v>0</v>
      </c>
      <c r="AC4220">
        <v>0</v>
      </c>
      <c r="AD4220" t="s">
        <v>1371</v>
      </c>
    </row>
    <row r="4221" spans="1:30" x14ac:dyDescent="0.25">
      <c r="H4221" t="s">
        <v>7649</v>
      </c>
    </row>
    <row r="4222" spans="1:30" x14ac:dyDescent="0.25">
      <c r="A4222">
        <v>2108</v>
      </c>
      <c r="B4222">
        <v>4734</v>
      </c>
      <c r="C4222" t="s">
        <v>7650</v>
      </c>
      <c r="D4222" t="s">
        <v>494</v>
      </c>
      <c r="E4222" t="s">
        <v>40</v>
      </c>
      <c r="F4222" t="s">
        <v>7651</v>
      </c>
      <c r="G4222" t="str">
        <f>"00354954"</f>
        <v>00354954</v>
      </c>
      <c r="H4222">
        <v>682</v>
      </c>
      <c r="I4222">
        <v>0</v>
      </c>
      <c r="J4222">
        <v>0</v>
      </c>
      <c r="K4222">
        <v>0</v>
      </c>
      <c r="L4222">
        <v>0</v>
      </c>
      <c r="M4222">
        <v>0</v>
      </c>
      <c r="N4222">
        <v>0</v>
      </c>
      <c r="O4222">
        <v>0</v>
      </c>
      <c r="P4222">
        <v>0</v>
      </c>
      <c r="Q4222">
        <v>0</v>
      </c>
      <c r="R4222">
        <v>0</v>
      </c>
      <c r="S4222">
        <v>0</v>
      </c>
      <c r="T4222">
        <v>0</v>
      </c>
      <c r="U4222">
        <v>0</v>
      </c>
      <c r="V4222">
        <v>-8</v>
      </c>
      <c r="W4222">
        <v>-56</v>
      </c>
      <c r="X4222">
        <v>0</v>
      </c>
      <c r="Z4222">
        <v>0</v>
      </c>
      <c r="AA4222">
        <v>0</v>
      </c>
      <c r="AB4222">
        <v>8</v>
      </c>
      <c r="AC4222">
        <v>136</v>
      </c>
      <c r="AD4222">
        <v>762</v>
      </c>
    </row>
    <row r="4223" spans="1:30" x14ac:dyDescent="0.25">
      <c r="H4223" t="s">
        <v>7652</v>
      </c>
    </row>
    <row r="4224" spans="1:30" x14ac:dyDescent="0.25">
      <c r="A4224">
        <v>2109</v>
      </c>
      <c r="B4224">
        <v>5008</v>
      </c>
      <c r="C4224" t="s">
        <v>7653</v>
      </c>
      <c r="D4224" t="s">
        <v>51</v>
      </c>
      <c r="E4224" t="s">
        <v>40</v>
      </c>
      <c r="F4224" t="s">
        <v>7654</v>
      </c>
      <c r="G4224" t="str">
        <f>"00364061"</f>
        <v>00364061</v>
      </c>
      <c r="H4224">
        <v>594</v>
      </c>
      <c r="I4224">
        <v>0</v>
      </c>
      <c r="J4224">
        <v>0</v>
      </c>
      <c r="K4224">
        <v>0</v>
      </c>
      <c r="L4224">
        <v>0</v>
      </c>
      <c r="M4224">
        <v>0</v>
      </c>
      <c r="N4224">
        <v>0</v>
      </c>
      <c r="O4224">
        <v>0</v>
      </c>
      <c r="P4224">
        <v>0</v>
      </c>
      <c r="Q4224">
        <v>0</v>
      </c>
      <c r="R4224">
        <v>0</v>
      </c>
      <c r="S4224">
        <v>0</v>
      </c>
      <c r="T4224">
        <v>0</v>
      </c>
      <c r="U4224">
        <v>0</v>
      </c>
      <c r="V4224">
        <v>24</v>
      </c>
      <c r="W4224">
        <v>168</v>
      </c>
      <c r="X4224">
        <v>0</v>
      </c>
      <c r="Z4224">
        <v>0</v>
      </c>
      <c r="AA4224">
        <v>0</v>
      </c>
      <c r="AB4224">
        <v>0</v>
      </c>
      <c r="AC4224">
        <v>0</v>
      </c>
      <c r="AD4224">
        <v>762</v>
      </c>
    </row>
    <row r="4225" spans="1:30" x14ac:dyDescent="0.25">
      <c r="H4225" t="s">
        <v>7655</v>
      </c>
    </row>
    <row r="4226" spans="1:30" x14ac:dyDescent="0.25">
      <c r="A4226">
        <v>2110</v>
      </c>
      <c r="B4226">
        <v>5936</v>
      </c>
      <c r="C4226" t="s">
        <v>7656</v>
      </c>
      <c r="D4226" t="s">
        <v>51</v>
      </c>
      <c r="E4226" t="s">
        <v>115</v>
      </c>
      <c r="F4226" t="s">
        <v>7657</v>
      </c>
      <c r="G4226" t="str">
        <f>"00146795"</f>
        <v>00146795</v>
      </c>
      <c r="H4226" t="s">
        <v>3427</v>
      </c>
      <c r="I4226">
        <v>0</v>
      </c>
      <c r="J4226">
        <v>0</v>
      </c>
      <c r="K4226">
        <v>0</v>
      </c>
      <c r="L4226">
        <v>0</v>
      </c>
      <c r="M4226">
        <v>0</v>
      </c>
      <c r="N4226">
        <v>70</v>
      </c>
      <c r="O4226">
        <v>0</v>
      </c>
      <c r="P4226">
        <v>0</v>
      </c>
      <c r="Q4226">
        <v>0</v>
      </c>
      <c r="R4226">
        <v>0</v>
      </c>
      <c r="S4226">
        <v>0</v>
      </c>
      <c r="T4226">
        <v>0</v>
      </c>
      <c r="U4226">
        <v>0</v>
      </c>
      <c r="V4226">
        <v>0</v>
      </c>
      <c r="W4226">
        <v>0</v>
      </c>
      <c r="X4226">
        <v>0</v>
      </c>
      <c r="Z4226">
        <v>0</v>
      </c>
      <c r="AA4226">
        <v>0</v>
      </c>
      <c r="AB4226">
        <v>0</v>
      </c>
      <c r="AC4226">
        <v>0</v>
      </c>
      <c r="AD4226" t="s">
        <v>7658</v>
      </c>
    </row>
    <row r="4227" spans="1:30" x14ac:dyDescent="0.25">
      <c r="H4227" t="s">
        <v>7659</v>
      </c>
    </row>
    <row r="4228" spans="1:30" x14ac:dyDescent="0.25">
      <c r="A4228">
        <v>2111</v>
      </c>
      <c r="B4228">
        <v>5514</v>
      </c>
      <c r="C4228" t="s">
        <v>7660</v>
      </c>
      <c r="D4228" t="s">
        <v>40</v>
      </c>
      <c r="E4228" t="s">
        <v>162</v>
      </c>
      <c r="F4228" t="s">
        <v>7661</v>
      </c>
      <c r="G4228" t="str">
        <f>"201511019057"</f>
        <v>201511019057</v>
      </c>
      <c r="H4228" t="s">
        <v>854</v>
      </c>
      <c r="I4228">
        <v>0</v>
      </c>
      <c r="J4228">
        <v>0</v>
      </c>
      <c r="K4228">
        <v>0</v>
      </c>
      <c r="L4228">
        <v>0</v>
      </c>
      <c r="M4228">
        <v>0</v>
      </c>
      <c r="N4228">
        <v>50</v>
      </c>
      <c r="O4228">
        <v>0</v>
      </c>
      <c r="P4228">
        <v>0</v>
      </c>
      <c r="Q4228">
        <v>0</v>
      </c>
      <c r="R4228">
        <v>0</v>
      </c>
      <c r="S4228">
        <v>0</v>
      </c>
      <c r="T4228">
        <v>0</v>
      </c>
      <c r="U4228">
        <v>0</v>
      </c>
      <c r="V4228">
        <v>0</v>
      </c>
      <c r="W4228">
        <v>0</v>
      </c>
      <c r="X4228">
        <v>0</v>
      </c>
      <c r="Z4228">
        <v>0</v>
      </c>
      <c r="AA4228">
        <v>0</v>
      </c>
      <c r="AB4228">
        <v>0</v>
      </c>
      <c r="AC4228">
        <v>0</v>
      </c>
      <c r="AD4228" t="s">
        <v>7662</v>
      </c>
    </row>
    <row r="4229" spans="1:30" x14ac:dyDescent="0.25">
      <c r="H4229" t="s">
        <v>7663</v>
      </c>
    </row>
    <row r="4230" spans="1:30" x14ac:dyDescent="0.25">
      <c r="A4230">
        <v>2112</v>
      </c>
      <c r="B4230">
        <v>885</v>
      </c>
      <c r="C4230" t="s">
        <v>7664</v>
      </c>
      <c r="D4230" t="s">
        <v>75</v>
      </c>
      <c r="E4230" t="s">
        <v>2426</v>
      </c>
      <c r="F4230" t="s">
        <v>7665</v>
      </c>
      <c r="G4230" t="str">
        <f>"201406007400"</f>
        <v>201406007400</v>
      </c>
      <c r="H4230" t="s">
        <v>854</v>
      </c>
      <c r="I4230">
        <v>0</v>
      </c>
      <c r="J4230">
        <v>0</v>
      </c>
      <c r="K4230">
        <v>0</v>
      </c>
      <c r="L4230">
        <v>0</v>
      </c>
      <c r="M4230">
        <v>0</v>
      </c>
      <c r="N4230">
        <v>50</v>
      </c>
      <c r="O4230">
        <v>0</v>
      </c>
      <c r="P4230">
        <v>0</v>
      </c>
      <c r="Q4230">
        <v>0</v>
      </c>
      <c r="R4230">
        <v>0</v>
      </c>
      <c r="S4230">
        <v>0</v>
      </c>
      <c r="T4230">
        <v>0</v>
      </c>
      <c r="U4230">
        <v>0</v>
      </c>
      <c r="V4230">
        <v>0</v>
      </c>
      <c r="W4230">
        <v>0</v>
      </c>
      <c r="X4230">
        <v>0</v>
      </c>
      <c r="Z4230">
        <v>1</v>
      </c>
      <c r="AA4230">
        <v>0</v>
      </c>
      <c r="AB4230">
        <v>0</v>
      </c>
      <c r="AC4230">
        <v>0</v>
      </c>
      <c r="AD4230" t="s">
        <v>7662</v>
      </c>
    </row>
    <row r="4231" spans="1:30" x14ac:dyDescent="0.25">
      <c r="H4231" t="s">
        <v>7666</v>
      </c>
    </row>
    <row r="4232" spans="1:30" x14ac:dyDescent="0.25">
      <c r="A4232">
        <v>2113</v>
      </c>
      <c r="B4232">
        <v>1738</v>
      </c>
      <c r="C4232" t="s">
        <v>7667</v>
      </c>
      <c r="D4232" t="s">
        <v>335</v>
      </c>
      <c r="E4232" t="s">
        <v>468</v>
      </c>
      <c r="F4232" t="s">
        <v>7668</v>
      </c>
      <c r="G4232" t="str">
        <f>"00312864"</f>
        <v>00312864</v>
      </c>
      <c r="H4232" t="s">
        <v>117</v>
      </c>
      <c r="I4232">
        <v>0</v>
      </c>
      <c r="J4232">
        <v>0</v>
      </c>
      <c r="K4232">
        <v>0</v>
      </c>
      <c r="L4232">
        <v>0</v>
      </c>
      <c r="M4232">
        <v>0</v>
      </c>
      <c r="N4232">
        <v>30</v>
      </c>
      <c r="O4232">
        <v>0</v>
      </c>
      <c r="P4232">
        <v>0</v>
      </c>
      <c r="Q4232">
        <v>0</v>
      </c>
      <c r="R4232">
        <v>0</v>
      </c>
      <c r="S4232">
        <v>0</v>
      </c>
      <c r="T4232">
        <v>0</v>
      </c>
      <c r="U4232">
        <v>0</v>
      </c>
      <c r="V4232">
        <v>0</v>
      </c>
      <c r="W4232">
        <v>0</v>
      </c>
      <c r="X4232">
        <v>0</v>
      </c>
      <c r="Z4232">
        <v>0</v>
      </c>
      <c r="AA4232">
        <v>0</v>
      </c>
      <c r="AB4232">
        <v>0</v>
      </c>
      <c r="AC4232">
        <v>0</v>
      </c>
      <c r="AD4232" t="s">
        <v>7669</v>
      </c>
    </row>
    <row r="4233" spans="1:30" x14ac:dyDescent="0.25">
      <c r="H4233" t="s">
        <v>7670</v>
      </c>
    </row>
    <row r="4234" spans="1:30" x14ac:dyDescent="0.25">
      <c r="A4234">
        <v>2114</v>
      </c>
      <c r="B4234">
        <v>4134</v>
      </c>
      <c r="C4234" t="s">
        <v>7671</v>
      </c>
      <c r="D4234" t="s">
        <v>2713</v>
      </c>
      <c r="E4234" t="s">
        <v>547</v>
      </c>
      <c r="F4234" t="s">
        <v>7672</v>
      </c>
      <c r="G4234" t="str">
        <f>"201502003436"</f>
        <v>201502003436</v>
      </c>
      <c r="H4234" t="s">
        <v>117</v>
      </c>
      <c r="I4234">
        <v>0</v>
      </c>
      <c r="J4234">
        <v>0</v>
      </c>
      <c r="K4234">
        <v>0</v>
      </c>
      <c r="L4234">
        <v>0</v>
      </c>
      <c r="M4234">
        <v>0</v>
      </c>
      <c r="N4234">
        <v>30</v>
      </c>
      <c r="O4234">
        <v>0</v>
      </c>
      <c r="P4234">
        <v>0</v>
      </c>
      <c r="Q4234">
        <v>0</v>
      </c>
      <c r="R4234">
        <v>0</v>
      </c>
      <c r="S4234">
        <v>0</v>
      </c>
      <c r="T4234">
        <v>0</v>
      </c>
      <c r="U4234">
        <v>0</v>
      </c>
      <c r="V4234">
        <v>0</v>
      </c>
      <c r="W4234">
        <v>0</v>
      </c>
      <c r="X4234">
        <v>0</v>
      </c>
      <c r="Z4234">
        <v>0</v>
      </c>
      <c r="AA4234">
        <v>0</v>
      </c>
      <c r="AB4234">
        <v>0</v>
      </c>
      <c r="AC4234">
        <v>0</v>
      </c>
      <c r="AD4234" t="s">
        <v>7669</v>
      </c>
    </row>
    <row r="4235" spans="1:30" x14ac:dyDescent="0.25">
      <c r="H4235" t="s">
        <v>7673</v>
      </c>
    </row>
    <row r="4236" spans="1:30" x14ac:dyDescent="0.25">
      <c r="A4236">
        <v>2115</v>
      </c>
      <c r="B4236">
        <v>5614</v>
      </c>
      <c r="C4236" t="s">
        <v>3015</v>
      </c>
      <c r="D4236" t="s">
        <v>51</v>
      </c>
      <c r="E4236" t="s">
        <v>1972</v>
      </c>
      <c r="F4236" t="s">
        <v>7674</v>
      </c>
      <c r="G4236" t="str">
        <f>"00347326"</f>
        <v>00347326</v>
      </c>
      <c r="H4236" t="s">
        <v>3774</v>
      </c>
      <c r="I4236">
        <v>0</v>
      </c>
      <c r="J4236">
        <v>0</v>
      </c>
      <c r="K4236">
        <v>0</v>
      </c>
      <c r="L4236">
        <v>0</v>
      </c>
      <c r="M4236">
        <v>0</v>
      </c>
      <c r="N4236">
        <v>30</v>
      </c>
      <c r="O4236">
        <v>0</v>
      </c>
      <c r="P4236">
        <v>0</v>
      </c>
      <c r="Q4236">
        <v>0</v>
      </c>
      <c r="R4236">
        <v>0</v>
      </c>
      <c r="S4236">
        <v>0</v>
      </c>
      <c r="T4236">
        <v>0</v>
      </c>
      <c r="U4236">
        <v>0</v>
      </c>
      <c r="V4236">
        <v>5</v>
      </c>
      <c r="W4236">
        <v>35</v>
      </c>
      <c r="X4236">
        <v>0</v>
      </c>
      <c r="Z4236">
        <v>0</v>
      </c>
      <c r="AA4236">
        <v>0</v>
      </c>
      <c r="AB4236">
        <v>0</v>
      </c>
      <c r="AC4236">
        <v>0</v>
      </c>
      <c r="AD4236" t="s">
        <v>7675</v>
      </c>
    </row>
    <row r="4237" spans="1:30" x14ac:dyDescent="0.25">
      <c r="H4237" t="s">
        <v>7676</v>
      </c>
    </row>
    <row r="4238" spans="1:30" x14ac:dyDescent="0.25">
      <c r="A4238">
        <v>2116</v>
      </c>
      <c r="B4238">
        <v>5823</v>
      </c>
      <c r="C4238" t="s">
        <v>7677</v>
      </c>
      <c r="D4238" t="s">
        <v>534</v>
      </c>
      <c r="E4238" t="s">
        <v>5044</v>
      </c>
      <c r="F4238" t="s">
        <v>7678</v>
      </c>
      <c r="G4238" t="str">
        <f>"00137687"</f>
        <v>00137687</v>
      </c>
      <c r="H4238" t="s">
        <v>204</v>
      </c>
      <c r="I4238">
        <v>0</v>
      </c>
      <c r="J4238">
        <v>0</v>
      </c>
      <c r="K4238">
        <v>0</v>
      </c>
      <c r="L4238">
        <v>0</v>
      </c>
      <c r="M4238">
        <v>0</v>
      </c>
      <c r="N4238">
        <v>30</v>
      </c>
      <c r="O4238">
        <v>0</v>
      </c>
      <c r="P4238">
        <v>0</v>
      </c>
      <c r="Q4238">
        <v>0</v>
      </c>
      <c r="R4238">
        <v>0</v>
      </c>
      <c r="S4238">
        <v>0</v>
      </c>
      <c r="T4238">
        <v>0</v>
      </c>
      <c r="U4238">
        <v>0</v>
      </c>
      <c r="V4238">
        <v>0</v>
      </c>
      <c r="W4238">
        <v>0</v>
      </c>
      <c r="X4238">
        <v>0</v>
      </c>
      <c r="Z4238">
        <v>0</v>
      </c>
      <c r="AA4238">
        <v>0</v>
      </c>
      <c r="AB4238">
        <v>0</v>
      </c>
      <c r="AC4238">
        <v>0</v>
      </c>
      <c r="AD4238" t="s">
        <v>7679</v>
      </c>
    </row>
    <row r="4239" spans="1:30" x14ac:dyDescent="0.25">
      <c r="H4239" t="s">
        <v>7680</v>
      </c>
    </row>
    <row r="4240" spans="1:30" x14ac:dyDescent="0.25">
      <c r="A4240">
        <v>2117</v>
      </c>
      <c r="B4240">
        <v>4336</v>
      </c>
      <c r="C4240" t="s">
        <v>7681</v>
      </c>
      <c r="D4240" t="s">
        <v>166</v>
      </c>
      <c r="E4240" t="s">
        <v>183</v>
      </c>
      <c r="F4240" t="s">
        <v>7682</v>
      </c>
      <c r="G4240" t="str">
        <f>"00253414"</f>
        <v>00253414</v>
      </c>
      <c r="H4240" t="s">
        <v>204</v>
      </c>
      <c r="I4240">
        <v>0</v>
      </c>
      <c r="J4240">
        <v>0</v>
      </c>
      <c r="K4240">
        <v>0</v>
      </c>
      <c r="L4240">
        <v>0</v>
      </c>
      <c r="M4240">
        <v>0</v>
      </c>
      <c r="N4240">
        <v>30</v>
      </c>
      <c r="O4240">
        <v>0</v>
      </c>
      <c r="P4240">
        <v>0</v>
      </c>
      <c r="Q4240">
        <v>0</v>
      </c>
      <c r="R4240">
        <v>0</v>
      </c>
      <c r="S4240">
        <v>0</v>
      </c>
      <c r="T4240">
        <v>0</v>
      </c>
      <c r="U4240">
        <v>0</v>
      </c>
      <c r="V4240">
        <v>0</v>
      </c>
      <c r="W4240">
        <v>0</v>
      </c>
      <c r="X4240">
        <v>0</v>
      </c>
      <c r="Z4240">
        <v>0</v>
      </c>
      <c r="AA4240">
        <v>0</v>
      </c>
      <c r="AB4240">
        <v>0</v>
      </c>
      <c r="AC4240">
        <v>0</v>
      </c>
      <c r="AD4240" t="s">
        <v>7679</v>
      </c>
    </row>
    <row r="4241" spans="1:30" x14ac:dyDescent="0.25">
      <c r="H4241" t="s">
        <v>7683</v>
      </c>
    </row>
    <row r="4242" spans="1:30" x14ac:dyDescent="0.25">
      <c r="A4242">
        <v>2118</v>
      </c>
      <c r="B4242">
        <v>6093</v>
      </c>
      <c r="C4242" t="s">
        <v>7684</v>
      </c>
      <c r="D4242" t="s">
        <v>223</v>
      </c>
      <c r="E4242" t="s">
        <v>51</v>
      </c>
      <c r="F4242" t="s">
        <v>7685</v>
      </c>
      <c r="G4242" t="str">
        <f>"201511041980"</f>
        <v>201511041980</v>
      </c>
      <c r="H4242" t="s">
        <v>933</v>
      </c>
      <c r="I4242">
        <v>0</v>
      </c>
      <c r="J4242">
        <v>0</v>
      </c>
      <c r="K4242">
        <v>0</v>
      </c>
      <c r="L4242">
        <v>0</v>
      </c>
      <c r="M4242">
        <v>0</v>
      </c>
      <c r="N4242">
        <v>30</v>
      </c>
      <c r="O4242">
        <v>0</v>
      </c>
      <c r="P4242">
        <v>0</v>
      </c>
      <c r="Q4242">
        <v>0</v>
      </c>
      <c r="R4242">
        <v>0</v>
      </c>
      <c r="S4242">
        <v>0</v>
      </c>
      <c r="T4242">
        <v>0</v>
      </c>
      <c r="U4242">
        <v>0</v>
      </c>
      <c r="V4242">
        <v>2</v>
      </c>
      <c r="W4242">
        <v>14</v>
      </c>
      <c r="X4242">
        <v>0</v>
      </c>
      <c r="Z4242">
        <v>0</v>
      </c>
      <c r="AA4242">
        <v>0</v>
      </c>
      <c r="AB4242">
        <v>0</v>
      </c>
      <c r="AC4242">
        <v>0</v>
      </c>
      <c r="AD4242" t="s">
        <v>769</v>
      </c>
    </row>
    <row r="4243" spans="1:30" x14ac:dyDescent="0.25">
      <c r="H4243" t="s">
        <v>7686</v>
      </c>
    </row>
    <row r="4244" spans="1:30" x14ac:dyDescent="0.25">
      <c r="A4244">
        <v>2119</v>
      </c>
      <c r="B4244">
        <v>3443</v>
      </c>
      <c r="C4244" t="s">
        <v>7687</v>
      </c>
      <c r="D4244" t="s">
        <v>7688</v>
      </c>
      <c r="E4244" t="s">
        <v>47</v>
      </c>
      <c r="F4244" t="s">
        <v>7689</v>
      </c>
      <c r="G4244" t="str">
        <f>"00369374"</f>
        <v>00369374</v>
      </c>
      <c r="H4244">
        <v>660</v>
      </c>
      <c r="I4244">
        <v>0</v>
      </c>
      <c r="J4244">
        <v>0</v>
      </c>
      <c r="K4244">
        <v>0</v>
      </c>
      <c r="L4244">
        <v>0</v>
      </c>
      <c r="M4244">
        <v>0</v>
      </c>
      <c r="N4244">
        <v>50</v>
      </c>
      <c r="O4244">
        <v>50</v>
      </c>
      <c r="P4244">
        <v>0</v>
      </c>
      <c r="Q4244">
        <v>0</v>
      </c>
      <c r="R4244">
        <v>0</v>
      </c>
      <c r="S4244">
        <v>0</v>
      </c>
      <c r="T4244">
        <v>0</v>
      </c>
      <c r="U4244">
        <v>0</v>
      </c>
      <c r="V4244">
        <v>0</v>
      </c>
      <c r="W4244">
        <v>0</v>
      </c>
      <c r="X4244">
        <v>0</v>
      </c>
      <c r="Z4244">
        <v>0</v>
      </c>
      <c r="AA4244">
        <v>0</v>
      </c>
      <c r="AB4244">
        <v>0</v>
      </c>
      <c r="AC4244">
        <v>0</v>
      </c>
      <c r="AD4244">
        <v>760</v>
      </c>
    </row>
    <row r="4245" spans="1:30" x14ac:dyDescent="0.25">
      <c r="H4245" t="s">
        <v>521</v>
      </c>
    </row>
    <row r="4246" spans="1:30" x14ac:dyDescent="0.25">
      <c r="A4246">
        <v>2120</v>
      </c>
      <c r="B4246">
        <v>4638</v>
      </c>
      <c r="C4246" t="s">
        <v>7690</v>
      </c>
      <c r="D4246" t="s">
        <v>7691</v>
      </c>
      <c r="E4246" t="s">
        <v>40</v>
      </c>
      <c r="F4246" t="s">
        <v>7692</v>
      </c>
      <c r="G4246" t="str">
        <f>"00156733"</f>
        <v>00156733</v>
      </c>
      <c r="H4246">
        <v>627</v>
      </c>
      <c r="I4246">
        <v>0</v>
      </c>
      <c r="J4246">
        <v>0</v>
      </c>
      <c r="K4246">
        <v>0</v>
      </c>
      <c r="L4246">
        <v>0</v>
      </c>
      <c r="M4246">
        <v>0</v>
      </c>
      <c r="N4246">
        <v>0</v>
      </c>
      <c r="O4246">
        <v>0</v>
      </c>
      <c r="P4246">
        <v>0</v>
      </c>
      <c r="Q4246">
        <v>0</v>
      </c>
      <c r="R4246">
        <v>0</v>
      </c>
      <c r="S4246">
        <v>0</v>
      </c>
      <c r="T4246">
        <v>0</v>
      </c>
      <c r="U4246">
        <v>0</v>
      </c>
      <c r="V4246">
        <v>19</v>
      </c>
      <c r="W4246">
        <v>133</v>
      </c>
      <c r="X4246">
        <v>0</v>
      </c>
      <c r="Z4246">
        <v>0</v>
      </c>
      <c r="AA4246">
        <v>0</v>
      </c>
      <c r="AB4246">
        <v>0</v>
      </c>
      <c r="AC4246">
        <v>0</v>
      </c>
      <c r="AD4246">
        <v>760</v>
      </c>
    </row>
    <row r="4247" spans="1:30" x14ac:dyDescent="0.25">
      <c r="H4247" t="s">
        <v>7693</v>
      </c>
    </row>
    <row r="4248" spans="1:30" x14ac:dyDescent="0.25">
      <c r="A4248">
        <v>2121</v>
      </c>
      <c r="B4248">
        <v>119</v>
      </c>
      <c r="C4248" t="s">
        <v>7694</v>
      </c>
      <c r="D4248" t="s">
        <v>151</v>
      </c>
      <c r="E4248" t="s">
        <v>47</v>
      </c>
      <c r="F4248" t="s">
        <v>7695</v>
      </c>
      <c r="G4248" t="str">
        <f>"201406015620"</f>
        <v>201406015620</v>
      </c>
      <c r="H4248" t="s">
        <v>1294</v>
      </c>
      <c r="I4248">
        <v>0</v>
      </c>
      <c r="J4248">
        <v>0</v>
      </c>
      <c r="K4248">
        <v>0</v>
      </c>
      <c r="L4248">
        <v>0</v>
      </c>
      <c r="M4248">
        <v>0</v>
      </c>
      <c r="N4248">
        <v>0</v>
      </c>
      <c r="O4248">
        <v>0</v>
      </c>
      <c r="P4248">
        <v>0</v>
      </c>
      <c r="Q4248">
        <v>0</v>
      </c>
      <c r="R4248">
        <v>0</v>
      </c>
      <c r="S4248">
        <v>0</v>
      </c>
      <c r="T4248">
        <v>0</v>
      </c>
      <c r="U4248">
        <v>0</v>
      </c>
      <c r="V4248">
        <v>10</v>
      </c>
      <c r="W4248">
        <v>70</v>
      </c>
      <c r="X4248">
        <v>0</v>
      </c>
      <c r="Z4248">
        <v>0</v>
      </c>
      <c r="AA4248">
        <v>0</v>
      </c>
      <c r="AB4248">
        <v>0</v>
      </c>
      <c r="AC4248">
        <v>0</v>
      </c>
      <c r="AD4248" t="s">
        <v>7696</v>
      </c>
    </row>
    <row r="4249" spans="1:30" x14ac:dyDescent="0.25">
      <c r="H4249" t="s">
        <v>7697</v>
      </c>
    </row>
    <row r="4250" spans="1:30" x14ac:dyDescent="0.25">
      <c r="A4250">
        <v>2122</v>
      </c>
      <c r="B4250">
        <v>1218</v>
      </c>
      <c r="C4250" t="s">
        <v>7698</v>
      </c>
      <c r="D4250" t="s">
        <v>7699</v>
      </c>
      <c r="E4250" t="s">
        <v>176</v>
      </c>
      <c r="F4250" t="s">
        <v>7700</v>
      </c>
      <c r="G4250" t="str">
        <f>"00155244"</f>
        <v>00155244</v>
      </c>
      <c r="H4250" t="s">
        <v>311</v>
      </c>
      <c r="I4250">
        <v>0</v>
      </c>
      <c r="J4250">
        <v>0</v>
      </c>
      <c r="K4250">
        <v>0</v>
      </c>
      <c r="L4250">
        <v>0</v>
      </c>
      <c r="M4250">
        <v>0</v>
      </c>
      <c r="N4250">
        <v>30</v>
      </c>
      <c r="O4250">
        <v>0</v>
      </c>
      <c r="P4250">
        <v>0</v>
      </c>
      <c r="Q4250">
        <v>0</v>
      </c>
      <c r="R4250">
        <v>0</v>
      </c>
      <c r="S4250">
        <v>0</v>
      </c>
      <c r="T4250">
        <v>0</v>
      </c>
      <c r="U4250">
        <v>0</v>
      </c>
      <c r="V4250">
        <v>0</v>
      </c>
      <c r="W4250">
        <v>0</v>
      </c>
      <c r="X4250">
        <v>0</v>
      </c>
      <c r="Z4250">
        <v>0</v>
      </c>
      <c r="AA4250">
        <v>0</v>
      </c>
      <c r="AB4250">
        <v>0</v>
      </c>
      <c r="AC4250">
        <v>0</v>
      </c>
      <c r="AD4250" t="s">
        <v>7701</v>
      </c>
    </row>
    <row r="4251" spans="1:30" x14ac:dyDescent="0.25">
      <c r="H4251" t="s">
        <v>7702</v>
      </c>
    </row>
    <row r="4252" spans="1:30" x14ac:dyDescent="0.25">
      <c r="A4252">
        <v>2123</v>
      </c>
      <c r="B4252">
        <v>4756</v>
      </c>
      <c r="C4252" t="s">
        <v>2725</v>
      </c>
      <c r="D4252" t="s">
        <v>2280</v>
      </c>
      <c r="E4252" t="s">
        <v>99</v>
      </c>
      <c r="F4252" t="s">
        <v>7703</v>
      </c>
      <c r="G4252" t="str">
        <f>"00216319"</f>
        <v>00216319</v>
      </c>
      <c r="H4252" t="s">
        <v>311</v>
      </c>
      <c r="I4252">
        <v>0</v>
      </c>
      <c r="J4252">
        <v>0</v>
      </c>
      <c r="K4252">
        <v>0</v>
      </c>
      <c r="L4252">
        <v>0</v>
      </c>
      <c r="M4252">
        <v>0</v>
      </c>
      <c r="N4252">
        <v>30</v>
      </c>
      <c r="O4252">
        <v>0</v>
      </c>
      <c r="P4252">
        <v>0</v>
      </c>
      <c r="Q4252">
        <v>0</v>
      </c>
      <c r="R4252">
        <v>0</v>
      </c>
      <c r="S4252">
        <v>0</v>
      </c>
      <c r="T4252">
        <v>0</v>
      </c>
      <c r="U4252">
        <v>0</v>
      </c>
      <c r="V4252">
        <v>0</v>
      </c>
      <c r="W4252">
        <v>0</v>
      </c>
      <c r="X4252">
        <v>0</v>
      </c>
      <c r="Z4252">
        <v>0</v>
      </c>
      <c r="AA4252">
        <v>0</v>
      </c>
      <c r="AB4252">
        <v>0</v>
      </c>
      <c r="AC4252">
        <v>0</v>
      </c>
      <c r="AD4252" t="s">
        <v>7701</v>
      </c>
    </row>
    <row r="4253" spans="1:30" x14ac:dyDescent="0.25">
      <c r="H4253" t="s">
        <v>7704</v>
      </c>
    </row>
    <row r="4254" spans="1:30" x14ac:dyDescent="0.25">
      <c r="A4254">
        <v>2124</v>
      </c>
      <c r="B4254">
        <v>1984</v>
      </c>
      <c r="C4254" t="s">
        <v>2999</v>
      </c>
      <c r="D4254" t="s">
        <v>804</v>
      </c>
      <c r="E4254" t="s">
        <v>535</v>
      </c>
      <c r="F4254" t="s">
        <v>7705</v>
      </c>
      <c r="G4254" t="str">
        <f>"201511033202"</f>
        <v>201511033202</v>
      </c>
      <c r="H4254" t="s">
        <v>1303</v>
      </c>
      <c r="I4254">
        <v>0</v>
      </c>
      <c r="J4254">
        <v>0</v>
      </c>
      <c r="K4254">
        <v>0</v>
      </c>
      <c r="L4254">
        <v>0</v>
      </c>
      <c r="M4254">
        <v>0</v>
      </c>
      <c r="N4254">
        <v>30</v>
      </c>
      <c r="O4254">
        <v>0</v>
      </c>
      <c r="P4254">
        <v>0</v>
      </c>
      <c r="Q4254">
        <v>0</v>
      </c>
      <c r="R4254">
        <v>0</v>
      </c>
      <c r="S4254">
        <v>0</v>
      </c>
      <c r="T4254">
        <v>0</v>
      </c>
      <c r="U4254">
        <v>0</v>
      </c>
      <c r="V4254">
        <v>3</v>
      </c>
      <c r="W4254">
        <v>21</v>
      </c>
      <c r="X4254">
        <v>0</v>
      </c>
      <c r="Z4254">
        <v>0</v>
      </c>
      <c r="AA4254">
        <v>0</v>
      </c>
      <c r="AB4254">
        <v>0</v>
      </c>
      <c r="AC4254">
        <v>0</v>
      </c>
      <c r="AD4254" t="s">
        <v>7706</v>
      </c>
    </row>
    <row r="4255" spans="1:30" x14ac:dyDescent="0.25">
      <c r="H4255" t="s">
        <v>7707</v>
      </c>
    </row>
    <row r="4256" spans="1:30" x14ac:dyDescent="0.25">
      <c r="A4256">
        <v>2125</v>
      </c>
      <c r="B4256">
        <v>1080</v>
      </c>
      <c r="C4256" t="s">
        <v>7708</v>
      </c>
      <c r="D4256" t="s">
        <v>7708</v>
      </c>
      <c r="E4256" t="s">
        <v>595</v>
      </c>
      <c r="F4256" t="s">
        <v>7709</v>
      </c>
      <c r="G4256" t="str">
        <f>"200910000763"</f>
        <v>200910000763</v>
      </c>
      <c r="H4256" t="s">
        <v>3862</v>
      </c>
      <c r="I4256">
        <v>0</v>
      </c>
      <c r="J4256">
        <v>0</v>
      </c>
      <c r="K4256">
        <v>0</v>
      </c>
      <c r="L4256">
        <v>0</v>
      </c>
      <c r="M4256">
        <v>0</v>
      </c>
      <c r="N4256">
        <v>70</v>
      </c>
      <c r="O4256">
        <v>0</v>
      </c>
      <c r="P4256">
        <v>0</v>
      </c>
      <c r="Q4256">
        <v>0</v>
      </c>
      <c r="R4256">
        <v>0</v>
      </c>
      <c r="S4256">
        <v>0</v>
      </c>
      <c r="T4256">
        <v>0</v>
      </c>
      <c r="U4256">
        <v>0</v>
      </c>
      <c r="V4256">
        <v>0</v>
      </c>
      <c r="W4256">
        <v>0</v>
      </c>
      <c r="X4256">
        <v>0</v>
      </c>
      <c r="Z4256">
        <v>0</v>
      </c>
      <c r="AA4256">
        <v>0</v>
      </c>
      <c r="AB4256">
        <v>0</v>
      </c>
      <c r="AC4256">
        <v>0</v>
      </c>
      <c r="AD4256" t="s">
        <v>7710</v>
      </c>
    </row>
    <row r="4257" spans="1:30" x14ac:dyDescent="0.25">
      <c r="H4257" t="s">
        <v>6412</v>
      </c>
    </row>
    <row r="4258" spans="1:30" x14ac:dyDescent="0.25">
      <c r="A4258">
        <v>2126</v>
      </c>
      <c r="B4258">
        <v>4306</v>
      </c>
      <c r="C4258" t="s">
        <v>7711</v>
      </c>
      <c r="D4258" t="s">
        <v>40</v>
      </c>
      <c r="E4258" t="s">
        <v>7712</v>
      </c>
      <c r="F4258" t="s">
        <v>7713</v>
      </c>
      <c r="G4258" t="str">
        <f>"00360234"</f>
        <v>00360234</v>
      </c>
      <c r="H4258">
        <v>726</v>
      </c>
      <c r="I4258">
        <v>0</v>
      </c>
      <c r="J4258">
        <v>0</v>
      </c>
      <c r="K4258">
        <v>0</v>
      </c>
      <c r="L4258">
        <v>0</v>
      </c>
      <c r="M4258">
        <v>0</v>
      </c>
      <c r="N4258">
        <v>30</v>
      </c>
      <c r="O4258">
        <v>0</v>
      </c>
      <c r="P4258">
        <v>0</v>
      </c>
      <c r="Q4258">
        <v>0</v>
      </c>
      <c r="R4258">
        <v>0</v>
      </c>
      <c r="S4258">
        <v>0</v>
      </c>
      <c r="T4258">
        <v>0</v>
      </c>
      <c r="U4258">
        <v>0</v>
      </c>
      <c r="V4258">
        <v>0</v>
      </c>
      <c r="W4258">
        <v>0</v>
      </c>
      <c r="X4258">
        <v>0</v>
      </c>
      <c r="Z4258">
        <v>0</v>
      </c>
      <c r="AA4258">
        <v>0</v>
      </c>
      <c r="AB4258">
        <v>0</v>
      </c>
      <c r="AC4258">
        <v>0</v>
      </c>
      <c r="AD4258">
        <v>756</v>
      </c>
    </row>
    <row r="4259" spans="1:30" x14ac:dyDescent="0.25">
      <c r="H4259" t="s">
        <v>451</v>
      </c>
    </row>
    <row r="4260" spans="1:30" x14ac:dyDescent="0.25">
      <c r="A4260">
        <v>2127</v>
      </c>
      <c r="B4260">
        <v>3924</v>
      </c>
      <c r="C4260" t="s">
        <v>7714</v>
      </c>
      <c r="D4260" t="s">
        <v>526</v>
      </c>
      <c r="E4260" t="s">
        <v>47</v>
      </c>
      <c r="F4260" t="s">
        <v>7715</v>
      </c>
      <c r="G4260" t="str">
        <f>"00358694"</f>
        <v>00358694</v>
      </c>
      <c r="H4260" t="s">
        <v>1376</v>
      </c>
      <c r="I4260">
        <v>0</v>
      </c>
      <c r="J4260">
        <v>0</v>
      </c>
      <c r="K4260">
        <v>0</v>
      </c>
      <c r="L4260">
        <v>0</v>
      </c>
      <c r="M4260">
        <v>0</v>
      </c>
      <c r="N4260">
        <v>70</v>
      </c>
      <c r="O4260">
        <v>0</v>
      </c>
      <c r="P4260">
        <v>0</v>
      </c>
      <c r="Q4260">
        <v>0</v>
      </c>
      <c r="R4260">
        <v>0</v>
      </c>
      <c r="S4260">
        <v>0</v>
      </c>
      <c r="T4260">
        <v>0</v>
      </c>
      <c r="U4260">
        <v>0</v>
      </c>
      <c r="V4260">
        <v>5</v>
      </c>
      <c r="W4260">
        <v>35</v>
      </c>
      <c r="X4260">
        <v>0</v>
      </c>
      <c r="Z4260">
        <v>0</v>
      </c>
      <c r="AA4260">
        <v>0</v>
      </c>
      <c r="AB4260">
        <v>0</v>
      </c>
      <c r="AC4260">
        <v>0</v>
      </c>
      <c r="AD4260" t="s">
        <v>7716</v>
      </c>
    </row>
    <row r="4261" spans="1:30" x14ac:dyDescent="0.25">
      <c r="H4261" t="s">
        <v>7717</v>
      </c>
    </row>
    <row r="4262" spans="1:30" x14ac:dyDescent="0.25">
      <c r="A4262">
        <v>2128</v>
      </c>
      <c r="B4262">
        <v>5002</v>
      </c>
      <c r="C4262" t="s">
        <v>7718</v>
      </c>
      <c r="D4262" t="s">
        <v>176</v>
      </c>
      <c r="E4262" t="s">
        <v>162</v>
      </c>
      <c r="F4262" t="s">
        <v>7719</v>
      </c>
      <c r="G4262" t="str">
        <f>"00289879"</f>
        <v>00289879</v>
      </c>
      <c r="H4262" t="s">
        <v>4706</v>
      </c>
      <c r="I4262">
        <v>0</v>
      </c>
      <c r="J4262">
        <v>0</v>
      </c>
      <c r="K4262">
        <v>0</v>
      </c>
      <c r="L4262">
        <v>0</v>
      </c>
      <c r="M4262">
        <v>0</v>
      </c>
      <c r="N4262">
        <v>30</v>
      </c>
      <c r="O4262">
        <v>0</v>
      </c>
      <c r="P4262">
        <v>0</v>
      </c>
      <c r="Q4262">
        <v>0</v>
      </c>
      <c r="R4262">
        <v>0</v>
      </c>
      <c r="S4262">
        <v>0</v>
      </c>
      <c r="T4262">
        <v>0</v>
      </c>
      <c r="U4262">
        <v>0</v>
      </c>
      <c r="V4262">
        <v>0</v>
      </c>
      <c r="W4262">
        <v>0</v>
      </c>
      <c r="X4262">
        <v>0</v>
      </c>
      <c r="Z4262">
        <v>0</v>
      </c>
      <c r="AA4262">
        <v>0</v>
      </c>
      <c r="AB4262">
        <v>5</v>
      </c>
      <c r="AC4262">
        <v>85</v>
      </c>
      <c r="AD4262" t="s">
        <v>7720</v>
      </c>
    </row>
    <row r="4263" spans="1:30" x14ac:dyDescent="0.25">
      <c r="H4263" t="s">
        <v>7721</v>
      </c>
    </row>
    <row r="4264" spans="1:30" x14ac:dyDescent="0.25">
      <c r="A4264">
        <v>2129</v>
      </c>
      <c r="B4264">
        <v>1380</v>
      </c>
      <c r="C4264" t="s">
        <v>7722</v>
      </c>
      <c r="D4264" t="s">
        <v>162</v>
      </c>
      <c r="E4264" t="s">
        <v>509</v>
      </c>
      <c r="F4264" t="s">
        <v>7723</v>
      </c>
      <c r="G4264" t="str">
        <f>"00198691"</f>
        <v>00198691</v>
      </c>
      <c r="H4264">
        <v>704</v>
      </c>
      <c r="I4264">
        <v>0</v>
      </c>
      <c r="J4264">
        <v>0</v>
      </c>
      <c r="K4264">
        <v>0</v>
      </c>
      <c r="L4264">
        <v>0</v>
      </c>
      <c r="M4264">
        <v>0</v>
      </c>
      <c r="N4264">
        <v>50</v>
      </c>
      <c r="O4264">
        <v>0</v>
      </c>
      <c r="P4264">
        <v>0</v>
      </c>
      <c r="Q4264">
        <v>0</v>
      </c>
      <c r="R4264">
        <v>0</v>
      </c>
      <c r="S4264">
        <v>0</v>
      </c>
      <c r="T4264">
        <v>0</v>
      </c>
      <c r="U4264">
        <v>0</v>
      </c>
      <c r="V4264">
        <v>0</v>
      </c>
      <c r="W4264">
        <v>0</v>
      </c>
      <c r="X4264">
        <v>0</v>
      </c>
      <c r="Z4264">
        <v>2</v>
      </c>
      <c r="AA4264">
        <v>0</v>
      </c>
      <c r="AB4264">
        <v>0</v>
      </c>
      <c r="AC4264">
        <v>0</v>
      </c>
      <c r="AD4264">
        <v>754</v>
      </c>
    </row>
    <row r="4265" spans="1:30" x14ac:dyDescent="0.25">
      <c r="H4265" t="s">
        <v>1716</v>
      </c>
    </row>
    <row r="4266" spans="1:30" x14ac:dyDescent="0.25">
      <c r="A4266">
        <v>2130</v>
      </c>
      <c r="B4266">
        <v>5273</v>
      </c>
      <c r="C4266" t="s">
        <v>7724</v>
      </c>
      <c r="D4266" t="s">
        <v>40</v>
      </c>
      <c r="E4266" t="s">
        <v>974</v>
      </c>
      <c r="F4266" t="s">
        <v>7725</v>
      </c>
      <c r="G4266" t="str">
        <f>"201406003251"</f>
        <v>201406003251</v>
      </c>
      <c r="H4266" t="s">
        <v>754</v>
      </c>
      <c r="I4266">
        <v>0</v>
      </c>
      <c r="J4266">
        <v>0</v>
      </c>
      <c r="K4266">
        <v>0</v>
      </c>
      <c r="L4266">
        <v>0</v>
      </c>
      <c r="M4266">
        <v>0</v>
      </c>
      <c r="N4266">
        <v>30</v>
      </c>
      <c r="O4266">
        <v>0</v>
      </c>
      <c r="P4266">
        <v>0</v>
      </c>
      <c r="Q4266">
        <v>0</v>
      </c>
      <c r="R4266">
        <v>0</v>
      </c>
      <c r="S4266">
        <v>0</v>
      </c>
      <c r="T4266">
        <v>0</v>
      </c>
      <c r="U4266">
        <v>0</v>
      </c>
      <c r="V4266">
        <v>0</v>
      </c>
      <c r="W4266">
        <v>0</v>
      </c>
      <c r="X4266">
        <v>0</v>
      </c>
      <c r="Z4266">
        <v>0</v>
      </c>
      <c r="AA4266">
        <v>0</v>
      </c>
      <c r="AB4266">
        <v>0</v>
      </c>
      <c r="AC4266">
        <v>0</v>
      </c>
      <c r="AD4266" t="s">
        <v>7726</v>
      </c>
    </row>
    <row r="4267" spans="1:30" x14ac:dyDescent="0.25">
      <c r="H4267" t="s">
        <v>7727</v>
      </c>
    </row>
    <row r="4268" spans="1:30" x14ac:dyDescent="0.25">
      <c r="A4268">
        <v>2131</v>
      </c>
      <c r="B4268">
        <v>2999</v>
      </c>
      <c r="C4268" t="s">
        <v>7728</v>
      </c>
      <c r="D4268" t="s">
        <v>40</v>
      </c>
      <c r="E4268" t="s">
        <v>51</v>
      </c>
      <c r="F4268" t="s">
        <v>7729</v>
      </c>
      <c r="G4268" t="str">
        <f>"00368394"</f>
        <v>00368394</v>
      </c>
      <c r="H4268" t="s">
        <v>2742</v>
      </c>
      <c r="I4268">
        <v>0</v>
      </c>
      <c r="J4268">
        <v>0</v>
      </c>
      <c r="K4268">
        <v>0</v>
      </c>
      <c r="L4268">
        <v>0</v>
      </c>
      <c r="M4268">
        <v>0</v>
      </c>
      <c r="N4268">
        <v>0</v>
      </c>
      <c r="O4268">
        <v>0</v>
      </c>
      <c r="P4268">
        <v>0</v>
      </c>
      <c r="Q4268">
        <v>0</v>
      </c>
      <c r="R4268">
        <v>0</v>
      </c>
      <c r="S4268">
        <v>0</v>
      </c>
      <c r="T4268">
        <v>0</v>
      </c>
      <c r="U4268">
        <v>0</v>
      </c>
      <c r="V4268">
        <v>2</v>
      </c>
      <c r="W4268">
        <v>14</v>
      </c>
      <c r="X4268">
        <v>0</v>
      </c>
      <c r="Z4268">
        <v>1</v>
      </c>
      <c r="AA4268">
        <v>0</v>
      </c>
      <c r="AB4268">
        <v>0</v>
      </c>
      <c r="AC4268">
        <v>0</v>
      </c>
      <c r="AD4268" t="s">
        <v>7730</v>
      </c>
    </row>
    <row r="4269" spans="1:30" x14ac:dyDescent="0.25">
      <c r="H4269" t="s">
        <v>7731</v>
      </c>
    </row>
    <row r="4270" spans="1:30" x14ac:dyDescent="0.25">
      <c r="A4270">
        <v>2132</v>
      </c>
      <c r="B4270">
        <v>926</v>
      </c>
      <c r="C4270" t="s">
        <v>7732</v>
      </c>
      <c r="D4270" t="s">
        <v>275</v>
      </c>
      <c r="E4270" t="s">
        <v>47</v>
      </c>
      <c r="F4270" t="s">
        <v>7733</v>
      </c>
      <c r="G4270" t="str">
        <f>"00227438"</f>
        <v>00227438</v>
      </c>
      <c r="H4270" t="s">
        <v>1131</v>
      </c>
      <c r="I4270">
        <v>0</v>
      </c>
      <c r="J4270">
        <v>0</v>
      </c>
      <c r="K4270">
        <v>0</v>
      </c>
      <c r="L4270">
        <v>0</v>
      </c>
      <c r="M4270">
        <v>0</v>
      </c>
      <c r="N4270">
        <v>50</v>
      </c>
      <c r="O4270">
        <v>0</v>
      </c>
      <c r="P4270">
        <v>0</v>
      </c>
      <c r="Q4270">
        <v>0</v>
      </c>
      <c r="R4270">
        <v>0</v>
      </c>
      <c r="S4270">
        <v>0</v>
      </c>
      <c r="T4270">
        <v>0</v>
      </c>
      <c r="U4270">
        <v>0</v>
      </c>
      <c r="V4270">
        <v>0</v>
      </c>
      <c r="W4270">
        <v>0</v>
      </c>
      <c r="X4270">
        <v>0</v>
      </c>
      <c r="Z4270">
        <v>0</v>
      </c>
      <c r="AA4270">
        <v>0</v>
      </c>
      <c r="AB4270">
        <v>0</v>
      </c>
      <c r="AC4270">
        <v>0</v>
      </c>
      <c r="AD4270" t="s">
        <v>7734</v>
      </c>
    </row>
    <row r="4271" spans="1:30" x14ac:dyDescent="0.25">
      <c r="H4271">
        <v>1247</v>
      </c>
    </row>
    <row r="4272" spans="1:30" x14ac:dyDescent="0.25">
      <c r="A4272">
        <v>2133</v>
      </c>
      <c r="B4272">
        <v>1953</v>
      </c>
      <c r="C4272" t="s">
        <v>1700</v>
      </c>
      <c r="D4272" t="s">
        <v>46</v>
      </c>
      <c r="E4272" t="s">
        <v>47</v>
      </c>
      <c r="F4272" t="s">
        <v>7735</v>
      </c>
      <c r="G4272" t="str">
        <f>"00111240"</f>
        <v>00111240</v>
      </c>
      <c r="H4272" t="s">
        <v>760</v>
      </c>
      <c r="I4272">
        <v>0</v>
      </c>
      <c r="J4272">
        <v>0</v>
      </c>
      <c r="K4272">
        <v>0</v>
      </c>
      <c r="L4272">
        <v>0</v>
      </c>
      <c r="M4272">
        <v>0</v>
      </c>
      <c r="N4272">
        <v>30</v>
      </c>
      <c r="O4272">
        <v>0</v>
      </c>
      <c r="P4272">
        <v>0</v>
      </c>
      <c r="Q4272">
        <v>0</v>
      </c>
      <c r="R4272">
        <v>0</v>
      </c>
      <c r="S4272">
        <v>0</v>
      </c>
      <c r="T4272">
        <v>0</v>
      </c>
      <c r="U4272">
        <v>0</v>
      </c>
      <c r="V4272">
        <v>0</v>
      </c>
      <c r="W4272">
        <v>0</v>
      </c>
      <c r="X4272">
        <v>0</v>
      </c>
      <c r="Z4272">
        <v>0</v>
      </c>
      <c r="AA4272">
        <v>0</v>
      </c>
      <c r="AB4272">
        <v>0</v>
      </c>
      <c r="AC4272">
        <v>0</v>
      </c>
      <c r="AD4272" t="s">
        <v>7736</v>
      </c>
    </row>
    <row r="4273" spans="1:30" x14ac:dyDescent="0.25">
      <c r="H4273" t="s">
        <v>7737</v>
      </c>
    </row>
    <row r="4274" spans="1:30" x14ac:dyDescent="0.25">
      <c r="A4274">
        <v>2134</v>
      </c>
      <c r="B4274">
        <v>1958</v>
      </c>
      <c r="C4274" t="s">
        <v>7738</v>
      </c>
      <c r="D4274" t="s">
        <v>879</v>
      </c>
      <c r="E4274" t="s">
        <v>40</v>
      </c>
      <c r="F4274" t="s">
        <v>7739</v>
      </c>
      <c r="G4274" t="str">
        <f>"00310220"</f>
        <v>00310220</v>
      </c>
      <c r="H4274" t="s">
        <v>2451</v>
      </c>
      <c r="I4274">
        <v>0</v>
      </c>
      <c r="J4274">
        <v>0</v>
      </c>
      <c r="K4274">
        <v>0</v>
      </c>
      <c r="L4274">
        <v>0</v>
      </c>
      <c r="M4274">
        <v>0</v>
      </c>
      <c r="N4274">
        <v>50</v>
      </c>
      <c r="O4274">
        <v>0</v>
      </c>
      <c r="P4274">
        <v>50</v>
      </c>
      <c r="Q4274">
        <v>0</v>
      </c>
      <c r="R4274">
        <v>0</v>
      </c>
      <c r="S4274">
        <v>0</v>
      </c>
      <c r="T4274">
        <v>0</v>
      </c>
      <c r="U4274">
        <v>0</v>
      </c>
      <c r="V4274">
        <v>0</v>
      </c>
      <c r="W4274">
        <v>0</v>
      </c>
      <c r="X4274">
        <v>0</v>
      </c>
      <c r="Z4274">
        <v>2</v>
      </c>
      <c r="AA4274">
        <v>0</v>
      </c>
      <c r="AB4274">
        <v>0</v>
      </c>
      <c r="AC4274">
        <v>0</v>
      </c>
      <c r="AD4274" t="s">
        <v>7740</v>
      </c>
    </row>
    <row r="4275" spans="1:30" x14ac:dyDescent="0.25">
      <c r="H4275" t="s">
        <v>7741</v>
      </c>
    </row>
    <row r="4276" spans="1:30" x14ac:dyDescent="0.25">
      <c r="A4276">
        <v>2135</v>
      </c>
      <c r="B4276">
        <v>2289</v>
      </c>
      <c r="C4276" t="s">
        <v>7742</v>
      </c>
      <c r="D4276" t="s">
        <v>7743</v>
      </c>
      <c r="E4276" t="s">
        <v>7744</v>
      </c>
      <c r="F4276" t="s">
        <v>7745</v>
      </c>
      <c r="G4276" t="str">
        <f>"00315803"</f>
        <v>00315803</v>
      </c>
      <c r="H4276" t="s">
        <v>231</v>
      </c>
      <c r="I4276">
        <v>0</v>
      </c>
      <c r="J4276">
        <v>0</v>
      </c>
      <c r="K4276">
        <v>0</v>
      </c>
      <c r="L4276">
        <v>0</v>
      </c>
      <c r="M4276">
        <v>0</v>
      </c>
      <c r="N4276">
        <v>30</v>
      </c>
      <c r="O4276">
        <v>0</v>
      </c>
      <c r="P4276">
        <v>0</v>
      </c>
      <c r="Q4276">
        <v>0</v>
      </c>
      <c r="R4276">
        <v>0</v>
      </c>
      <c r="S4276">
        <v>0</v>
      </c>
      <c r="T4276">
        <v>0</v>
      </c>
      <c r="U4276">
        <v>0</v>
      </c>
      <c r="V4276">
        <v>0</v>
      </c>
      <c r="W4276">
        <v>0</v>
      </c>
      <c r="X4276">
        <v>0</v>
      </c>
      <c r="Z4276">
        <v>0</v>
      </c>
      <c r="AA4276">
        <v>0</v>
      </c>
      <c r="AB4276">
        <v>0</v>
      </c>
      <c r="AC4276">
        <v>0</v>
      </c>
      <c r="AD4276" t="s">
        <v>7746</v>
      </c>
    </row>
    <row r="4277" spans="1:30" x14ac:dyDescent="0.25">
      <c r="H4277" t="s">
        <v>7747</v>
      </c>
    </row>
    <row r="4278" spans="1:30" x14ac:dyDescent="0.25">
      <c r="A4278">
        <v>2136</v>
      </c>
      <c r="B4278">
        <v>2179</v>
      </c>
      <c r="C4278" t="s">
        <v>7748</v>
      </c>
      <c r="D4278" t="s">
        <v>1276</v>
      </c>
      <c r="E4278" t="s">
        <v>290</v>
      </c>
      <c r="F4278" t="s">
        <v>7749</v>
      </c>
      <c r="G4278" t="str">
        <f>"201412005195"</f>
        <v>201412005195</v>
      </c>
      <c r="H4278" t="s">
        <v>2866</v>
      </c>
      <c r="I4278">
        <v>0</v>
      </c>
      <c r="J4278">
        <v>0</v>
      </c>
      <c r="K4278">
        <v>0</v>
      </c>
      <c r="L4278">
        <v>0</v>
      </c>
      <c r="M4278">
        <v>0</v>
      </c>
      <c r="N4278">
        <v>0</v>
      </c>
      <c r="O4278">
        <v>0</v>
      </c>
      <c r="P4278">
        <v>0</v>
      </c>
      <c r="Q4278">
        <v>0</v>
      </c>
      <c r="R4278">
        <v>0</v>
      </c>
      <c r="S4278">
        <v>0</v>
      </c>
      <c r="T4278">
        <v>0</v>
      </c>
      <c r="U4278">
        <v>0</v>
      </c>
      <c r="V4278">
        <v>14</v>
      </c>
      <c r="W4278">
        <v>98</v>
      </c>
      <c r="X4278">
        <v>0</v>
      </c>
      <c r="Z4278">
        <v>0</v>
      </c>
      <c r="AA4278">
        <v>0</v>
      </c>
      <c r="AB4278">
        <v>0</v>
      </c>
      <c r="AC4278">
        <v>0</v>
      </c>
      <c r="AD4278" t="s">
        <v>7750</v>
      </c>
    </row>
    <row r="4279" spans="1:30" x14ac:dyDescent="0.25">
      <c r="H4279" t="s">
        <v>7751</v>
      </c>
    </row>
    <row r="4280" spans="1:30" x14ac:dyDescent="0.25">
      <c r="A4280">
        <v>2137</v>
      </c>
      <c r="B4280">
        <v>919</v>
      </c>
      <c r="C4280" t="s">
        <v>7752</v>
      </c>
      <c r="D4280" t="s">
        <v>115</v>
      </c>
      <c r="E4280" t="s">
        <v>47</v>
      </c>
      <c r="F4280" t="s">
        <v>7753</v>
      </c>
      <c r="G4280" t="str">
        <f>"00298217"</f>
        <v>00298217</v>
      </c>
      <c r="H4280" t="s">
        <v>123</v>
      </c>
      <c r="I4280">
        <v>0</v>
      </c>
      <c r="J4280">
        <v>0</v>
      </c>
      <c r="K4280">
        <v>0</v>
      </c>
      <c r="L4280">
        <v>0</v>
      </c>
      <c r="M4280">
        <v>0</v>
      </c>
      <c r="N4280">
        <v>0</v>
      </c>
      <c r="O4280">
        <v>0</v>
      </c>
      <c r="P4280">
        <v>0</v>
      </c>
      <c r="Q4280">
        <v>0</v>
      </c>
      <c r="R4280">
        <v>0</v>
      </c>
      <c r="S4280">
        <v>0</v>
      </c>
      <c r="T4280">
        <v>0</v>
      </c>
      <c r="U4280">
        <v>0</v>
      </c>
      <c r="V4280">
        <v>2</v>
      </c>
      <c r="W4280">
        <v>14</v>
      </c>
      <c r="X4280">
        <v>0</v>
      </c>
      <c r="Z4280">
        <v>0</v>
      </c>
      <c r="AA4280">
        <v>0</v>
      </c>
      <c r="AB4280">
        <v>0</v>
      </c>
      <c r="AC4280">
        <v>0</v>
      </c>
      <c r="AD4280" t="s">
        <v>7754</v>
      </c>
    </row>
    <row r="4281" spans="1:30" x14ac:dyDescent="0.25">
      <c r="H4281" t="s">
        <v>7755</v>
      </c>
    </row>
    <row r="4282" spans="1:30" x14ac:dyDescent="0.25">
      <c r="A4282">
        <v>2138</v>
      </c>
      <c r="B4282">
        <v>5789</v>
      </c>
      <c r="C4282" t="s">
        <v>7756</v>
      </c>
      <c r="D4282" t="s">
        <v>59</v>
      </c>
      <c r="E4282" t="s">
        <v>107</v>
      </c>
      <c r="F4282" t="s">
        <v>7757</v>
      </c>
      <c r="G4282" t="str">
        <f>"201402011397"</f>
        <v>201402011397</v>
      </c>
      <c r="H4282" t="s">
        <v>241</v>
      </c>
      <c r="I4282">
        <v>0</v>
      </c>
      <c r="J4282">
        <v>0</v>
      </c>
      <c r="K4282">
        <v>0</v>
      </c>
      <c r="L4282">
        <v>0</v>
      </c>
      <c r="M4282">
        <v>0</v>
      </c>
      <c r="N4282">
        <v>0</v>
      </c>
      <c r="O4282">
        <v>30</v>
      </c>
      <c r="P4282">
        <v>0</v>
      </c>
      <c r="Q4282">
        <v>0</v>
      </c>
      <c r="R4282">
        <v>0</v>
      </c>
      <c r="S4282">
        <v>0</v>
      </c>
      <c r="T4282">
        <v>0</v>
      </c>
      <c r="U4282">
        <v>0</v>
      </c>
      <c r="V4282">
        <v>0</v>
      </c>
      <c r="W4282">
        <v>0</v>
      </c>
      <c r="X4282">
        <v>0</v>
      </c>
      <c r="Z4282">
        <v>0</v>
      </c>
      <c r="AA4282">
        <v>0</v>
      </c>
      <c r="AB4282">
        <v>0</v>
      </c>
      <c r="AC4282">
        <v>0</v>
      </c>
      <c r="AD4282" t="s">
        <v>7758</v>
      </c>
    </row>
    <row r="4283" spans="1:30" x14ac:dyDescent="0.25">
      <c r="H4283" t="s">
        <v>7759</v>
      </c>
    </row>
    <row r="4284" spans="1:30" x14ac:dyDescent="0.25">
      <c r="A4284">
        <v>2139</v>
      </c>
      <c r="B4284">
        <v>5173</v>
      </c>
      <c r="C4284" t="s">
        <v>7760</v>
      </c>
      <c r="D4284" t="s">
        <v>526</v>
      </c>
      <c r="E4284" t="s">
        <v>47</v>
      </c>
      <c r="F4284" t="s">
        <v>7761</v>
      </c>
      <c r="G4284" t="str">
        <f>"00202027"</f>
        <v>00202027</v>
      </c>
      <c r="H4284" t="s">
        <v>1490</v>
      </c>
      <c r="I4284">
        <v>0</v>
      </c>
      <c r="J4284">
        <v>0</v>
      </c>
      <c r="K4284">
        <v>0</v>
      </c>
      <c r="L4284">
        <v>0</v>
      </c>
      <c r="M4284">
        <v>0</v>
      </c>
      <c r="N4284">
        <v>30</v>
      </c>
      <c r="O4284">
        <v>0</v>
      </c>
      <c r="P4284">
        <v>0</v>
      </c>
      <c r="Q4284">
        <v>0</v>
      </c>
      <c r="R4284">
        <v>0</v>
      </c>
      <c r="S4284">
        <v>0</v>
      </c>
      <c r="T4284">
        <v>0</v>
      </c>
      <c r="U4284">
        <v>0</v>
      </c>
      <c r="V4284">
        <v>7</v>
      </c>
      <c r="W4284">
        <v>49</v>
      </c>
      <c r="X4284">
        <v>0</v>
      </c>
      <c r="Z4284">
        <v>0</v>
      </c>
      <c r="AA4284">
        <v>0</v>
      </c>
      <c r="AB4284">
        <v>0</v>
      </c>
      <c r="AC4284">
        <v>0</v>
      </c>
      <c r="AD4284" t="s">
        <v>7762</v>
      </c>
    </row>
    <row r="4285" spans="1:30" x14ac:dyDescent="0.25">
      <c r="H4285" t="s">
        <v>7763</v>
      </c>
    </row>
    <row r="4286" spans="1:30" x14ac:dyDescent="0.25">
      <c r="A4286">
        <v>2140</v>
      </c>
      <c r="B4286">
        <v>1651</v>
      </c>
      <c r="C4286" t="s">
        <v>6210</v>
      </c>
      <c r="D4286" t="s">
        <v>202</v>
      </c>
      <c r="E4286" t="s">
        <v>39</v>
      </c>
      <c r="F4286" t="s">
        <v>7764</v>
      </c>
      <c r="G4286" t="str">
        <f>"201604003833"</f>
        <v>201604003833</v>
      </c>
      <c r="H4286" t="s">
        <v>3441</v>
      </c>
      <c r="I4286">
        <v>0</v>
      </c>
      <c r="J4286">
        <v>0</v>
      </c>
      <c r="K4286">
        <v>0</v>
      </c>
      <c r="L4286">
        <v>0</v>
      </c>
      <c r="M4286">
        <v>0</v>
      </c>
      <c r="N4286">
        <v>30</v>
      </c>
      <c r="O4286">
        <v>0</v>
      </c>
      <c r="P4286">
        <v>0</v>
      </c>
      <c r="Q4286">
        <v>0</v>
      </c>
      <c r="R4286">
        <v>0</v>
      </c>
      <c r="S4286">
        <v>0</v>
      </c>
      <c r="T4286">
        <v>0</v>
      </c>
      <c r="U4286">
        <v>0</v>
      </c>
      <c r="V4286">
        <v>4</v>
      </c>
      <c r="W4286">
        <v>28</v>
      </c>
      <c r="X4286">
        <v>0</v>
      </c>
      <c r="Z4286">
        <v>0</v>
      </c>
      <c r="AA4286">
        <v>0</v>
      </c>
      <c r="AB4286">
        <v>0</v>
      </c>
      <c r="AC4286">
        <v>0</v>
      </c>
      <c r="AD4286" t="s">
        <v>7765</v>
      </c>
    </row>
    <row r="4287" spans="1:30" x14ac:dyDescent="0.25">
      <c r="H4287" t="s">
        <v>7766</v>
      </c>
    </row>
    <row r="4288" spans="1:30" x14ac:dyDescent="0.25">
      <c r="A4288">
        <v>2141</v>
      </c>
      <c r="B4288">
        <v>1594</v>
      </c>
      <c r="C4288" t="s">
        <v>2737</v>
      </c>
      <c r="D4288" t="s">
        <v>1265</v>
      </c>
      <c r="E4288" t="s">
        <v>107</v>
      </c>
      <c r="F4288" t="s">
        <v>7767</v>
      </c>
      <c r="G4288" t="str">
        <f>"00222597"</f>
        <v>00222597</v>
      </c>
      <c r="H4288" t="s">
        <v>4706</v>
      </c>
      <c r="I4288">
        <v>0</v>
      </c>
      <c r="J4288">
        <v>0</v>
      </c>
      <c r="K4288">
        <v>0</v>
      </c>
      <c r="L4288">
        <v>0</v>
      </c>
      <c r="M4288">
        <v>0</v>
      </c>
      <c r="N4288">
        <v>0</v>
      </c>
      <c r="O4288">
        <v>0</v>
      </c>
      <c r="P4288">
        <v>0</v>
      </c>
      <c r="Q4288">
        <v>0</v>
      </c>
      <c r="R4288">
        <v>0</v>
      </c>
      <c r="S4288">
        <v>0</v>
      </c>
      <c r="T4288">
        <v>0</v>
      </c>
      <c r="U4288">
        <v>0</v>
      </c>
      <c r="V4288">
        <v>1</v>
      </c>
      <c r="W4288">
        <v>7</v>
      </c>
      <c r="X4288">
        <v>0</v>
      </c>
      <c r="Z4288">
        <v>2</v>
      </c>
      <c r="AA4288">
        <v>0</v>
      </c>
      <c r="AB4288">
        <v>6</v>
      </c>
      <c r="AC4288">
        <v>102</v>
      </c>
      <c r="AD4288" t="s">
        <v>7768</v>
      </c>
    </row>
    <row r="4289" spans="1:30" x14ac:dyDescent="0.25">
      <c r="H4289" t="s">
        <v>7769</v>
      </c>
    </row>
    <row r="4290" spans="1:30" x14ac:dyDescent="0.25">
      <c r="A4290">
        <v>2142</v>
      </c>
      <c r="B4290">
        <v>2492</v>
      </c>
      <c r="C4290" t="s">
        <v>7770</v>
      </c>
      <c r="D4290" t="s">
        <v>7771</v>
      </c>
      <c r="E4290" t="s">
        <v>7772</v>
      </c>
      <c r="F4290" t="s">
        <v>7773</v>
      </c>
      <c r="G4290" t="str">
        <f>"00323539"</f>
        <v>00323539</v>
      </c>
      <c r="H4290">
        <v>748</v>
      </c>
      <c r="I4290">
        <v>0</v>
      </c>
      <c r="J4290">
        <v>0</v>
      </c>
      <c r="K4290">
        <v>0</v>
      </c>
      <c r="L4290">
        <v>0</v>
      </c>
      <c r="M4290">
        <v>0</v>
      </c>
      <c r="N4290">
        <v>0</v>
      </c>
      <c r="O4290">
        <v>0</v>
      </c>
      <c r="P4290">
        <v>0</v>
      </c>
      <c r="Q4290">
        <v>0</v>
      </c>
      <c r="R4290">
        <v>0</v>
      </c>
      <c r="S4290">
        <v>0</v>
      </c>
      <c r="T4290">
        <v>0</v>
      </c>
      <c r="U4290">
        <v>0</v>
      </c>
      <c r="V4290">
        <v>0</v>
      </c>
      <c r="W4290">
        <v>0</v>
      </c>
      <c r="X4290">
        <v>0</v>
      </c>
      <c r="Z4290">
        <v>0</v>
      </c>
      <c r="AA4290">
        <v>0</v>
      </c>
      <c r="AB4290">
        <v>0</v>
      </c>
      <c r="AC4290">
        <v>0</v>
      </c>
      <c r="AD4290">
        <v>748</v>
      </c>
    </row>
    <row r="4291" spans="1:30" x14ac:dyDescent="0.25">
      <c r="H4291" t="s">
        <v>7774</v>
      </c>
    </row>
    <row r="4292" spans="1:30" x14ac:dyDescent="0.25">
      <c r="A4292">
        <v>2143</v>
      </c>
      <c r="B4292">
        <v>3135</v>
      </c>
      <c r="C4292" t="s">
        <v>5644</v>
      </c>
      <c r="D4292" t="s">
        <v>59</v>
      </c>
      <c r="E4292" t="s">
        <v>87</v>
      </c>
      <c r="F4292" t="s">
        <v>7775</v>
      </c>
      <c r="G4292" t="str">
        <f>"201511033450"</f>
        <v>201511033450</v>
      </c>
      <c r="H4292">
        <v>748</v>
      </c>
      <c r="I4292">
        <v>0</v>
      </c>
      <c r="J4292">
        <v>0</v>
      </c>
      <c r="K4292">
        <v>0</v>
      </c>
      <c r="L4292">
        <v>0</v>
      </c>
      <c r="M4292">
        <v>0</v>
      </c>
      <c r="N4292">
        <v>0</v>
      </c>
      <c r="O4292">
        <v>0</v>
      </c>
      <c r="P4292">
        <v>0</v>
      </c>
      <c r="Q4292">
        <v>0</v>
      </c>
      <c r="R4292">
        <v>0</v>
      </c>
      <c r="S4292">
        <v>0</v>
      </c>
      <c r="T4292">
        <v>0</v>
      </c>
      <c r="U4292">
        <v>0</v>
      </c>
      <c r="V4292">
        <v>0</v>
      </c>
      <c r="W4292">
        <v>0</v>
      </c>
      <c r="X4292">
        <v>0</v>
      </c>
      <c r="Z4292">
        <v>0</v>
      </c>
      <c r="AA4292">
        <v>0</v>
      </c>
      <c r="AB4292">
        <v>0</v>
      </c>
      <c r="AC4292">
        <v>0</v>
      </c>
      <c r="AD4292">
        <v>748</v>
      </c>
    </row>
    <row r="4293" spans="1:30" x14ac:dyDescent="0.25">
      <c r="H4293" t="s">
        <v>7776</v>
      </c>
    </row>
    <row r="4294" spans="1:30" x14ac:dyDescent="0.25">
      <c r="A4294">
        <v>2144</v>
      </c>
      <c r="B4294">
        <v>1410</v>
      </c>
      <c r="C4294" t="s">
        <v>7777</v>
      </c>
      <c r="D4294" t="s">
        <v>7778</v>
      </c>
      <c r="E4294" t="s">
        <v>107</v>
      </c>
      <c r="F4294" t="s">
        <v>7779</v>
      </c>
      <c r="G4294" t="str">
        <f>"00147773"</f>
        <v>00147773</v>
      </c>
      <c r="H4294">
        <v>748</v>
      </c>
      <c r="I4294">
        <v>0</v>
      </c>
      <c r="J4294">
        <v>0</v>
      </c>
      <c r="K4294">
        <v>0</v>
      </c>
      <c r="L4294">
        <v>0</v>
      </c>
      <c r="M4294">
        <v>0</v>
      </c>
      <c r="N4294">
        <v>0</v>
      </c>
      <c r="O4294">
        <v>0</v>
      </c>
      <c r="P4294">
        <v>0</v>
      </c>
      <c r="Q4294">
        <v>0</v>
      </c>
      <c r="R4294">
        <v>0</v>
      </c>
      <c r="S4294">
        <v>0</v>
      </c>
      <c r="T4294">
        <v>0</v>
      </c>
      <c r="U4294">
        <v>0</v>
      </c>
      <c r="V4294">
        <v>0</v>
      </c>
      <c r="W4294">
        <v>0</v>
      </c>
      <c r="X4294">
        <v>0</v>
      </c>
      <c r="Z4294">
        <v>0</v>
      </c>
      <c r="AA4294">
        <v>0</v>
      </c>
      <c r="AB4294">
        <v>0</v>
      </c>
      <c r="AC4294">
        <v>0</v>
      </c>
      <c r="AD4294">
        <v>748</v>
      </c>
    </row>
    <row r="4295" spans="1:30" x14ac:dyDescent="0.25">
      <c r="H4295" t="s">
        <v>7780</v>
      </c>
    </row>
    <row r="4296" spans="1:30" x14ac:dyDescent="0.25">
      <c r="A4296">
        <v>2145</v>
      </c>
      <c r="B4296">
        <v>4675</v>
      </c>
      <c r="C4296" t="s">
        <v>7781</v>
      </c>
      <c r="D4296" t="s">
        <v>7782</v>
      </c>
      <c r="E4296" t="s">
        <v>7783</v>
      </c>
      <c r="F4296" t="s">
        <v>7784</v>
      </c>
      <c r="G4296" t="str">
        <f>"00365119"</f>
        <v>00365119</v>
      </c>
      <c r="H4296">
        <v>748</v>
      </c>
      <c r="I4296">
        <v>0</v>
      </c>
      <c r="J4296">
        <v>0</v>
      </c>
      <c r="K4296">
        <v>0</v>
      </c>
      <c r="L4296">
        <v>0</v>
      </c>
      <c r="M4296">
        <v>0</v>
      </c>
      <c r="N4296">
        <v>0</v>
      </c>
      <c r="O4296">
        <v>0</v>
      </c>
      <c r="P4296">
        <v>0</v>
      </c>
      <c r="Q4296">
        <v>0</v>
      </c>
      <c r="R4296">
        <v>0</v>
      </c>
      <c r="S4296">
        <v>0</v>
      </c>
      <c r="T4296">
        <v>0</v>
      </c>
      <c r="U4296">
        <v>0</v>
      </c>
      <c r="V4296">
        <v>0</v>
      </c>
      <c r="W4296">
        <v>0</v>
      </c>
      <c r="X4296">
        <v>0</v>
      </c>
      <c r="Z4296">
        <v>2</v>
      </c>
      <c r="AA4296">
        <v>0</v>
      </c>
      <c r="AB4296">
        <v>0</v>
      </c>
      <c r="AC4296">
        <v>0</v>
      </c>
      <c r="AD4296">
        <v>748</v>
      </c>
    </row>
    <row r="4297" spans="1:30" x14ac:dyDescent="0.25">
      <c r="H4297" t="s">
        <v>7785</v>
      </c>
    </row>
    <row r="4298" spans="1:30" x14ac:dyDescent="0.25">
      <c r="A4298">
        <v>2146</v>
      </c>
      <c r="B4298">
        <v>5584</v>
      </c>
      <c r="C4298" t="s">
        <v>7108</v>
      </c>
      <c r="D4298" t="s">
        <v>694</v>
      </c>
      <c r="E4298" t="s">
        <v>595</v>
      </c>
      <c r="F4298" t="s">
        <v>7786</v>
      </c>
      <c r="G4298" t="str">
        <f>"00361978"</f>
        <v>00361978</v>
      </c>
      <c r="H4298">
        <v>616</v>
      </c>
      <c r="I4298">
        <v>0</v>
      </c>
      <c r="J4298">
        <v>0</v>
      </c>
      <c r="K4298">
        <v>0</v>
      </c>
      <c r="L4298">
        <v>0</v>
      </c>
      <c r="M4298">
        <v>0</v>
      </c>
      <c r="N4298">
        <v>30</v>
      </c>
      <c r="O4298">
        <v>0</v>
      </c>
      <c r="P4298">
        <v>0</v>
      </c>
      <c r="Q4298">
        <v>0</v>
      </c>
      <c r="R4298">
        <v>0</v>
      </c>
      <c r="S4298">
        <v>0</v>
      </c>
      <c r="T4298">
        <v>0</v>
      </c>
      <c r="U4298">
        <v>0</v>
      </c>
      <c r="V4298">
        <v>0</v>
      </c>
      <c r="W4298">
        <v>0</v>
      </c>
      <c r="X4298">
        <v>0</v>
      </c>
      <c r="Z4298">
        <v>0</v>
      </c>
      <c r="AA4298">
        <v>0</v>
      </c>
      <c r="AB4298">
        <v>6</v>
      </c>
      <c r="AC4298">
        <v>102</v>
      </c>
      <c r="AD4298">
        <v>748</v>
      </c>
    </row>
    <row r="4299" spans="1:30" x14ac:dyDescent="0.25">
      <c r="H4299" t="s">
        <v>3337</v>
      </c>
    </row>
    <row r="4300" spans="1:30" x14ac:dyDescent="0.25">
      <c r="A4300">
        <v>2147</v>
      </c>
      <c r="B4300">
        <v>3383</v>
      </c>
      <c r="C4300" t="s">
        <v>7787</v>
      </c>
      <c r="D4300" t="s">
        <v>39</v>
      </c>
      <c r="E4300" t="s">
        <v>595</v>
      </c>
      <c r="F4300" t="s">
        <v>7788</v>
      </c>
      <c r="G4300" t="str">
        <f>"00365087"</f>
        <v>00365087</v>
      </c>
      <c r="H4300" t="s">
        <v>298</v>
      </c>
      <c r="I4300">
        <v>0</v>
      </c>
      <c r="J4300">
        <v>0</v>
      </c>
      <c r="K4300">
        <v>0</v>
      </c>
      <c r="L4300">
        <v>0</v>
      </c>
      <c r="M4300">
        <v>0</v>
      </c>
      <c r="N4300">
        <v>0</v>
      </c>
      <c r="O4300">
        <v>0</v>
      </c>
      <c r="P4300">
        <v>0</v>
      </c>
      <c r="Q4300">
        <v>0</v>
      </c>
      <c r="R4300">
        <v>0</v>
      </c>
      <c r="S4300">
        <v>0</v>
      </c>
      <c r="T4300">
        <v>0</v>
      </c>
      <c r="U4300">
        <v>0</v>
      </c>
      <c r="V4300">
        <v>18</v>
      </c>
      <c r="W4300">
        <v>126</v>
      </c>
      <c r="X4300">
        <v>0</v>
      </c>
      <c r="Z4300">
        <v>0</v>
      </c>
      <c r="AA4300">
        <v>0</v>
      </c>
      <c r="AB4300">
        <v>0</v>
      </c>
      <c r="AC4300">
        <v>0</v>
      </c>
      <c r="AD4300" t="s">
        <v>7789</v>
      </c>
    </row>
    <row r="4301" spans="1:30" x14ac:dyDescent="0.25">
      <c r="H4301" t="s">
        <v>7790</v>
      </c>
    </row>
    <row r="4302" spans="1:30" x14ac:dyDescent="0.25">
      <c r="A4302">
        <v>2148</v>
      </c>
      <c r="B4302">
        <v>1001</v>
      </c>
      <c r="C4302" t="s">
        <v>7139</v>
      </c>
      <c r="D4302" t="s">
        <v>595</v>
      </c>
      <c r="E4302" t="s">
        <v>2145</v>
      </c>
      <c r="F4302" t="s">
        <v>7791</v>
      </c>
      <c r="G4302" t="str">
        <f>"00043333"</f>
        <v>00043333</v>
      </c>
      <c r="H4302" t="s">
        <v>2197</v>
      </c>
      <c r="I4302">
        <v>0</v>
      </c>
      <c r="J4302">
        <v>0</v>
      </c>
      <c r="K4302">
        <v>0</v>
      </c>
      <c r="L4302">
        <v>0</v>
      </c>
      <c r="M4302">
        <v>0</v>
      </c>
      <c r="N4302">
        <v>50</v>
      </c>
      <c r="O4302">
        <v>0</v>
      </c>
      <c r="P4302">
        <v>0</v>
      </c>
      <c r="Q4302">
        <v>0</v>
      </c>
      <c r="R4302">
        <v>0</v>
      </c>
      <c r="S4302">
        <v>0</v>
      </c>
      <c r="T4302">
        <v>0</v>
      </c>
      <c r="U4302">
        <v>0</v>
      </c>
      <c r="V4302">
        <v>0</v>
      </c>
      <c r="W4302">
        <v>0</v>
      </c>
      <c r="X4302">
        <v>0</v>
      </c>
      <c r="Z4302">
        <v>0</v>
      </c>
      <c r="AA4302">
        <v>0</v>
      </c>
      <c r="AB4302">
        <v>0</v>
      </c>
      <c r="AC4302">
        <v>0</v>
      </c>
      <c r="AD4302" t="s">
        <v>7792</v>
      </c>
    </row>
    <row r="4303" spans="1:30" x14ac:dyDescent="0.25">
      <c r="H4303" t="s">
        <v>7793</v>
      </c>
    </row>
    <row r="4304" spans="1:30" x14ac:dyDescent="0.25">
      <c r="A4304">
        <v>2149</v>
      </c>
      <c r="B4304">
        <v>2757</v>
      </c>
      <c r="C4304" t="s">
        <v>7794</v>
      </c>
      <c r="D4304" t="s">
        <v>7795</v>
      </c>
      <c r="E4304" t="s">
        <v>6494</v>
      </c>
      <c r="F4304" t="s">
        <v>7796</v>
      </c>
      <c r="G4304" t="str">
        <f>"00256616"</f>
        <v>00256616</v>
      </c>
      <c r="H4304" t="s">
        <v>3482</v>
      </c>
      <c r="I4304">
        <v>0</v>
      </c>
      <c r="J4304">
        <v>0</v>
      </c>
      <c r="K4304">
        <v>0</v>
      </c>
      <c r="L4304">
        <v>0</v>
      </c>
      <c r="M4304">
        <v>0</v>
      </c>
      <c r="N4304">
        <v>30</v>
      </c>
      <c r="O4304">
        <v>0</v>
      </c>
      <c r="P4304">
        <v>0</v>
      </c>
      <c r="Q4304">
        <v>0</v>
      </c>
      <c r="R4304">
        <v>0</v>
      </c>
      <c r="S4304">
        <v>0</v>
      </c>
      <c r="T4304">
        <v>0</v>
      </c>
      <c r="U4304">
        <v>0</v>
      </c>
      <c r="V4304">
        <v>0</v>
      </c>
      <c r="W4304">
        <v>0</v>
      </c>
      <c r="X4304">
        <v>0</v>
      </c>
      <c r="Z4304">
        <v>0</v>
      </c>
      <c r="AA4304">
        <v>0</v>
      </c>
      <c r="AB4304">
        <v>0</v>
      </c>
      <c r="AC4304">
        <v>0</v>
      </c>
      <c r="AD4304" t="s">
        <v>7797</v>
      </c>
    </row>
    <row r="4305" spans="1:30" x14ac:dyDescent="0.25">
      <c r="H4305" t="s">
        <v>7798</v>
      </c>
    </row>
    <row r="4306" spans="1:30" x14ac:dyDescent="0.25">
      <c r="A4306">
        <v>2150</v>
      </c>
      <c r="B4306">
        <v>4334</v>
      </c>
      <c r="C4306" t="s">
        <v>7799</v>
      </c>
      <c r="D4306" t="s">
        <v>7800</v>
      </c>
      <c r="E4306" t="s">
        <v>47</v>
      </c>
      <c r="F4306" t="s">
        <v>7801</v>
      </c>
      <c r="G4306" t="str">
        <f>"00312403"</f>
        <v>00312403</v>
      </c>
      <c r="H4306" t="s">
        <v>3482</v>
      </c>
      <c r="I4306">
        <v>0</v>
      </c>
      <c r="J4306">
        <v>0</v>
      </c>
      <c r="K4306">
        <v>0</v>
      </c>
      <c r="L4306">
        <v>0</v>
      </c>
      <c r="M4306">
        <v>0</v>
      </c>
      <c r="N4306">
        <v>30</v>
      </c>
      <c r="O4306">
        <v>0</v>
      </c>
      <c r="P4306">
        <v>0</v>
      </c>
      <c r="Q4306">
        <v>0</v>
      </c>
      <c r="R4306">
        <v>0</v>
      </c>
      <c r="S4306">
        <v>0</v>
      </c>
      <c r="T4306">
        <v>0</v>
      </c>
      <c r="U4306">
        <v>0</v>
      </c>
      <c r="V4306">
        <v>0</v>
      </c>
      <c r="W4306">
        <v>0</v>
      </c>
      <c r="X4306">
        <v>0</v>
      </c>
      <c r="Z4306">
        <v>0</v>
      </c>
      <c r="AA4306">
        <v>0</v>
      </c>
      <c r="AB4306">
        <v>0</v>
      </c>
      <c r="AC4306">
        <v>0</v>
      </c>
      <c r="AD4306" t="s">
        <v>7797</v>
      </c>
    </row>
    <row r="4307" spans="1:30" x14ac:dyDescent="0.25">
      <c r="H4307" t="s">
        <v>7802</v>
      </c>
    </row>
    <row r="4308" spans="1:30" x14ac:dyDescent="0.25">
      <c r="A4308">
        <v>2151</v>
      </c>
      <c r="B4308">
        <v>4857</v>
      </c>
      <c r="C4308" t="s">
        <v>7803</v>
      </c>
      <c r="D4308" t="s">
        <v>87</v>
      </c>
      <c r="E4308" t="s">
        <v>151</v>
      </c>
      <c r="F4308" t="s">
        <v>7804</v>
      </c>
      <c r="G4308" t="str">
        <f>"00127771"</f>
        <v>00127771</v>
      </c>
      <c r="H4308">
        <v>726</v>
      </c>
      <c r="I4308">
        <v>0</v>
      </c>
      <c r="J4308">
        <v>0</v>
      </c>
      <c r="K4308">
        <v>0</v>
      </c>
      <c r="L4308">
        <v>0</v>
      </c>
      <c r="M4308">
        <v>0</v>
      </c>
      <c r="N4308">
        <v>0</v>
      </c>
      <c r="O4308">
        <v>0</v>
      </c>
      <c r="P4308">
        <v>0</v>
      </c>
      <c r="Q4308">
        <v>0</v>
      </c>
      <c r="R4308">
        <v>0</v>
      </c>
      <c r="S4308">
        <v>0</v>
      </c>
      <c r="T4308">
        <v>0</v>
      </c>
      <c r="U4308">
        <v>0</v>
      </c>
      <c r="V4308">
        <v>3</v>
      </c>
      <c r="W4308">
        <v>21</v>
      </c>
      <c r="X4308">
        <v>0</v>
      </c>
      <c r="Z4308">
        <v>0</v>
      </c>
      <c r="AA4308">
        <v>0</v>
      </c>
      <c r="AB4308">
        <v>0</v>
      </c>
      <c r="AC4308">
        <v>0</v>
      </c>
      <c r="AD4308">
        <v>747</v>
      </c>
    </row>
    <row r="4309" spans="1:30" x14ac:dyDescent="0.25">
      <c r="H4309" t="s">
        <v>7805</v>
      </c>
    </row>
    <row r="4310" spans="1:30" x14ac:dyDescent="0.25">
      <c r="A4310">
        <v>2152</v>
      </c>
      <c r="B4310">
        <v>3896</v>
      </c>
      <c r="C4310" t="s">
        <v>7806</v>
      </c>
      <c r="D4310" t="s">
        <v>830</v>
      </c>
      <c r="E4310" t="s">
        <v>162</v>
      </c>
      <c r="F4310" t="s">
        <v>7807</v>
      </c>
      <c r="G4310" t="str">
        <f>"00300911"</f>
        <v>00300911</v>
      </c>
      <c r="H4310" t="s">
        <v>2126</v>
      </c>
      <c r="I4310">
        <v>0</v>
      </c>
      <c r="J4310">
        <v>0</v>
      </c>
      <c r="K4310">
        <v>0</v>
      </c>
      <c r="L4310">
        <v>0</v>
      </c>
      <c r="M4310">
        <v>0</v>
      </c>
      <c r="N4310">
        <v>70</v>
      </c>
      <c r="O4310">
        <v>0</v>
      </c>
      <c r="P4310">
        <v>0</v>
      </c>
      <c r="Q4310">
        <v>0</v>
      </c>
      <c r="R4310">
        <v>0</v>
      </c>
      <c r="S4310">
        <v>0</v>
      </c>
      <c r="T4310">
        <v>0</v>
      </c>
      <c r="U4310">
        <v>0</v>
      </c>
      <c r="V4310">
        <v>0</v>
      </c>
      <c r="W4310">
        <v>0</v>
      </c>
      <c r="X4310">
        <v>0</v>
      </c>
      <c r="Z4310">
        <v>2</v>
      </c>
      <c r="AA4310">
        <v>0</v>
      </c>
      <c r="AB4310">
        <v>0</v>
      </c>
      <c r="AC4310">
        <v>0</v>
      </c>
      <c r="AD4310" t="s">
        <v>7808</v>
      </c>
    </row>
    <row r="4311" spans="1:30" x14ac:dyDescent="0.25">
      <c r="H4311" t="s">
        <v>7809</v>
      </c>
    </row>
    <row r="4312" spans="1:30" x14ac:dyDescent="0.25">
      <c r="A4312">
        <v>2153</v>
      </c>
      <c r="B4312">
        <v>4894</v>
      </c>
      <c r="C4312" t="s">
        <v>6789</v>
      </c>
      <c r="D4312" t="s">
        <v>494</v>
      </c>
      <c r="E4312" t="s">
        <v>39</v>
      </c>
      <c r="F4312" t="s">
        <v>7810</v>
      </c>
      <c r="G4312" t="str">
        <f>"00127049"</f>
        <v>00127049</v>
      </c>
      <c r="H4312" t="s">
        <v>933</v>
      </c>
      <c r="I4312">
        <v>0</v>
      </c>
      <c r="J4312">
        <v>0</v>
      </c>
      <c r="K4312">
        <v>0</v>
      </c>
      <c r="L4312">
        <v>0</v>
      </c>
      <c r="M4312">
        <v>0</v>
      </c>
      <c r="N4312">
        <v>30</v>
      </c>
      <c r="O4312">
        <v>0</v>
      </c>
      <c r="P4312">
        <v>0</v>
      </c>
      <c r="Q4312">
        <v>0</v>
      </c>
      <c r="R4312">
        <v>0</v>
      </c>
      <c r="S4312">
        <v>0</v>
      </c>
      <c r="T4312">
        <v>0</v>
      </c>
      <c r="U4312">
        <v>0</v>
      </c>
      <c r="V4312">
        <v>0</v>
      </c>
      <c r="W4312">
        <v>0</v>
      </c>
      <c r="X4312">
        <v>0</v>
      </c>
      <c r="Z4312">
        <v>0</v>
      </c>
      <c r="AA4312">
        <v>0</v>
      </c>
      <c r="AB4312">
        <v>0</v>
      </c>
      <c r="AC4312">
        <v>0</v>
      </c>
      <c r="AD4312" t="s">
        <v>7811</v>
      </c>
    </row>
    <row r="4313" spans="1:30" x14ac:dyDescent="0.25">
      <c r="H4313" t="s">
        <v>913</v>
      </c>
    </row>
    <row r="4314" spans="1:30" x14ac:dyDescent="0.25">
      <c r="A4314">
        <v>2154</v>
      </c>
      <c r="B4314">
        <v>1194</v>
      </c>
      <c r="C4314" t="s">
        <v>7812</v>
      </c>
      <c r="D4314" t="s">
        <v>1423</v>
      </c>
      <c r="E4314" t="s">
        <v>151</v>
      </c>
      <c r="F4314" t="s">
        <v>7813</v>
      </c>
      <c r="G4314" t="str">
        <f>"00149920"</f>
        <v>00149920</v>
      </c>
      <c r="H4314" t="s">
        <v>1345</v>
      </c>
      <c r="I4314">
        <v>0</v>
      </c>
      <c r="J4314">
        <v>0</v>
      </c>
      <c r="K4314">
        <v>0</v>
      </c>
      <c r="L4314">
        <v>0</v>
      </c>
      <c r="M4314">
        <v>0</v>
      </c>
      <c r="N4314">
        <v>0</v>
      </c>
      <c r="O4314">
        <v>0</v>
      </c>
      <c r="P4314">
        <v>0</v>
      </c>
      <c r="Q4314">
        <v>0</v>
      </c>
      <c r="R4314">
        <v>0</v>
      </c>
      <c r="S4314">
        <v>0</v>
      </c>
      <c r="T4314">
        <v>0</v>
      </c>
      <c r="U4314">
        <v>0</v>
      </c>
      <c r="V4314">
        <v>0</v>
      </c>
      <c r="W4314">
        <v>0</v>
      </c>
      <c r="X4314">
        <v>0</v>
      </c>
      <c r="Z4314">
        <v>2</v>
      </c>
      <c r="AA4314">
        <v>0</v>
      </c>
      <c r="AB4314">
        <v>0</v>
      </c>
      <c r="AC4314">
        <v>0</v>
      </c>
      <c r="AD4314" t="s">
        <v>1345</v>
      </c>
    </row>
    <row r="4315" spans="1:30" x14ac:dyDescent="0.25">
      <c r="H4315" t="s">
        <v>7814</v>
      </c>
    </row>
    <row r="4316" spans="1:30" x14ac:dyDescent="0.25">
      <c r="A4316">
        <v>2155</v>
      </c>
      <c r="B4316">
        <v>3031</v>
      </c>
      <c r="C4316" t="s">
        <v>7815</v>
      </c>
      <c r="D4316" t="s">
        <v>7816</v>
      </c>
      <c r="E4316" t="s">
        <v>290</v>
      </c>
      <c r="F4316" t="s">
        <v>7817</v>
      </c>
      <c r="G4316" t="str">
        <f>"00367407"</f>
        <v>00367407</v>
      </c>
      <c r="H4316" t="s">
        <v>402</v>
      </c>
      <c r="I4316">
        <v>0</v>
      </c>
      <c r="J4316">
        <v>0</v>
      </c>
      <c r="K4316">
        <v>0</v>
      </c>
      <c r="L4316">
        <v>0</v>
      </c>
      <c r="M4316">
        <v>0</v>
      </c>
      <c r="N4316">
        <v>0</v>
      </c>
      <c r="O4316">
        <v>0</v>
      </c>
      <c r="P4316">
        <v>0</v>
      </c>
      <c r="Q4316">
        <v>0</v>
      </c>
      <c r="R4316">
        <v>0</v>
      </c>
      <c r="S4316">
        <v>0</v>
      </c>
      <c r="T4316">
        <v>0</v>
      </c>
      <c r="U4316">
        <v>0</v>
      </c>
      <c r="V4316">
        <v>10</v>
      </c>
      <c r="W4316">
        <v>70</v>
      </c>
      <c r="X4316">
        <v>0</v>
      </c>
      <c r="Z4316">
        <v>0</v>
      </c>
      <c r="AA4316">
        <v>0</v>
      </c>
      <c r="AB4316">
        <v>0</v>
      </c>
      <c r="AC4316">
        <v>0</v>
      </c>
      <c r="AD4316" t="s">
        <v>7818</v>
      </c>
    </row>
    <row r="4317" spans="1:30" x14ac:dyDescent="0.25">
      <c r="H4317" t="s">
        <v>7819</v>
      </c>
    </row>
    <row r="4318" spans="1:30" x14ac:dyDescent="0.25">
      <c r="A4318">
        <v>2156</v>
      </c>
      <c r="B4318">
        <v>4891</v>
      </c>
      <c r="C4318" t="s">
        <v>7820</v>
      </c>
      <c r="D4318" t="s">
        <v>151</v>
      </c>
      <c r="E4318" t="s">
        <v>39</v>
      </c>
      <c r="F4318" t="s">
        <v>7821</v>
      </c>
      <c r="G4318" t="str">
        <f>"00356910"</f>
        <v>00356910</v>
      </c>
      <c r="H4318" t="s">
        <v>1339</v>
      </c>
      <c r="I4318">
        <v>0</v>
      </c>
      <c r="J4318">
        <v>0</v>
      </c>
      <c r="K4318">
        <v>0</v>
      </c>
      <c r="L4318">
        <v>0</v>
      </c>
      <c r="M4318">
        <v>0</v>
      </c>
      <c r="N4318">
        <v>30</v>
      </c>
      <c r="O4318">
        <v>0</v>
      </c>
      <c r="P4318">
        <v>0</v>
      </c>
      <c r="Q4318">
        <v>0</v>
      </c>
      <c r="R4318">
        <v>0</v>
      </c>
      <c r="S4318">
        <v>0</v>
      </c>
      <c r="T4318">
        <v>0</v>
      </c>
      <c r="U4318">
        <v>0</v>
      </c>
      <c r="V4318">
        <v>6</v>
      </c>
      <c r="W4318">
        <v>42</v>
      </c>
      <c r="X4318">
        <v>0</v>
      </c>
      <c r="Z4318">
        <v>2</v>
      </c>
      <c r="AA4318">
        <v>0</v>
      </c>
      <c r="AB4318">
        <v>0</v>
      </c>
      <c r="AC4318">
        <v>0</v>
      </c>
      <c r="AD4318" t="s">
        <v>7822</v>
      </c>
    </row>
    <row r="4319" spans="1:30" x14ac:dyDescent="0.25">
      <c r="H4319" t="s">
        <v>7823</v>
      </c>
    </row>
    <row r="4320" spans="1:30" x14ac:dyDescent="0.25">
      <c r="A4320">
        <v>2157</v>
      </c>
      <c r="B4320">
        <v>4263</v>
      </c>
      <c r="C4320" t="s">
        <v>7824</v>
      </c>
      <c r="D4320" t="s">
        <v>7825</v>
      </c>
      <c r="E4320" t="s">
        <v>183</v>
      </c>
      <c r="F4320" t="s">
        <v>7826</v>
      </c>
      <c r="G4320" t="str">
        <f>"00270419"</f>
        <v>00270419</v>
      </c>
      <c r="H4320">
        <v>715</v>
      </c>
      <c r="I4320">
        <v>0</v>
      </c>
      <c r="J4320">
        <v>0</v>
      </c>
      <c r="K4320">
        <v>0</v>
      </c>
      <c r="L4320">
        <v>0</v>
      </c>
      <c r="M4320">
        <v>0</v>
      </c>
      <c r="N4320">
        <v>30</v>
      </c>
      <c r="O4320">
        <v>0</v>
      </c>
      <c r="P4320">
        <v>0</v>
      </c>
      <c r="Q4320">
        <v>0</v>
      </c>
      <c r="R4320">
        <v>0</v>
      </c>
      <c r="S4320">
        <v>0</v>
      </c>
      <c r="T4320">
        <v>0</v>
      </c>
      <c r="U4320">
        <v>0</v>
      </c>
      <c r="V4320">
        <v>0</v>
      </c>
      <c r="W4320">
        <v>0</v>
      </c>
      <c r="X4320">
        <v>0</v>
      </c>
      <c r="Z4320">
        <v>0</v>
      </c>
      <c r="AA4320">
        <v>0</v>
      </c>
      <c r="AB4320">
        <v>0</v>
      </c>
      <c r="AC4320">
        <v>0</v>
      </c>
      <c r="AD4320">
        <v>745</v>
      </c>
    </row>
    <row r="4321" spans="1:30" x14ac:dyDescent="0.25">
      <c r="H4321" t="s">
        <v>7827</v>
      </c>
    </row>
    <row r="4322" spans="1:30" x14ac:dyDescent="0.25">
      <c r="A4322">
        <v>2158</v>
      </c>
      <c r="B4322">
        <v>5233</v>
      </c>
      <c r="C4322" t="s">
        <v>7803</v>
      </c>
      <c r="D4322" t="s">
        <v>47</v>
      </c>
      <c r="E4322" t="s">
        <v>151</v>
      </c>
      <c r="F4322" t="s">
        <v>7828</v>
      </c>
      <c r="G4322" t="str">
        <f>"00197371"</f>
        <v>00197371</v>
      </c>
      <c r="H4322" t="s">
        <v>2434</v>
      </c>
      <c r="I4322">
        <v>0</v>
      </c>
      <c r="J4322">
        <v>0</v>
      </c>
      <c r="K4322">
        <v>0</v>
      </c>
      <c r="L4322">
        <v>0</v>
      </c>
      <c r="M4322">
        <v>0</v>
      </c>
      <c r="N4322">
        <v>30</v>
      </c>
      <c r="O4322">
        <v>0</v>
      </c>
      <c r="P4322">
        <v>0</v>
      </c>
      <c r="Q4322">
        <v>0</v>
      </c>
      <c r="R4322">
        <v>0</v>
      </c>
      <c r="S4322">
        <v>0</v>
      </c>
      <c r="T4322">
        <v>0</v>
      </c>
      <c r="U4322">
        <v>0</v>
      </c>
      <c r="V4322">
        <v>0</v>
      </c>
      <c r="W4322">
        <v>0</v>
      </c>
      <c r="X4322">
        <v>0</v>
      </c>
      <c r="Z4322">
        <v>0</v>
      </c>
      <c r="AA4322">
        <v>0</v>
      </c>
      <c r="AB4322">
        <v>0</v>
      </c>
      <c r="AC4322">
        <v>0</v>
      </c>
      <c r="AD4322" t="s">
        <v>7829</v>
      </c>
    </row>
    <row r="4323" spans="1:30" x14ac:dyDescent="0.25">
      <c r="H4323" t="s">
        <v>7830</v>
      </c>
    </row>
    <row r="4324" spans="1:30" x14ac:dyDescent="0.25">
      <c r="A4324">
        <v>2159</v>
      </c>
      <c r="B4324">
        <v>1549</v>
      </c>
      <c r="C4324" t="s">
        <v>7831</v>
      </c>
      <c r="D4324" t="s">
        <v>335</v>
      </c>
      <c r="E4324" t="s">
        <v>140</v>
      </c>
      <c r="F4324" t="s">
        <v>7832</v>
      </c>
      <c r="G4324" t="str">
        <f>"00314894"</f>
        <v>00314894</v>
      </c>
      <c r="H4324" t="s">
        <v>2434</v>
      </c>
      <c r="I4324">
        <v>0</v>
      </c>
      <c r="J4324">
        <v>0</v>
      </c>
      <c r="K4324">
        <v>0</v>
      </c>
      <c r="L4324">
        <v>0</v>
      </c>
      <c r="M4324">
        <v>0</v>
      </c>
      <c r="N4324">
        <v>30</v>
      </c>
      <c r="O4324">
        <v>0</v>
      </c>
      <c r="P4324">
        <v>0</v>
      </c>
      <c r="Q4324">
        <v>0</v>
      </c>
      <c r="R4324">
        <v>0</v>
      </c>
      <c r="S4324">
        <v>0</v>
      </c>
      <c r="T4324">
        <v>0</v>
      </c>
      <c r="U4324">
        <v>0</v>
      </c>
      <c r="V4324">
        <v>0</v>
      </c>
      <c r="W4324">
        <v>0</v>
      </c>
      <c r="X4324">
        <v>0</v>
      </c>
      <c r="Z4324">
        <v>0</v>
      </c>
      <c r="AA4324">
        <v>0</v>
      </c>
      <c r="AB4324">
        <v>0</v>
      </c>
      <c r="AC4324">
        <v>0</v>
      </c>
      <c r="AD4324" t="s">
        <v>7829</v>
      </c>
    </row>
    <row r="4325" spans="1:30" x14ac:dyDescent="0.25">
      <c r="H4325" t="s">
        <v>7833</v>
      </c>
    </row>
    <row r="4326" spans="1:30" x14ac:dyDescent="0.25">
      <c r="A4326">
        <v>2160</v>
      </c>
      <c r="B4326">
        <v>5164</v>
      </c>
      <c r="C4326" t="s">
        <v>7834</v>
      </c>
      <c r="D4326" t="s">
        <v>7835</v>
      </c>
      <c r="E4326" t="s">
        <v>40</v>
      </c>
      <c r="F4326" t="s">
        <v>7836</v>
      </c>
      <c r="G4326" t="str">
        <f>"00365893"</f>
        <v>00365893</v>
      </c>
      <c r="H4326" t="s">
        <v>2434</v>
      </c>
      <c r="I4326">
        <v>0</v>
      </c>
      <c r="J4326">
        <v>0</v>
      </c>
      <c r="K4326">
        <v>0</v>
      </c>
      <c r="L4326">
        <v>0</v>
      </c>
      <c r="M4326">
        <v>0</v>
      </c>
      <c r="N4326">
        <v>30</v>
      </c>
      <c r="O4326">
        <v>0</v>
      </c>
      <c r="P4326">
        <v>0</v>
      </c>
      <c r="Q4326">
        <v>0</v>
      </c>
      <c r="R4326">
        <v>0</v>
      </c>
      <c r="S4326">
        <v>0</v>
      </c>
      <c r="T4326">
        <v>0</v>
      </c>
      <c r="U4326">
        <v>0</v>
      </c>
      <c r="V4326">
        <v>0</v>
      </c>
      <c r="W4326">
        <v>0</v>
      </c>
      <c r="X4326">
        <v>0</v>
      </c>
      <c r="Z4326">
        <v>0</v>
      </c>
      <c r="AA4326">
        <v>0</v>
      </c>
      <c r="AB4326">
        <v>0</v>
      </c>
      <c r="AC4326">
        <v>0</v>
      </c>
      <c r="AD4326" t="s">
        <v>7829</v>
      </c>
    </row>
    <row r="4327" spans="1:30" x14ac:dyDescent="0.25">
      <c r="H4327" t="s">
        <v>7837</v>
      </c>
    </row>
    <row r="4328" spans="1:30" x14ac:dyDescent="0.25">
      <c r="A4328">
        <v>2161</v>
      </c>
      <c r="B4328">
        <v>709</v>
      </c>
      <c r="C4328" t="s">
        <v>7838</v>
      </c>
      <c r="D4328" t="s">
        <v>2088</v>
      </c>
      <c r="E4328" t="s">
        <v>51</v>
      </c>
      <c r="F4328" t="s">
        <v>7839</v>
      </c>
      <c r="G4328" t="str">
        <f>"00153894"</f>
        <v>00153894</v>
      </c>
      <c r="H4328">
        <v>693</v>
      </c>
      <c r="I4328">
        <v>0</v>
      </c>
      <c r="J4328">
        <v>0</v>
      </c>
      <c r="K4328">
        <v>0</v>
      </c>
      <c r="L4328">
        <v>0</v>
      </c>
      <c r="M4328">
        <v>0</v>
      </c>
      <c r="N4328">
        <v>50</v>
      </c>
      <c r="O4328">
        <v>0</v>
      </c>
      <c r="P4328">
        <v>0</v>
      </c>
      <c r="Q4328">
        <v>0</v>
      </c>
      <c r="R4328">
        <v>0</v>
      </c>
      <c r="S4328">
        <v>0</v>
      </c>
      <c r="T4328">
        <v>0</v>
      </c>
      <c r="U4328">
        <v>0</v>
      </c>
      <c r="V4328">
        <v>0</v>
      </c>
      <c r="W4328">
        <v>0</v>
      </c>
      <c r="X4328">
        <v>0</v>
      </c>
      <c r="Z4328">
        <v>0</v>
      </c>
      <c r="AA4328">
        <v>0</v>
      </c>
      <c r="AB4328">
        <v>0</v>
      </c>
      <c r="AC4328">
        <v>0</v>
      </c>
      <c r="AD4328">
        <v>743</v>
      </c>
    </row>
    <row r="4329" spans="1:30" x14ac:dyDescent="0.25">
      <c r="H4329" t="s">
        <v>7840</v>
      </c>
    </row>
    <row r="4330" spans="1:30" x14ac:dyDescent="0.25">
      <c r="A4330">
        <v>2162</v>
      </c>
      <c r="B4330">
        <v>3875</v>
      </c>
      <c r="C4330" t="s">
        <v>7841</v>
      </c>
      <c r="D4330" t="s">
        <v>46</v>
      </c>
      <c r="E4330" t="s">
        <v>238</v>
      </c>
      <c r="F4330" t="s">
        <v>7842</v>
      </c>
      <c r="G4330" t="str">
        <f>"00224446"</f>
        <v>00224446</v>
      </c>
      <c r="H4330" t="s">
        <v>854</v>
      </c>
      <c r="I4330">
        <v>0</v>
      </c>
      <c r="J4330">
        <v>0</v>
      </c>
      <c r="K4330">
        <v>0</v>
      </c>
      <c r="L4330">
        <v>0</v>
      </c>
      <c r="M4330">
        <v>0</v>
      </c>
      <c r="N4330">
        <v>30</v>
      </c>
      <c r="O4330">
        <v>0</v>
      </c>
      <c r="P4330">
        <v>0</v>
      </c>
      <c r="Q4330">
        <v>0</v>
      </c>
      <c r="R4330">
        <v>0</v>
      </c>
      <c r="S4330">
        <v>0</v>
      </c>
      <c r="T4330">
        <v>0</v>
      </c>
      <c r="U4330">
        <v>0</v>
      </c>
      <c r="V4330">
        <v>0</v>
      </c>
      <c r="W4330">
        <v>0</v>
      </c>
      <c r="X4330">
        <v>0</v>
      </c>
      <c r="Z4330">
        <v>1</v>
      </c>
      <c r="AA4330">
        <v>0</v>
      </c>
      <c r="AB4330">
        <v>0</v>
      </c>
      <c r="AC4330">
        <v>0</v>
      </c>
      <c r="AD4330" t="s">
        <v>7843</v>
      </c>
    </row>
    <row r="4331" spans="1:30" x14ac:dyDescent="0.25">
      <c r="H4331" t="s">
        <v>5742</v>
      </c>
    </row>
    <row r="4332" spans="1:30" x14ac:dyDescent="0.25">
      <c r="A4332">
        <v>2163</v>
      </c>
      <c r="B4332">
        <v>3769</v>
      </c>
      <c r="C4332" t="s">
        <v>7844</v>
      </c>
      <c r="D4332" t="s">
        <v>974</v>
      </c>
      <c r="E4332" t="s">
        <v>99</v>
      </c>
      <c r="F4332" t="s">
        <v>7845</v>
      </c>
      <c r="G4332" t="str">
        <f>"00258056"</f>
        <v>00258056</v>
      </c>
      <c r="H4332" t="s">
        <v>1256</v>
      </c>
      <c r="I4332">
        <v>0</v>
      </c>
      <c r="J4332">
        <v>0</v>
      </c>
      <c r="K4332">
        <v>0</v>
      </c>
      <c r="L4332">
        <v>0</v>
      </c>
      <c r="M4332">
        <v>0</v>
      </c>
      <c r="N4332">
        <v>0</v>
      </c>
      <c r="O4332">
        <v>0</v>
      </c>
      <c r="P4332">
        <v>0</v>
      </c>
      <c r="Q4332">
        <v>0</v>
      </c>
      <c r="R4332">
        <v>0</v>
      </c>
      <c r="S4332">
        <v>0</v>
      </c>
      <c r="T4332">
        <v>0</v>
      </c>
      <c r="U4332">
        <v>0</v>
      </c>
      <c r="V4332">
        <v>11</v>
      </c>
      <c r="W4332">
        <v>77</v>
      </c>
      <c r="X4332">
        <v>0</v>
      </c>
      <c r="Z4332">
        <v>0</v>
      </c>
      <c r="AA4332">
        <v>0</v>
      </c>
      <c r="AB4332">
        <v>0</v>
      </c>
      <c r="AC4332">
        <v>0</v>
      </c>
      <c r="AD4332" t="s">
        <v>1546</v>
      </c>
    </row>
    <row r="4333" spans="1:30" x14ac:dyDescent="0.25">
      <c r="H4333" t="s">
        <v>7846</v>
      </c>
    </row>
    <row r="4334" spans="1:30" x14ac:dyDescent="0.25">
      <c r="A4334">
        <v>2164</v>
      </c>
      <c r="B4334">
        <v>3680</v>
      </c>
      <c r="C4334" t="s">
        <v>7847</v>
      </c>
      <c r="D4334" t="s">
        <v>143</v>
      </c>
      <c r="E4334" t="s">
        <v>7848</v>
      </c>
      <c r="F4334" t="s">
        <v>7849</v>
      </c>
      <c r="G4334" t="str">
        <f>"201511041235"</f>
        <v>201511041235</v>
      </c>
      <c r="H4334">
        <v>671</v>
      </c>
      <c r="I4334">
        <v>0</v>
      </c>
      <c r="J4334">
        <v>0</v>
      </c>
      <c r="K4334">
        <v>0</v>
      </c>
      <c r="L4334">
        <v>0</v>
      </c>
      <c r="M4334">
        <v>0</v>
      </c>
      <c r="N4334">
        <v>0</v>
      </c>
      <c r="O4334">
        <v>0</v>
      </c>
      <c r="P4334">
        <v>0</v>
      </c>
      <c r="Q4334">
        <v>0</v>
      </c>
      <c r="R4334">
        <v>0</v>
      </c>
      <c r="S4334">
        <v>0</v>
      </c>
      <c r="T4334">
        <v>0</v>
      </c>
      <c r="U4334">
        <v>0</v>
      </c>
      <c r="V4334">
        <v>10</v>
      </c>
      <c r="W4334">
        <v>70</v>
      </c>
      <c r="X4334">
        <v>0</v>
      </c>
      <c r="Z4334">
        <v>0</v>
      </c>
      <c r="AA4334">
        <v>0</v>
      </c>
      <c r="AB4334">
        <v>0</v>
      </c>
      <c r="AC4334">
        <v>0</v>
      </c>
      <c r="AD4334">
        <v>741</v>
      </c>
    </row>
    <row r="4335" spans="1:30" x14ac:dyDescent="0.25">
      <c r="H4335" t="s">
        <v>7850</v>
      </c>
    </row>
    <row r="4336" spans="1:30" x14ac:dyDescent="0.25">
      <c r="A4336">
        <v>2165</v>
      </c>
      <c r="B4336">
        <v>4679</v>
      </c>
      <c r="C4336" t="s">
        <v>7851</v>
      </c>
      <c r="D4336" t="s">
        <v>40</v>
      </c>
      <c r="E4336" t="s">
        <v>51</v>
      </c>
      <c r="F4336" t="s">
        <v>7852</v>
      </c>
      <c r="G4336" t="str">
        <f>"00341485"</f>
        <v>00341485</v>
      </c>
      <c r="H4336">
        <v>671</v>
      </c>
      <c r="I4336">
        <v>0</v>
      </c>
      <c r="J4336">
        <v>0</v>
      </c>
      <c r="K4336">
        <v>0</v>
      </c>
      <c r="L4336">
        <v>0</v>
      </c>
      <c r="M4336">
        <v>0</v>
      </c>
      <c r="N4336">
        <v>0</v>
      </c>
      <c r="O4336">
        <v>0</v>
      </c>
      <c r="P4336">
        <v>0</v>
      </c>
      <c r="Q4336">
        <v>0</v>
      </c>
      <c r="R4336">
        <v>0</v>
      </c>
      <c r="S4336">
        <v>0</v>
      </c>
      <c r="T4336">
        <v>0</v>
      </c>
      <c r="U4336">
        <v>0</v>
      </c>
      <c r="V4336">
        <v>10</v>
      </c>
      <c r="W4336">
        <v>70</v>
      </c>
      <c r="X4336">
        <v>0</v>
      </c>
      <c r="Z4336">
        <v>0</v>
      </c>
      <c r="AA4336">
        <v>0</v>
      </c>
      <c r="AB4336">
        <v>0</v>
      </c>
      <c r="AC4336">
        <v>0</v>
      </c>
      <c r="AD4336">
        <v>741</v>
      </c>
    </row>
    <row r="4337" spans="1:30" x14ac:dyDescent="0.25">
      <c r="H4337" t="s">
        <v>4920</v>
      </c>
    </row>
    <row r="4338" spans="1:30" x14ac:dyDescent="0.25">
      <c r="A4338">
        <v>2166</v>
      </c>
      <c r="B4338">
        <v>2930</v>
      </c>
      <c r="C4338" t="s">
        <v>7853</v>
      </c>
      <c r="D4338" t="s">
        <v>7854</v>
      </c>
      <c r="E4338" t="s">
        <v>47</v>
      </c>
      <c r="F4338" t="s">
        <v>7855</v>
      </c>
      <c r="G4338" t="str">
        <f>"201406002723"</f>
        <v>201406002723</v>
      </c>
      <c r="H4338" t="s">
        <v>3441</v>
      </c>
      <c r="I4338">
        <v>0</v>
      </c>
      <c r="J4338">
        <v>0</v>
      </c>
      <c r="K4338">
        <v>0</v>
      </c>
      <c r="L4338">
        <v>0</v>
      </c>
      <c r="M4338">
        <v>0</v>
      </c>
      <c r="N4338">
        <v>50</v>
      </c>
      <c r="O4338">
        <v>0</v>
      </c>
      <c r="P4338">
        <v>0</v>
      </c>
      <c r="Q4338">
        <v>0</v>
      </c>
      <c r="R4338">
        <v>0</v>
      </c>
      <c r="S4338">
        <v>0</v>
      </c>
      <c r="T4338">
        <v>0</v>
      </c>
      <c r="U4338">
        <v>0</v>
      </c>
      <c r="V4338">
        <v>0</v>
      </c>
      <c r="W4338">
        <v>0</v>
      </c>
      <c r="X4338">
        <v>0</v>
      </c>
      <c r="Z4338">
        <v>0</v>
      </c>
      <c r="AA4338">
        <v>0</v>
      </c>
      <c r="AB4338">
        <v>0</v>
      </c>
      <c r="AC4338">
        <v>0</v>
      </c>
      <c r="AD4338" t="s">
        <v>7856</v>
      </c>
    </row>
    <row r="4339" spans="1:30" x14ac:dyDescent="0.25">
      <c r="H4339" t="s">
        <v>7857</v>
      </c>
    </row>
    <row r="4340" spans="1:30" x14ac:dyDescent="0.25">
      <c r="A4340">
        <v>2167</v>
      </c>
      <c r="B4340">
        <v>4105</v>
      </c>
      <c r="C4340" t="s">
        <v>7858</v>
      </c>
      <c r="D4340" t="s">
        <v>544</v>
      </c>
      <c r="E4340" t="s">
        <v>190</v>
      </c>
      <c r="F4340" t="s">
        <v>7859</v>
      </c>
      <c r="G4340" t="str">
        <f>"201511009163"</f>
        <v>201511009163</v>
      </c>
      <c r="H4340" t="s">
        <v>1227</v>
      </c>
      <c r="I4340">
        <v>0</v>
      </c>
      <c r="J4340">
        <v>0</v>
      </c>
      <c r="K4340">
        <v>0</v>
      </c>
      <c r="L4340">
        <v>0</v>
      </c>
      <c r="M4340">
        <v>0</v>
      </c>
      <c r="N4340">
        <v>0</v>
      </c>
      <c r="O4340">
        <v>30</v>
      </c>
      <c r="P4340">
        <v>0</v>
      </c>
      <c r="Q4340">
        <v>0</v>
      </c>
      <c r="R4340">
        <v>0</v>
      </c>
      <c r="S4340">
        <v>0</v>
      </c>
      <c r="T4340">
        <v>0</v>
      </c>
      <c r="U4340">
        <v>0</v>
      </c>
      <c r="V4340">
        <v>0</v>
      </c>
      <c r="W4340">
        <v>0</v>
      </c>
      <c r="X4340">
        <v>0</v>
      </c>
      <c r="Z4340">
        <v>0</v>
      </c>
      <c r="AA4340">
        <v>0</v>
      </c>
      <c r="AB4340">
        <v>0</v>
      </c>
      <c r="AC4340">
        <v>0</v>
      </c>
      <c r="AD4340" t="s">
        <v>7860</v>
      </c>
    </row>
    <row r="4341" spans="1:30" x14ac:dyDescent="0.25">
      <c r="H4341" t="s">
        <v>1852</v>
      </c>
    </row>
    <row r="4342" spans="1:30" x14ac:dyDescent="0.25">
      <c r="A4342">
        <v>2168</v>
      </c>
      <c r="B4342">
        <v>5004</v>
      </c>
      <c r="C4342" t="s">
        <v>7861</v>
      </c>
      <c r="D4342" t="s">
        <v>134</v>
      </c>
      <c r="E4342" t="s">
        <v>4116</v>
      </c>
      <c r="F4342" t="s">
        <v>7862</v>
      </c>
      <c r="G4342" t="str">
        <f>"201602000097"</f>
        <v>201602000097</v>
      </c>
      <c r="H4342" t="s">
        <v>1227</v>
      </c>
      <c r="I4342">
        <v>0</v>
      </c>
      <c r="J4342">
        <v>0</v>
      </c>
      <c r="K4342">
        <v>0</v>
      </c>
      <c r="L4342">
        <v>0</v>
      </c>
      <c r="M4342">
        <v>0</v>
      </c>
      <c r="N4342">
        <v>30</v>
      </c>
      <c r="O4342">
        <v>0</v>
      </c>
      <c r="P4342">
        <v>0</v>
      </c>
      <c r="Q4342">
        <v>0</v>
      </c>
      <c r="R4342">
        <v>0</v>
      </c>
      <c r="S4342">
        <v>0</v>
      </c>
      <c r="T4342">
        <v>0</v>
      </c>
      <c r="U4342">
        <v>0</v>
      </c>
      <c r="V4342">
        <v>0</v>
      </c>
      <c r="W4342">
        <v>0</v>
      </c>
      <c r="X4342">
        <v>0</v>
      </c>
      <c r="Z4342">
        <v>0</v>
      </c>
      <c r="AA4342">
        <v>0</v>
      </c>
      <c r="AB4342">
        <v>0</v>
      </c>
      <c r="AC4342">
        <v>0</v>
      </c>
      <c r="AD4342" t="s">
        <v>7860</v>
      </c>
    </row>
    <row r="4343" spans="1:30" x14ac:dyDescent="0.25">
      <c r="H4343" t="s">
        <v>7863</v>
      </c>
    </row>
    <row r="4344" spans="1:30" x14ac:dyDescent="0.25">
      <c r="A4344">
        <v>2169</v>
      </c>
      <c r="B4344">
        <v>3032</v>
      </c>
      <c r="C4344" t="s">
        <v>7864</v>
      </c>
      <c r="D4344" t="s">
        <v>51</v>
      </c>
      <c r="E4344" t="s">
        <v>140</v>
      </c>
      <c r="F4344" t="s">
        <v>7865</v>
      </c>
      <c r="G4344" t="str">
        <f>"201406013426"</f>
        <v>201406013426</v>
      </c>
      <c r="H4344" t="s">
        <v>1227</v>
      </c>
      <c r="I4344">
        <v>0</v>
      </c>
      <c r="J4344">
        <v>0</v>
      </c>
      <c r="K4344">
        <v>0</v>
      </c>
      <c r="L4344">
        <v>0</v>
      </c>
      <c r="M4344">
        <v>0</v>
      </c>
      <c r="N4344">
        <v>30</v>
      </c>
      <c r="O4344">
        <v>0</v>
      </c>
      <c r="P4344">
        <v>0</v>
      </c>
      <c r="Q4344">
        <v>0</v>
      </c>
      <c r="R4344">
        <v>0</v>
      </c>
      <c r="S4344">
        <v>0</v>
      </c>
      <c r="T4344">
        <v>0</v>
      </c>
      <c r="U4344">
        <v>0</v>
      </c>
      <c r="V4344">
        <v>0</v>
      </c>
      <c r="W4344">
        <v>0</v>
      </c>
      <c r="X4344">
        <v>0</v>
      </c>
      <c r="Z4344">
        <v>0</v>
      </c>
      <c r="AA4344">
        <v>0</v>
      </c>
      <c r="AB4344">
        <v>0</v>
      </c>
      <c r="AC4344">
        <v>0</v>
      </c>
      <c r="AD4344" t="s">
        <v>7860</v>
      </c>
    </row>
    <row r="4345" spans="1:30" x14ac:dyDescent="0.25">
      <c r="H4345" t="s">
        <v>7866</v>
      </c>
    </row>
    <row r="4346" spans="1:30" x14ac:dyDescent="0.25">
      <c r="A4346">
        <v>2170</v>
      </c>
      <c r="B4346">
        <v>3191</v>
      </c>
      <c r="C4346" t="s">
        <v>7867</v>
      </c>
      <c r="D4346" t="s">
        <v>2088</v>
      </c>
      <c r="E4346" t="s">
        <v>51</v>
      </c>
      <c r="F4346" t="s">
        <v>7868</v>
      </c>
      <c r="G4346" t="str">
        <f>"201511006689"</f>
        <v>201511006689</v>
      </c>
      <c r="H4346" t="s">
        <v>1850</v>
      </c>
      <c r="I4346">
        <v>0</v>
      </c>
      <c r="J4346">
        <v>0</v>
      </c>
      <c r="K4346">
        <v>0</v>
      </c>
      <c r="L4346">
        <v>0</v>
      </c>
      <c r="M4346">
        <v>0</v>
      </c>
      <c r="N4346">
        <v>0</v>
      </c>
      <c r="O4346">
        <v>0</v>
      </c>
      <c r="P4346">
        <v>0</v>
      </c>
      <c r="Q4346">
        <v>0</v>
      </c>
      <c r="R4346">
        <v>0</v>
      </c>
      <c r="S4346">
        <v>0</v>
      </c>
      <c r="T4346">
        <v>0</v>
      </c>
      <c r="U4346">
        <v>0</v>
      </c>
      <c r="V4346">
        <v>5</v>
      </c>
      <c r="W4346">
        <v>35</v>
      </c>
      <c r="X4346">
        <v>0</v>
      </c>
      <c r="Z4346">
        <v>0</v>
      </c>
      <c r="AA4346">
        <v>0</v>
      </c>
      <c r="AB4346">
        <v>0</v>
      </c>
      <c r="AC4346">
        <v>0</v>
      </c>
      <c r="AD4346" t="s">
        <v>7869</v>
      </c>
    </row>
    <row r="4347" spans="1:30" x14ac:dyDescent="0.25">
      <c r="H4347" t="s">
        <v>7870</v>
      </c>
    </row>
    <row r="4348" spans="1:30" x14ac:dyDescent="0.25">
      <c r="A4348">
        <v>2171</v>
      </c>
      <c r="B4348">
        <v>1210</v>
      </c>
      <c r="C4348" t="s">
        <v>1493</v>
      </c>
      <c r="D4348" t="s">
        <v>182</v>
      </c>
      <c r="E4348" t="s">
        <v>140</v>
      </c>
      <c r="F4348" t="s">
        <v>7871</v>
      </c>
      <c r="G4348" t="str">
        <f>"00309040"</f>
        <v>00309040</v>
      </c>
      <c r="H4348" t="s">
        <v>1235</v>
      </c>
      <c r="I4348">
        <v>0</v>
      </c>
      <c r="J4348">
        <v>0</v>
      </c>
      <c r="K4348">
        <v>0</v>
      </c>
      <c r="L4348">
        <v>0</v>
      </c>
      <c r="M4348">
        <v>0</v>
      </c>
      <c r="N4348">
        <v>70</v>
      </c>
      <c r="O4348">
        <v>0</v>
      </c>
      <c r="P4348">
        <v>0</v>
      </c>
      <c r="Q4348">
        <v>0</v>
      </c>
      <c r="R4348">
        <v>0</v>
      </c>
      <c r="S4348">
        <v>0</v>
      </c>
      <c r="T4348">
        <v>0</v>
      </c>
      <c r="U4348">
        <v>0</v>
      </c>
      <c r="V4348">
        <v>0</v>
      </c>
      <c r="W4348">
        <v>0</v>
      </c>
      <c r="X4348">
        <v>0</v>
      </c>
      <c r="Z4348">
        <v>0</v>
      </c>
      <c r="AA4348">
        <v>0</v>
      </c>
      <c r="AB4348">
        <v>0</v>
      </c>
      <c r="AC4348">
        <v>0</v>
      </c>
      <c r="AD4348" t="s">
        <v>7872</v>
      </c>
    </row>
    <row r="4349" spans="1:30" x14ac:dyDescent="0.25">
      <c r="H4349">
        <v>1247</v>
      </c>
    </row>
    <row r="4350" spans="1:30" x14ac:dyDescent="0.25">
      <c r="A4350">
        <v>2172</v>
      </c>
      <c r="B4350">
        <v>1432</v>
      </c>
      <c r="C4350" t="s">
        <v>7873</v>
      </c>
      <c r="D4350" t="s">
        <v>751</v>
      </c>
      <c r="E4350" t="s">
        <v>162</v>
      </c>
      <c r="F4350" t="s">
        <v>7874</v>
      </c>
      <c r="G4350" t="str">
        <f>"00305940"</f>
        <v>00305940</v>
      </c>
      <c r="H4350" t="s">
        <v>1235</v>
      </c>
      <c r="I4350">
        <v>0</v>
      </c>
      <c r="J4350">
        <v>0</v>
      </c>
      <c r="K4350">
        <v>0</v>
      </c>
      <c r="L4350">
        <v>0</v>
      </c>
      <c r="M4350">
        <v>0</v>
      </c>
      <c r="N4350">
        <v>70</v>
      </c>
      <c r="O4350">
        <v>0</v>
      </c>
      <c r="P4350">
        <v>0</v>
      </c>
      <c r="Q4350">
        <v>0</v>
      </c>
      <c r="R4350">
        <v>0</v>
      </c>
      <c r="S4350">
        <v>0</v>
      </c>
      <c r="T4350">
        <v>0</v>
      </c>
      <c r="U4350">
        <v>0</v>
      </c>
      <c r="V4350">
        <v>0</v>
      </c>
      <c r="W4350">
        <v>0</v>
      </c>
      <c r="X4350">
        <v>0</v>
      </c>
      <c r="Z4350">
        <v>0</v>
      </c>
      <c r="AA4350">
        <v>0</v>
      </c>
      <c r="AB4350">
        <v>0</v>
      </c>
      <c r="AC4350">
        <v>0</v>
      </c>
      <c r="AD4350" t="s">
        <v>7872</v>
      </c>
    </row>
    <row r="4351" spans="1:30" x14ac:dyDescent="0.25">
      <c r="H4351" t="s">
        <v>7875</v>
      </c>
    </row>
    <row r="4352" spans="1:30" x14ac:dyDescent="0.25">
      <c r="A4352">
        <v>2173</v>
      </c>
      <c r="B4352">
        <v>1730</v>
      </c>
      <c r="C4352" t="s">
        <v>7876</v>
      </c>
      <c r="D4352" t="s">
        <v>182</v>
      </c>
      <c r="E4352" t="s">
        <v>162</v>
      </c>
      <c r="F4352" t="s">
        <v>7877</v>
      </c>
      <c r="G4352" t="str">
        <f>"00150320"</f>
        <v>00150320</v>
      </c>
      <c r="H4352" t="s">
        <v>422</v>
      </c>
      <c r="I4352">
        <v>0</v>
      </c>
      <c r="J4352">
        <v>0</v>
      </c>
      <c r="K4352">
        <v>0</v>
      </c>
      <c r="L4352">
        <v>0</v>
      </c>
      <c r="M4352">
        <v>0</v>
      </c>
      <c r="N4352">
        <v>50</v>
      </c>
      <c r="O4352">
        <v>0</v>
      </c>
      <c r="P4352">
        <v>0</v>
      </c>
      <c r="Q4352">
        <v>0</v>
      </c>
      <c r="R4352">
        <v>0</v>
      </c>
      <c r="S4352">
        <v>0</v>
      </c>
      <c r="T4352">
        <v>0</v>
      </c>
      <c r="U4352">
        <v>0</v>
      </c>
      <c r="V4352">
        <v>0</v>
      </c>
      <c r="W4352">
        <v>0</v>
      </c>
      <c r="X4352">
        <v>0</v>
      </c>
      <c r="Z4352">
        <v>0</v>
      </c>
      <c r="AA4352">
        <v>0</v>
      </c>
      <c r="AB4352">
        <v>0</v>
      </c>
      <c r="AC4352">
        <v>0</v>
      </c>
      <c r="AD4352" t="s">
        <v>7878</v>
      </c>
    </row>
    <row r="4353" spans="1:30" x14ac:dyDescent="0.25">
      <c r="H4353" t="s">
        <v>7879</v>
      </c>
    </row>
    <row r="4354" spans="1:30" x14ac:dyDescent="0.25">
      <c r="A4354">
        <v>2174</v>
      </c>
      <c r="B4354">
        <v>4228</v>
      </c>
      <c r="C4354" t="s">
        <v>6234</v>
      </c>
      <c r="D4354" t="s">
        <v>590</v>
      </c>
      <c r="E4354" t="s">
        <v>591</v>
      </c>
      <c r="F4354" t="s">
        <v>7880</v>
      </c>
      <c r="G4354" t="str">
        <f>"00367744"</f>
        <v>00367744</v>
      </c>
      <c r="H4354" t="s">
        <v>1091</v>
      </c>
      <c r="I4354">
        <v>0</v>
      </c>
      <c r="J4354">
        <v>0</v>
      </c>
      <c r="K4354">
        <v>0</v>
      </c>
      <c r="L4354">
        <v>0</v>
      </c>
      <c r="M4354">
        <v>0</v>
      </c>
      <c r="N4354">
        <v>30</v>
      </c>
      <c r="O4354">
        <v>0</v>
      </c>
      <c r="P4354">
        <v>0</v>
      </c>
      <c r="Q4354">
        <v>0</v>
      </c>
      <c r="R4354">
        <v>0</v>
      </c>
      <c r="S4354">
        <v>0</v>
      </c>
      <c r="T4354">
        <v>0</v>
      </c>
      <c r="U4354">
        <v>0</v>
      </c>
      <c r="V4354">
        <v>0</v>
      </c>
      <c r="W4354">
        <v>0</v>
      </c>
      <c r="X4354">
        <v>0</v>
      </c>
      <c r="Z4354">
        <v>1</v>
      </c>
      <c r="AA4354">
        <v>0</v>
      </c>
      <c r="AB4354">
        <v>0</v>
      </c>
      <c r="AC4354">
        <v>0</v>
      </c>
      <c r="AD4354" t="s">
        <v>7881</v>
      </c>
    </row>
    <row r="4355" spans="1:30" x14ac:dyDescent="0.25">
      <c r="H4355" t="s">
        <v>7882</v>
      </c>
    </row>
    <row r="4356" spans="1:30" x14ac:dyDescent="0.25">
      <c r="A4356">
        <v>2175</v>
      </c>
      <c r="B4356">
        <v>3879</v>
      </c>
      <c r="C4356" t="s">
        <v>7883</v>
      </c>
      <c r="D4356" t="s">
        <v>86</v>
      </c>
      <c r="E4356" t="s">
        <v>47</v>
      </c>
      <c r="F4356" t="s">
        <v>7884</v>
      </c>
      <c r="G4356" t="str">
        <f>"201206000116"</f>
        <v>201206000116</v>
      </c>
      <c r="H4356" t="s">
        <v>813</v>
      </c>
      <c r="I4356">
        <v>0</v>
      </c>
      <c r="J4356">
        <v>0</v>
      </c>
      <c r="K4356">
        <v>0</v>
      </c>
      <c r="L4356">
        <v>0</v>
      </c>
      <c r="M4356">
        <v>0</v>
      </c>
      <c r="N4356">
        <v>0</v>
      </c>
      <c r="O4356">
        <v>0</v>
      </c>
      <c r="P4356">
        <v>0</v>
      </c>
      <c r="Q4356">
        <v>0</v>
      </c>
      <c r="R4356">
        <v>0</v>
      </c>
      <c r="S4356">
        <v>0</v>
      </c>
      <c r="T4356">
        <v>0</v>
      </c>
      <c r="U4356">
        <v>0</v>
      </c>
      <c r="V4356">
        <v>0</v>
      </c>
      <c r="W4356">
        <v>0</v>
      </c>
      <c r="X4356">
        <v>0</v>
      </c>
      <c r="Z4356">
        <v>0</v>
      </c>
      <c r="AA4356">
        <v>0</v>
      </c>
      <c r="AB4356">
        <v>0</v>
      </c>
      <c r="AC4356">
        <v>0</v>
      </c>
      <c r="AD4356" t="s">
        <v>813</v>
      </c>
    </row>
    <row r="4357" spans="1:30" x14ac:dyDescent="0.25">
      <c r="H4357" t="s">
        <v>7885</v>
      </c>
    </row>
    <row r="4358" spans="1:30" x14ac:dyDescent="0.25">
      <c r="A4358">
        <v>2176</v>
      </c>
      <c r="B4358">
        <v>3046</v>
      </c>
      <c r="C4358" t="s">
        <v>7886</v>
      </c>
      <c r="D4358" t="s">
        <v>1289</v>
      </c>
      <c r="E4358" t="s">
        <v>47</v>
      </c>
      <c r="F4358" t="s">
        <v>7887</v>
      </c>
      <c r="G4358" t="str">
        <f>"00349859"</f>
        <v>00349859</v>
      </c>
      <c r="H4358" t="s">
        <v>1261</v>
      </c>
      <c r="I4358">
        <v>0</v>
      </c>
      <c r="J4358">
        <v>0</v>
      </c>
      <c r="K4358">
        <v>0</v>
      </c>
      <c r="L4358">
        <v>0</v>
      </c>
      <c r="M4358">
        <v>0</v>
      </c>
      <c r="N4358">
        <v>30</v>
      </c>
      <c r="O4358">
        <v>30</v>
      </c>
      <c r="P4358">
        <v>0</v>
      </c>
      <c r="Q4358">
        <v>0</v>
      </c>
      <c r="R4358">
        <v>0</v>
      </c>
      <c r="S4358">
        <v>0</v>
      </c>
      <c r="T4358">
        <v>0</v>
      </c>
      <c r="U4358">
        <v>0</v>
      </c>
      <c r="V4358">
        <v>2</v>
      </c>
      <c r="W4358">
        <v>14</v>
      </c>
      <c r="X4358">
        <v>0</v>
      </c>
      <c r="Z4358">
        <v>0</v>
      </c>
      <c r="AA4358">
        <v>0</v>
      </c>
      <c r="AB4358">
        <v>0</v>
      </c>
      <c r="AC4358">
        <v>0</v>
      </c>
      <c r="AD4358" t="s">
        <v>7888</v>
      </c>
    </row>
    <row r="4359" spans="1:30" x14ac:dyDescent="0.25">
      <c r="H4359" t="s">
        <v>7889</v>
      </c>
    </row>
    <row r="4360" spans="1:30" x14ac:dyDescent="0.25">
      <c r="A4360">
        <v>2177</v>
      </c>
      <c r="B4360">
        <v>2909</v>
      </c>
      <c r="C4360" t="s">
        <v>3298</v>
      </c>
      <c r="D4360" t="s">
        <v>46</v>
      </c>
      <c r="E4360" t="s">
        <v>468</v>
      </c>
      <c r="F4360" t="s">
        <v>7890</v>
      </c>
      <c r="G4360" t="str">
        <f>"00344827"</f>
        <v>00344827</v>
      </c>
      <c r="H4360" t="s">
        <v>2866</v>
      </c>
      <c r="I4360">
        <v>0</v>
      </c>
      <c r="J4360">
        <v>0</v>
      </c>
      <c r="K4360">
        <v>0</v>
      </c>
      <c r="L4360">
        <v>0</v>
      </c>
      <c r="M4360">
        <v>0</v>
      </c>
      <c r="N4360">
        <v>0</v>
      </c>
      <c r="O4360">
        <v>0</v>
      </c>
      <c r="P4360">
        <v>0</v>
      </c>
      <c r="Q4360">
        <v>0</v>
      </c>
      <c r="R4360">
        <v>0</v>
      </c>
      <c r="S4360">
        <v>0</v>
      </c>
      <c r="T4360">
        <v>0</v>
      </c>
      <c r="U4360">
        <v>0</v>
      </c>
      <c r="V4360">
        <v>0</v>
      </c>
      <c r="W4360">
        <v>0</v>
      </c>
      <c r="X4360">
        <v>0</v>
      </c>
      <c r="Z4360">
        <v>0</v>
      </c>
      <c r="AA4360">
        <v>0</v>
      </c>
      <c r="AB4360">
        <v>5</v>
      </c>
      <c r="AC4360">
        <v>85</v>
      </c>
      <c r="AD4360" t="s">
        <v>7888</v>
      </c>
    </row>
    <row r="4361" spans="1:30" x14ac:dyDescent="0.25">
      <c r="H4361" t="s">
        <v>7891</v>
      </c>
    </row>
    <row r="4362" spans="1:30" x14ac:dyDescent="0.25">
      <c r="A4362">
        <v>2178</v>
      </c>
      <c r="B4362">
        <v>4503</v>
      </c>
      <c r="C4362" t="s">
        <v>7892</v>
      </c>
      <c r="D4362" t="s">
        <v>7893</v>
      </c>
      <c r="E4362" t="s">
        <v>39</v>
      </c>
      <c r="F4362" t="s">
        <v>7894</v>
      </c>
      <c r="G4362" t="str">
        <f>"00190056"</f>
        <v>00190056</v>
      </c>
      <c r="H4362">
        <v>737</v>
      </c>
      <c r="I4362">
        <v>0</v>
      </c>
      <c r="J4362">
        <v>0</v>
      </c>
      <c r="K4362">
        <v>0</v>
      </c>
      <c r="L4362">
        <v>0</v>
      </c>
      <c r="M4362">
        <v>0</v>
      </c>
      <c r="N4362">
        <v>0</v>
      </c>
      <c r="O4362">
        <v>0</v>
      </c>
      <c r="P4362">
        <v>0</v>
      </c>
      <c r="Q4362">
        <v>0</v>
      </c>
      <c r="R4362">
        <v>0</v>
      </c>
      <c r="S4362">
        <v>0</v>
      </c>
      <c r="T4362">
        <v>0</v>
      </c>
      <c r="U4362">
        <v>0</v>
      </c>
      <c r="V4362">
        <v>0</v>
      </c>
      <c r="W4362">
        <v>0</v>
      </c>
      <c r="X4362">
        <v>0</v>
      </c>
      <c r="Z4362">
        <v>0</v>
      </c>
      <c r="AA4362">
        <v>0</v>
      </c>
      <c r="AB4362">
        <v>0</v>
      </c>
      <c r="AC4362">
        <v>0</v>
      </c>
      <c r="AD4362">
        <v>737</v>
      </c>
    </row>
    <row r="4363" spans="1:30" x14ac:dyDescent="0.25">
      <c r="H4363" t="s">
        <v>7895</v>
      </c>
    </row>
    <row r="4364" spans="1:30" x14ac:dyDescent="0.25">
      <c r="A4364">
        <v>2179</v>
      </c>
      <c r="B4364">
        <v>2528</v>
      </c>
      <c r="C4364" t="s">
        <v>7896</v>
      </c>
      <c r="D4364" t="s">
        <v>196</v>
      </c>
      <c r="E4364" t="s">
        <v>107</v>
      </c>
      <c r="F4364" t="s">
        <v>7897</v>
      </c>
      <c r="G4364" t="str">
        <f>"00324121"</f>
        <v>00324121</v>
      </c>
      <c r="H4364" t="s">
        <v>369</v>
      </c>
      <c r="I4364">
        <v>0</v>
      </c>
      <c r="J4364">
        <v>0</v>
      </c>
      <c r="K4364">
        <v>0</v>
      </c>
      <c r="L4364">
        <v>0</v>
      </c>
      <c r="M4364">
        <v>0</v>
      </c>
      <c r="N4364">
        <v>50</v>
      </c>
      <c r="O4364">
        <v>0</v>
      </c>
      <c r="P4364">
        <v>0</v>
      </c>
      <c r="Q4364">
        <v>30</v>
      </c>
      <c r="R4364">
        <v>0</v>
      </c>
      <c r="S4364">
        <v>0</v>
      </c>
      <c r="T4364">
        <v>0</v>
      </c>
      <c r="U4364">
        <v>0</v>
      </c>
      <c r="V4364">
        <v>0</v>
      </c>
      <c r="W4364">
        <v>0</v>
      </c>
      <c r="X4364">
        <v>0</v>
      </c>
      <c r="Z4364">
        <v>0</v>
      </c>
      <c r="AA4364">
        <v>0</v>
      </c>
      <c r="AB4364">
        <v>0</v>
      </c>
      <c r="AC4364">
        <v>0</v>
      </c>
      <c r="AD4364" t="s">
        <v>7898</v>
      </c>
    </row>
    <row r="4365" spans="1:30" x14ac:dyDescent="0.25">
      <c r="H4365" t="s">
        <v>7899</v>
      </c>
    </row>
    <row r="4366" spans="1:30" x14ac:dyDescent="0.25">
      <c r="A4366">
        <v>2180</v>
      </c>
      <c r="B4366">
        <v>5555</v>
      </c>
      <c r="C4366" t="s">
        <v>7900</v>
      </c>
      <c r="D4366" t="s">
        <v>290</v>
      </c>
      <c r="E4366" t="s">
        <v>39</v>
      </c>
      <c r="F4366" t="s">
        <v>7901</v>
      </c>
      <c r="G4366" t="str">
        <f>"201604000599"</f>
        <v>201604000599</v>
      </c>
      <c r="H4366" t="s">
        <v>3862</v>
      </c>
      <c r="I4366">
        <v>0</v>
      </c>
      <c r="J4366">
        <v>0</v>
      </c>
      <c r="K4366">
        <v>0</v>
      </c>
      <c r="L4366">
        <v>0</v>
      </c>
      <c r="M4366">
        <v>0</v>
      </c>
      <c r="N4366">
        <v>50</v>
      </c>
      <c r="O4366">
        <v>0</v>
      </c>
      <c r="P4366">
        <v>0</v>
      </c>
      <c r="Q4366">
        <v>0</v>
      </c>
      <c r="R4366">
        <v>0</v>
      </c>
      <c r="S4366">
        <v>0</v>
      </c>
      <c r="T4366">
        <v>0</v>
      </c>
      <c r="U4366">
        <v>0</v>
      </c>
      <c r="V4366">
        <v>0</v>
      </c>
      <c r="W4366">
        <v>0</v>
      </c>
      <c r="X4366">
        <v>0</v>
      </c>
      <c r="Z4366">
        <v>1</v>
      </c>
      <c r="AA4366">
        <v>0</v>
      </c>
      <c r="AB4366">
        <v>0</v>
      </c>
      <c r="AC4366">
        <v>0</v>
      </c>
      <c r="AD4366" t="s">
        <v>7902</v>
      </c>
    </row>
    <row r="4367" spans="1:30" x14ac:dyDescent="0.25">
      <c r="H4367" t="s">
        <v>7903</v>
      </c>
    </row>
    <row r="4368" spans="1:30" x14ac:dyDescent="0.25">
      <c r="A4368">
        <v>2181</v>
      </c>
      <c r="B4368">
        <v>2472</v>
      </c>
      <c r="C4368" t="s">
        <v>7904</v>
      </c>
      <c r="D4368" t="s">
        <v>1292</v>
      </c>
      <c r="E4368" t="s">
        <v>290</v>
      </c>
      <c r="F4368" t="s">
        <v>7905</v>
      </c>
      <c r="G4368" t="str">
        <f>"00207473"</f>
        <v>00207473</v>
      </c>
      <c r="H4368" t="s">
        <v>3862</v>
      </c>
      <c r="I4368">
        <v>0</v>
      </c>
      <c r="J4368">
        <v>0</v>
      </c>
      <c r="K4368">
        <v>0</v>
      </c>
      <c r="L4368">
        <v>0</v>
      </c>
      <c r="M4368">
        <v>0</v>
      </c>
      <c r="N4368">
        <v>50</v>
      </c>
      <c r="O4368">
        <v>0</v>
      </c>
      <c r="P4368">
        <v>0</v>
      </c>
      <c r="Q4368">
        <v>0</v>
      </c>
      <c r="R4368">
        <v>0</v>
      </c>
      <c r="S4368">
        <v>0</v>
      </c>
      <c r="T4368">
        <v>0</v>
      </c>
      <c r="U4368">
        <v>0</v>
      </c>
      <c r="V4368">
        <v>0</v>
      </c>
      <c r="W4368">
        <v>0</v>
      </c>
      <c r="X4368">
        <v>0</v>
      </c>
      <c r="Z4368">
        <v>0</v>
      </c>
      <c r="AA4368">
        <v>0</v>
      </c>
      <c r="AB4368">
        <v>0</v>
      </c>
      <c r="AC4368">
        <v>0</v>
      </c>
      <c r="AD4368" t="s">
        <v>7902</v>
      </c>
    </row>
    <row r="4369" spans="1:30" x14ac:dyDescent="0.25">
      <c r="H4369" t="s">
        <v>7906</v>
      </c>
    </row>
    <row r="4370" spans="1:30" x14ac:dyDescent="0.25">
      <c r="A4370">
        <v>2182</v>
      </c>
      <c r="B4370">
        <v>858</v>
      </c>
      <c r="C4370" t="s">
        <v>7907</v>
      </c>
      <c r="D4370" t="s">
        <v>162</v>
      </c>
      <c r="E4370" t="s">
        <v>595</v>
      </c>
      <c r="F4370" t="s">
        <v>7908</v>
      </c>
      <c r="G4370" t="str">
        <f>"00151488"</f>
        <v>00151488</v>
      </c>
      <c r="H4370" t="s">
        <v>1303</v>
      </c>
      <c r="I4370">
        <v>0</v>
      </c>
      <c r="J4370">
        <v>0</v>
      </c>
      <c r="K4370">
        <v>0</v>
      </c>
      <c r="L4370">
        <v>0</v>
      </c>
      <c r="M4370">
        <v>0</v>
      </c>
      <c r="N4370">
        <v>30</v>
      </c>
      <c r="O4370">
        <v>0</v>
      </c>
      <c r="P4370">
        <v>0</v>
      </c>
      <c r="Q4370">
        <v>0</v>
      </c>
      <c r="R4370">
        <v>0</v>
      </c>
      <c r="S4370">
        <v>0</v>
      </c>
      <c r="T4370">
        <v>0</v>
      </c>
      <c r="U4370">
        <v>0</v>
      </c>
      <c r="V4370">
        <v>0</v>
      </c>
      <c r="W4370">
        <v>0</v>
      </c>
      <c r="X4370">
        <v>0</v>
      </c>
      <c r="Z4370">
        <v>0</v>
      </c>
      <c r="AA4370">
        <v>0</v>
      </c>
      <c r="AB4370">
        <v>0</v>
      </c>
      <c r="AC4370">
        <v>0</v>
      </c>
      <c r="AD4370" t="s">
        <v>7909</v>
      </c>
    </row>
    <row r="4371" spans="1:30" x14ac:dyDescent="0.25">
      <c r="H4371" t="s">
        <v>7910</v>
      </c>
    </row>
    <row r="4372" spans="1:30" x14ac:dyDescent="0.25">
      <c r="A4372">
        <v>2183</v>
      </c>
      <c r="B4372">
        <v>5616</v>
      </c>
      <c r="C4372" t="s">
        <v>7911</v>
      </c>
      <c r="D4372" t="s">
        <v>3740</v>
      </c>
      <c r="E4372" t="s">
        <v>87</v>
      </c>
      <c r="F4372" t="s">
        <v>7912</v>
      </c>
      <c r="G4372" t="str">
        <f>"00246970"</f>
        <v>00246970</v>
      </c>
      <c r="H4372" t="s">
        <v>1339</v>
      </c>
      <c r="I4372">
        <v>0</v>
      </c>
      <c r="J4372">
        <v>0</v>
      </c>
      <c r="K4372">
        <v>0</v>
      </c>
      <c r="L4372">
        <v>0</v>
      </c>
      <c r="M4372">
        <v>0</v>
      </c>
      <c r="N4372">
        <v>0</v>
      </c>
      <c r="O4372">
        <v>0</v>
      </c>
      <c r="P4372">
        <v>0</v>
      </c>
      <c r="Q4372">
        <v>0</v>
      </c>
      <c r="R4372">
        <v>0</v>
      </c>
      <c r="S4372">
        <v>0</v>
      </c>
      <c r="T4372">
        <v>0</v>
      </c>
      <c r="U4372">
        <v>0</v>
      </c>
      <c r="V4372">
        <v>9</v>
      </c>
      <c r="W4372">
        <v>63</v>
      </c>
      <c r="X4372">
        <v>0</v>
      </c>
      <c r="Z4372">
        <v>0</v>
      </c>
      <c r="AA4372">
        <v>0</v>
      </c>
      <c r="AB4372">
        <v>0</v>
      </c>
      <c r="AC4372">
        <v>0</v>
      </c>
      <c r="AD4372" t="s">
        <v>7909</v>
      </c>
    </row>
    <row r="4373" spans="1:30" x14ac:dyDescent="0.25">
      <c r="H4373" t="s">
        <v>7913</v>
      </c>
    </row>
    <row r="4374" spans="1:30" x14ac:dyDescent="0.25">
      <c r="A4374">
        <v>2184</v>
      </c>
      <c r="B4374">
        <v>1061</v>
      </c>
      <c r="C4374" t="s">
        <v>2298</v>
      </c>
      <c r="D4374" t="s">
        <v>474</v>
      </c>
      <c r="E4374" t="s">
        <v>239</v>
      </c>
      <c r="F4374" t="s">
        <v>7914</v>
      </c>
      <c r="G4374" t="str">
        <f>"201410000433"</f>
        <v>201410000433</v>
      </c>
      <c r="H4374" t="s">
        <v>1376</v>
      </c>
      <c r="I4374">
        <v>0</v>
      </c>
      <c r="J4374">
        <v>0</v>
      </c>
      <c r="K4374">
        <v>0</v>
      </c>
      <c r="L4374">
        <v>0</v>
      </c>
      <c r="M4374">
        <v>0</v>
      </c>
      <c r="N4374">
        <v>30</v>
      </c>
      <c r="O4374">
        <v>0</v>
      </c>
      <c r="P4374">
        <v>0</v>
      </c>
      <c r="Q4374">
        <v>0</v>
      </c>
      <c r="R4374">
        <v>0</v>
      </c>
      <c r="S4374">
        <v>0</v>
      </c>
      <c r="T4374">
        <v>0</v>
      </c>
      <c r="U4374">
        <v>0</v>
      </c>
      <c r="V4374">
        <v>8</v>
      </c>
      <c r="W4374">
        <v>56</v>
      </c>
      <c r="X4374">
        <v>0</v>
      </c>
      <c r="Z4374">
        <v>2</v>
      </c>
      <c r="AA4374">
        <v>0</v>
      </c>
      <c r="AB4374">
        <v>0</v>
      </c>
      <c r="AC4374">
        <v>0</v>
      </c>
      <c r="AD4374" t="s">
        <v>7915</v>
      </c>
    </row>
    <row r="4375" spans="1:30" x14ac:dyDescent="0.25">
      <c r="H4375" t="s">
        <v>7916</v>
      </c>
    </row>
    <row r="4376" spans="1:30" x14ac:dyDescent="0.25">
      <c r="A4376">
        <v>2185</v>
      </c>
      <c r="B4376">
        <v>1593</v>
      </c>
      <c r="C4376" t="s">
        <v>7917</v>
      </c>
      <c r="D4376" t="s">
        <v>7918</v>
      </c>
      <c r="E4376" t="s">
        <v>40</v>
      </c>
      <c r="F4376" t="s">
        <v>7919</v>
      </c>
      <c r="G4376" t="str">
        <f>"00301547"</f>
        <v>00301547</v>
      </c>
      <c r="H4376" t="s">
        <v>123</v>
      </c>
      <c r="I4376">
        <v>0</v>
      </c>
      <c r="J4376">
        <v>0</v>
      </c>
      <c r="K4376">
        <v>0</v>
      </c>
      <c r="L4376">
        <v>0</v>
      </c>
      <c r="M4376">
        <v>0</v>
      </c>
      <c r="N4376">
        <v>0</v>
      </c>
      <c r="O4376">
        <v>0</v>
      </c>
      <c r="P4376">
        <v>0</v>
      </c>
      <c r="Q4376">
        <v>0</v>
      </c>
      <c r="R4376">
        <v>0</v>
      </c>
      <c r="S4376">
        <v>0</v>
      </c>
      <c r="T4376">
        <v>0</v>
      </c>
      <c r="U4376">
        <v>0</v>
      </c>
      <c r="V4376">
        <v>0</v>
      </c>
      <c r="W4376">
        <v>0</v>
      </c>
      <c r="X4376">
        <v>0</v>
      </c>
      <c r="Z4376">
        <v>0</v>
      </c>
      <c r="AA4376">
        <v>0</v>
      </c>
      <c r="AB4376">
        <v>0</v>
      </c>
      <c r="AC4376">
        <v>0</v>
      </c>
      <c r="AD4376" t="s">
        <v>123</v>
      </c>
    </row>
    <row r="4377" spans="1:30" x14ac:dyDescent="0.25">
      <c r="H4377" t="s">
        <v>1229</v>
      </c>
    </row>
    <row r="4378" spans="1:30" x14ac:dyDescent="0.25">
      <c r="A4378">
        <v>2186</v>
      </c>
      <c r="B4378">
        <v>5903</v>
      </c>
      <c r="C4378" t="s">
        <v>7920</v>
      </c>
      <c r="D4378" t="s">
        <v>7921</v>
      </c>
      <c r="E4378" t="s">
        <v>378</v>
      </c>
      <c r="F4378" t="s">
        <v>7922</v>
      </c>
      <c r="G4378" t="str">
        <f>"00108777"</f>
        <v>00108777</v>
      </c>
      <c r="H4378" t="s">
        <v>638</v>
      </c>
      <c r="I4378">
        <v>0</v>
      </c>
      <c r="J4378">
        <v>0</v>
      </c>
      <c r="K4378">
        <v>0</v>
      </c>
      <c r="L4378">
        <v>0</v>
      </c>
      <c r="M4378">
        <v>0</v>
      </c>
      <c r="N4378">
        <v>0</v>
      </c>
      <c r="O4378">
        <v>0</v>
      </c>
      <c r="P4378">
        <v>0</v>
      </c>
      <c r="Q4378">
        <v>0</v>
      </c>
      <c r="R4378">
        <v>0</v>
      </c>
      <c r="S4378">
        <v>0</v>
      </c>
      <c r="T4378">
        <v>0</v>
      </c>
      <c r="U4378">
        <v>0</v>
      </c>
      <c r="V4378">
        <v>4</v>
      </c>
      <c r="W4378">
        <v>28</v>
      </c>
      <c r="X4378">
        <v>0</v>
      </c>
      <c r="Z4378">
        <v>2</v>
      </c>
      <c r="AA4378">
        <v>0</v>
      </c>
      <c r="AB4378">
        <v>0</v>
      </c>
      <c r="AC4378">
        <v>0</v>
      </c>
      <c r="AD4378" t="s">
        <v>7923</v>
      </c>
    </row>
    <row r="4379" spans="1:30" x14ac:dyDescent="0.25">
      <c r="H4379" t="s">
        <v>7924</v>
      </c>
    </row>
    <row r="4380" spans="1:30" x14ac:dyDescent="0.25">
      <c r="A4380">
        <v>2187</v>
      </c>
      <c r="B4380">
        <v>432</v>
      </c>
      <c r="C4380" t="s">
        <v>7925</v>
      </c>
      <c r="D4380" t="s">
        <v>6494</v>
      </c>
      <c r="E4380" t="s">
        <v>6097</v>
      </c>
      <c r="F4380" t="s">
        <v>7926</v>
      </c>
      <c r="G4380" t="str">
        <f>"00296321"</f>
        <v>00296321</v>
      </c>
      <c r="H4380" t="s">
        <v>740</v>
      </c>
      <c r="I4380">
        <v>0</v>
      </c>
      <c r="J4380">
        <v>0</v>
      </c>
      <c r="K4380">
        <v>0</v>
      </c>
      <c r="L4380">
        <v>0</v>
      </c>
      <c r="M4380">
        <v>0</v>
      </c>
      <c r="N4380">
        <v>50</v>
      </c>
      <c r="O4380">
        <v>0</v>
      </c>
      <c r="P4380">
        <v>0</v>
      </c>
      <c r="Q4380">
        <v>0</v>
      </c>
      <c r="R4380">
        <v>0</v>
      </c>
      <c r="S4380">
        <v>0</v>
      </c>
      <c r="T4380">
        <v>0</v>
      </c>
      <c r="U4380">
        <v>0</v>
      </c>
      <c r="V4380">
        <v>0</v>
      </c>
      <c r="W4380">
        <v>0</v>
      </c>
      <c r="X4380">
        <v>0</v>
      </c>
      <c r="Z4380">
        <v>0</v>
      </c>
      <c r="AA4380">
        <v>0</v>
      </c>
      <c r="AB4380">
        <v>0</v>
      </c>
      <c r="AC4380">
        <v>0</v>
      </c>
      <c r="AD4380" t="s">
        <v>7923</v>
      </c>
    </row>
    <row r="4381" spans="1:30" x14ac:dyDescent="0.25">
      <c r="H4381" t="s">
        <v>7927</v>
      </c>
    </row>
    <row r="4382" spans="1:30" x14ac:dyDescent="0.25">
      <c r="A4382">
        <v>2188</v>
      </c>
      <c r="B4382">
        <v>4090</v>
      </c>
      <c r="C4382" t="s">
        <v>3353</v>
      </c>
      <c r="D4382" t="s">
        <v>7928</v>
      </c>
      <c r="E4382" t="s">
        <v>190</v>
      </c>
      <c r="F4382" t="s">
        <v>7929</v>
      </c>
      <c r="G4382" t="str">
        <f>"00228809"</f>
        <v>00228809</v>
      </c>
      <c r="H4382" t="s">
        <v>1850</v>
      </c>
      <c r="I4382">
        <v>0</v>
      </c>
      <c r="J4382">
        <v>0</v>
      </c>
      <c r="K4382">
        <v>0</v>
      </c>
      <c r="L4382">
        <v>0</v>
      </c>
      <c r="M4382">
        <v>0</v>
      </c>
      <c r="N4382">
        <v>30</v>
      </c>
      <c r="O4382">
        <v>0</v>
      </c>
      <c r="P4382">
        <v>0</v>
      </c>
      <c r="Q4382">
        <v>0</v>
      </c>
      <c r="R4382">
        <v>0</v>
      </c>
      <c r="S4382">
        <v>0</v>
      </c>
      <c r="T4382">
        <v>0</v>
      </c>
      <c r="U4382">
        <v>0</v>
      </c>
      <c r="V4382">
        <v>0</v>
      </c>
      <c r="W4382">
        <v>0</v>
      </c>
      <c r="X4382">
        <v>0</v>
      </c>
      <c r="Z4382">
        <v>0</v>
      </c>
      <c r="AA4382">
        <v>0</v>
      </c>
      <c r="AB4382">
        <v>0</v>
      </c>
      <c r="AC4382">
        <v>0</v>
      </c>
      <c r="AD4382" t="s">
        <v>7930</v>
      </c>
    </row>
    <row r="4383" spans="1:30" x14ac:dyDescent="0.25">
      <c r="H4383" t="s">
        <v>7931</v>
      </c>
    </row>
    <row r="4384" spans="1:30" x14ac:dyDescent="0.25">
      <c r="A4384">
        <v>2189</v>
      </c>
      <c r="B4384">
        <v>488</v>
      </c>
      <c r="C4384" t="s">
        <v>7932</v>
      </c>
      <c r="D4384" t="s">
        <v>315</v>
      </c>
      <c r="E4384" t="s">
        <v>162</v>
      </c>
      <c r="F4384" t="s">
        <v>7933</v>
      </c>
      <c r="G4384" t="str">
        <f>"201412002472"</f>
        <v>201412002472</v>
      </c>
      <c r="H4384" t="s">
        <v>1850</v>
      </c>
      <c r="I4384">
        <v>0</v>
      </c>
      <c r="J4384">
        <v>0</v>
      </c>
      <c r="K4384">
        <v>0</v>
      </c>
      <c r="L4384">
        <v>0</v>
      </c>
      <c r="M4384">
        <v>0</v>
      </c>
      <c r="N4384">
        <v>30</v>
      </c>
      <c r="O4384">
        <v>0</v>
      </c>
      <c r="P4384">
        <v>0</v>
      </c>
      <c r="Q4384">
        <v>0</v>
      </c>
      <c r="R4384">
        <v>0</v>
      </c>
      <c r="S4384">
        <v>0</v>
      </c>
      <c r="T4384">
        <v>0</v>
      </c>
      <c r="U4384">
        <v>0</v>
      </c>
      <c r="V4384">
        <v>0</v>
      </c>
      <c r="W4384">
        <v>0</v>
      </c>
      <c r="X4384">
        <v>0</v>
      </c>
      <c r="Z4384">
        <v>1</v>
      </c>
      <c r="AA4384">
        <v>0</v>
      </c>
      <c r="AB4384">
        <v>0</v>
      </c>
      <c r="AC4384">
        <v>0</v>
      </c>
      <c r="AD4384" t="s">
        <v>7930</v>
      </c>
    </row>
    <row r="4385" spans="1:30" x14ac:dyDescent="0.25">
      <c r="H4385" t="s">
        <v>7934</v>
      </c>
    </row>
    <row r="4386" spans="1:30" x14ac:dyDescent="0.25">
      <c r="A4386">
        <v>2190</v>
      </c>
      <c r="B4386">
        <v>1277</v>
      </c>
      <c r="C4386" t="s">
        <v>394</v>
      </c>
      <c r="D4386" t="s">
        <v>4883</v>
      </c>
      <c r="E4386" t="s">
        <v>162</v>
      </c>
      <c r="F4386">
        <v>21199578</v>
      </c>
      <c r="G4386" t="str">
        <f>"00307698"</f>
        <v>00307698</v>
      </c>
      <c r="H4386" t="s">
        <v>1850</v>
      </c>
      <c r="I4386">
        <v>0</v>
      </c>
      <c r="J4386">
        <v>0</v>
      </c>
      <c r="K4386">
        <v>0</v>
      </c>
      <c r="L4386">
        <v>0</v>
      </c>
      <c r="M4386">
        <v>0</v>
      </c>
      <c r="N4386">
        <v>30</v>
      </c>
      <c r="O4386">
        <v>0</v>
      </c>
      <c r="P4386">
        <v>0</v>
      </c>
      <c r="Q4386">
        <v>0</v>
      </c>
      <c r="R4386">
        <v>0</v>
      </c>
      <c r="S4386">
        <v>0</v>
      </c>
      <c r="T4386">
        <v>0</v>
      </c>
      <c r="U4386">
        <v>0</v>
      </c>
      <c r="V4386">
        <v>0</v>
      </c>
      <c r="W4386">
        <v>0</v>
      </c>
      <c r="X4386">
        <v>0</v>
      </c>
      <c r="Z4386">
        <v>1</v>
      </c>
      <c r="AA4386">
        <v>0</v>
      </c>
      <c r="AB4386">
        <v>0</v>
      </c>
      <c r="AC4386">
        <v>0</v>
      </c>
      <c r="AD4386" t="s">
        <v>7930</v>
      </c>
    </row>
    <row r="4387" spans="1:30" x14ac:dyDescent="0.25">
      <c r="H4387" t="s">
        <v>7935</v>
      </c>
    </row>
    <row r="4388" spans="1:30" x14ac:dyDescent="0.25">
      <c r="A4388">
        <v>2191</v>
      </c>
      <c r="B4388">
        <v>860</v>
      </c>
      <c r="C4388" t="s">
        <v>7936</v>
      </c>
      <c r="D4388" t="s">
        <v>1620</v>
      </c>
      <c r="E4388" t="s">
        <v>51</v>
      </c>
      <c r="F4388" t="s">
        <v>7937</v>
      </c>
      <c r="G4388" t="str">
        <f>"201405000865"</f>
        <v>201405000865</v>
      </c>
      <c r="H4388" t="s">
        <v>6079</v>
      </c>
      <c r="I4388">
        <v>0</v>
      </c>
      <c r="J4388">
        <v>0</v>
      </c>
      <c r="K4388">
        <v>0</v>
      </c>
      <c r="L4388">
        <v>0</v>
      </c>
      <c r="M4388">
        <v>0</v>
      </c>
      <c r="N4388">
        <v>30</v>
      </c>
      <c r="O4388">
        <v>0</v>
      </c>
      <c r="P4388">
        <v>0</v>
      </c>
      <c r="Q4388">
        <v>0</v>
      </c>
      <c r="R4388">
        <v>0</v>
      </c>
      <c r="S4388">
        <v>0</v>
      </c>
      <c r="T4388">
        <v>0</v>
      </c>
      <c r="U4388">
        <v>0</v>
      </c>
      <c r="V4388">
        <v>9</v>
      </c>
      <c r="W4388">
        <v>63</v>
      </c>
      <c r="X4388">
        <v>0</v>
      </c>
      <c r="Z4388">
        <v>0</v>
      </c>
      <c r="AA4388">
        <v>0</v>
      </c>
      <c r="AB4388">
        <v>0</v>
      </c>
      <c r="AC4388">
        <v>0</v>
      </c>
      <c r="AD4388" t="s">
        <v>7938</v>
      </c>
    </row>
    <row r="4389" spans="1:30" x14ac:dyDescent="0.25">
      <c r="H4389" t="s">
        <v>7939</v>
      </c>
    </row>
    <row r="4390" spans="1:30" x14ac:dyDescent="0.25">
      <c r="A4390">
        <v>2192</v>
      </c>
      <c r="B4390">
        <v>1752</v>
      </c>
      <c r="C4390" t="s">
        <v>7940</v>
      </c>
      <c r="D4390" t="s">
        <v>420</v>
      </c>
      <c r="E4390" t="s">
        <v>176</v>
      </c>
      <c r="F4390" t="s">
        <v>7941</v>
      </c>
      <c r="G4390" t="str">
        <f>"00140063"</f>
        <v>00140063</v>
      </c>
      <c r="H4390" t="s">
        <v>3132</v>
      </c>
      <c r="I4390">
        <v>0</v>
      </c>
      <c r="J4390">
        <v>0</v>
      </c>
      <c r="K4390">
        <v>0</v>
      </c>
      <c r="L4390">
        <v>0</v>
      </c>
      <c r="M4390">
        <v>0</v>
      </c>
      <c r="N4390">
        <v>50</v>
      </c>
      <c r="O4390">
        <v>0</v>
      </c>
      <c r="P4390">
        <v>0</v>
      </c>
      <c r="Q4390">
        <v>0</v>
      </c>
      <c r="R4390">
        <v>0</v>
      </c>
      <c r="S4390">
        <v>0</v>
      </c>
      <c r="T4390">
        <v>0</v>
      </c>
      <c r="U4390">
        <v>0</v>
      </c>
      <c r="V4390">
        <v>0</v>
      </c>
      <c r="W4390">
        <v>0</v>
      </c>
      <c r="X4390">
        <v>0</v>
      </c>
      <c r="Z4390">
        <v>1</v>
      </c>
      <c r="AA4390">
        <v>0</v>
      </c>
      <c r="AB4390">
        <v>0</v>
      </c>
      <c r="AC4390">
        <v>0</v>
      </c>
      <c r="AD4390" t="s">
        <v>7942</v>
      </c>
    </row>
    <row r="4391" spans="1:30" x14ac:dyDescent="0.25">
      <c r="H4391" t="s">
        <v>7943</v>
      </c>
    </row>
    <row r="4392" spans="1:30" x14ac:dyDescent="0.25">
      <c r="A4392">
        <v>2193</v>
      </c>
      <c r="B4392">
        <v>4296</v>
      </c>
      <c r="C4392" t="s">
        <v>7944</v>
      </c>
      <c r="D4392" t="s">
        <v>239</v>
      </c>
      <c r="E4392" t="s">
        <v>40</v>
      </c>
      <c r="F4392" t="s">
        <v>7945</v>
      </c>
      <c r="G4392" t="str">
        <f>"201412003074"</f>
        <v>201412003074</v>
      </c>
      <c r="H4392" t="s">
        <v>2534</v>
      </c>
      <c r="I4392">
        <v>0</v>
      </c>
      <c r="J4392">
        <v>0</v>
      </c>
      <c r="K4392">
        <v>0</v>
      </c>
      <c r="L4392">
        <v>0</v>
      </c>
      <c r="M4392">
        <v>0</v>
      </c>
      <c r="N4392">
        <v>50</v>
      </c>
      <c r="O4392">
        <v>0</v>
      </c>
      <c r="P4392">
        <v>0</v>
      </c>
      <c r="Q4392">
        <v>0</v>
      </c>
      <c r="R4392">
        <v>0</v>
      </c>
      <c r="S4392">
        <v>0</v>
      </c>
      <c r="T4392">
        <v>0</v>
      </c>
      <c r="U4392">
        <v>0</v>
      </c>
      <c r="V4392">
        <v>8</v>
      </c>
      <c r="W4392">
        <v>56</v>
      </c>
      <c r="X4392">
        <v>0</v>
      </c>
      <c r="Z4392">
        <v>0</v>
      </c>
      <c r="AA4392">
        <v>0</v>
      </c>
      <c r="AB4392">
        <v>0</v>
      </c>
      <c r="AC4392">
        <v>0</v>
      </c>
      <c r="AD4392" t="s">
        <v>7946</v>
      </c>
    </row>
    <row r="4393" spans="1:30" x14ac:dyDescent="0.25">
      <c r="H4393" t="s">
        <v>7947</v>
      </c>
    </row>
    <row r="4394" spans="1:30" x14ac:dyDescent="0.25">
      <c r="A4394">
        <v>2194</v>
      </c>
      <c r="B4394">
        <v>5777</v>
      </c>
      <c r="C4394" t="s">
        <v>7948</v>
      </c>
      <c r="D4394" t="s">
        <v>7949</v>
      </c>
      <c r="E4394" t="s">
        <v>39</v>
      </c>
      <c r="F4394" t="s">
        <v>7950</v>
      </c>
      <c r="G4394" t="str">
        <f>"00230967"</f>
        <v>00230967</v>
      </c>
      <c r="H4394">
        <v>704</v>
      </c>
      <c r="I4394">
        <v>0</v>
      </c>
      <c r="J4394">
        <v>0</v>
      </c>
      <c r="K4394">
        <v>0</v>
      </c>
      <c r="L4394">
        <v>0</v>
      </c>
      <c r="M4394">
        <v>0</v>
      </c>
      <c r="N4394">
        <v>30</v>
      </c>
      <c r="O4394">
        <v>0</v>
      </c>
      <c r="P4394">
        <v>0</v>
      </c>
      <c r="Q4394">
        <v>0</v>
      </c>
      <c r="R4394">
        <v>0</v>
      </c>
      <c r="S4394">
        <v>0</v>
      </c>
      <c r="T4394">
        <v>0</v>
      </c>
      <c r="U4394">
        <v>0</v>
      </c>
      <c r="V4394">
        <v>0</v>
      </c>
      <c r="W4394">
        <v>0</v>
      </c>
      <c r="X4394">
        <v>0</v>
      </c>
      <c r="Z4394">
        <v>0</v>
      </c>
      <c r="AA4394">
        <v>0</v>
      </c>
      <c r="AB4394">
        <v>0</v>
      </c>
      <c r="AC4394">
        <v>0</v>
      </c>
      <c r="AD4394">
        <v>734</v>
      </c>
    </row>
    <row r="4395" spans="1:30" x14ac:dyDescent="0.25">
      <c r="H4395" t="s">
        <v>273</v>
      </c>
    </row>
    <row r="4396" spans="1:30" x14ac:dyDescent="0.25">
      <c r="A4396">
        <v>2195</v>
      </c>
      <c r="B4396">
        <v>788</v>
      </c>
      <c r="C4396" t="s">
        <v>7951</v>
      </c>
      <c r="D4396" t="s">
        <v>7952</v>
      </c>
      <c r="E4396" t="s">
        <v>6097</v>
      </c>
      <c r="F4396" t="s">
        <v>7953</v>
      </c>
      <c r="G4396" t="str">
        <f>"00222587"</f>
        <v>00222587</v>
      </c>
      <c r="H4396">
        <v>704</v>
      </c>
      <c r="I4396">
        <v>0</v>
      </c>
      <c r="J4396">
        <v>0</v>
      </c>
      <c r="K4396">
        <v>0</v>
      </c>
      <c r="L4396">
        <v>0</v>
      </c>
      <c r="M4396">
        <v>0</v>
      </c>
      <c r="N4396">
        <v>30</v>
      </c>
      <c r="O4396">
        <v>0</v>
      </c>
      <c r="P4396">
        <v>0</v>
      </c>
      <c r="Q4396">
        <v>0</v>
      </c>
      <c r="R4396">
        <v>0</v>
      </c>
      <c r="S4396">
        <v>0</v>
      </c>
      <c r="T4396">
        <v>0</v>
      </c>
      <c r="U4396">
        <v>0</v>
      </c>
      <c r="V4396">
        <v>0</v>
      </c>
      <c r="W4396">
        <v>0</v>
      </c>
      <c r="X4396">
        <v>0</v>
      </c>
      <c r="Z4396">
        <v>0</v>
      </c>
      <c r="AA4396">
        <v>0</v>
      </c>
      <c r="AB4396">
        <v>0</v>
      </c>
      <c r="AC4396">
        <v>0</v>
      </c>
      <c r="AD4396">
        <v>734</v>
      </c>
    </row>
    <row r="4397" spans="1:30" x14ac:dyDescent="0.25">
      <c r="H4397" t="s">
        <v>7954</v>
      </c>
    </row>
    <row r="4398" spans="1:30" x14ac:dyDescent="0.25">
      <c r="A4398">
        <v>2196</v>
      </c>
      <c r="B4398">
        <v>125</v>
      </c>
      <c r="C4398" t="s">
        <v>7955</v>
      </c>
      <c r="D4398" t="s">
        <v>723</v>
      </c>
      <c r="E4398" t="s">
        <v>140</v>
      </c>
      <c r="F4398" t="s">
        <v>7956</v>
      </c>
      <c r="G4398" t="str">
        <f>"201405001763"</f>
        <v>201405001763</v>
      </c>
      <c r="H4398">
        <v>704</v>
      </c>
      <c r="I4398">
        <v>0</v>
      </c>
      <c r="J4398">
        <v>0</v>
      </c>
      <c r="K4398">
        <v>0</v>
      </c>
      <c r="L4398">
        <v>0</v>
      </c>
      <c r="M4398">
        <v>0</v>
      </c>
      <c r="N4398">
        <v>30</v>
      </c>
      <c r="O4398">
        <v>0</v>
      </c>
      <c r="P4398">
        <v>0</v>
      </c>
      <c r="Q4398">
        <v>0</v>
      </c>
      <c r="R4398">
        <v>0</v>
      </c>
      <c r="S4398">
        <v>0</v>
      </c>
      <c r="T4398">
        <v>0</v>
      </c>
      <c r="U4398">
        <v>0</v>
      </c>
      <c r="V4398">
        <v>0</v>
      </c>
      <c r="W4398">
        <v>0</v>
      </c>
      <c r="X4398">
        <v>0</v>
      </c>
      <c r="Z4398">
        <v>0</v>
      </c>
      <c r="AA4398">
        <v>0</v>
      </c>
      <c r="AB4398">
        <v>0</v>
      </c>
      <c r="AC4398">
        <v>0</v>
      </c>
      <c r="AD4398">
        <v>734</v>
      </c>
    </row>
    <row r="4399" spans="1:30" x14ac:dyDescent="0.25">
      <c r="H4399" t="s">
        <v>7957</v>
      </c>
    </row>
    <row r="4400" spans="1:30" x14ac:dyDescent="0.25">
      <c r="A4400">
        <v>2197</v>
      </c>
      <c r="B4400">
        <v>4786</v>
      </c>
      <c r="C4400" t="s">
        <v>1971</v>
      </c>
      <c r="D4400" t="s">
        <v>1292</v>
      </c>
      <c r="E4400" t="s">
        <v>650</v>
      </c>
      <c r="F4400" t="s">
        <v>7958</v>
      </c>
      <c r="G4400" t="str">
        <f>"201511040802"</f>
        <v>201511040802</v>
      </c>
      <c r="H4400" t="s">
        <v>1261</v>
      </c>
      <c r="I4400">
        <v>0</v>
      </c>
      <c r="J4400">
        <v>0</v>
      </c>
      <c r="K4400">
        <v>0</v>
      </c>
      <c r="L4400">
        <v>0</v>
      </c>
      <c r="M4400">
        <v>0</v>
      </c>
      <c r="N4400">
        <v>70</v>
      </c>
      <c r="O4400">
        <v>0</v>
      </c>
      <c r="P4400">
        <v>0</v>
      </c>
      <c r="Q4400">
        <v>0</v>
      </c>
      <c r="R4400">
        <v>0</v>
      </c>
      <c r="S4400">
        <v>0</v>
      </c>
      <c r="T4400">
        <v>0</v>
      </c>
      <c r="U4400">
        <v>0</v>
      </c>
      <c r="V4400">
        <v>0</v>
      </c>
      <c r="W4400">
        <v>0</v>
      </c>
      <c r="X4400">
        <v>0</v>
      </c>
      <c r="Z4400">
        <v>0</v>
      </c>
      <c r="AA4400">
        <v>0</v>
      </c>
      <c r="AB4400">
        <v>0</v>
      </c>
      <c r="AC4400">
        <v>0</v>
      </c>
      <c r="AD4400" t="s">
        <v>7959</v>
      </c>
    </row>
    <row r="4401" spans="1:30" x14ac:dyDescent="0.25">
      <c r="H4401" t="s">
        <v>7960</v>
      </c>
    </row>
    <row r="4402" spans="1:30" x14ac:dyDescent="0.25">
      <c r="A4402">
        <v>2198</v>
      </c>
      <c r="B4402">
        <v>1501</v>
      </c>
      <c r="C4402" t="s">
        <v>7961</v>
      </c>
      <c r="D4402" t="s">
        <v>694</v>
      </c>
      <c r="E4402" t="s">
        <v>40</v>
      </c>
      <c r="F4402" t="s">
        <v>7962</v>
      </c>
      <c r="G4402" t="str">
        <f>"00279156"</f>
        <v>00279156</v>
      </c>
      <c r="H4402">
        <v>649</v>
      </c>
      <c r="I4402">
        <v>0</v>
      </c>
      <c r="J4402">
        <v>0</v>
      </c>
      <c r="K4402">
        <v>0</v>
      </c>
      <c r="L4402">
        <v>0</v>
      </c>
      <c r="M4402">
        <v>0</v>
      </c>
      <c r="N4402">
        <v>0</v>
      </c>
      <c r="O4402">
        <v>0</v>
      </c>
      <c r="P4402">
        <v>0</v>
      </c>
      <c r="Q4402">
        <v>0</v>
      </c>
      <c r="R4402">
        <v>0</v>
      </c>
      <c r="S4402">
        <v>0</v>
      </c>
      <c r="T4402">
        <v>0</v>
      </c>
      <c r="U4402">
        <v>0</v>
      </c>
      <c r="V4402">
        <v>12</v>
      </c>
      <c r="W4402">
        <v>84</v>
      </c>
      <c r="X4402">
        <v>0</v>
      </c>
      <c r="Z4402">
        <v>2</v>
      </c>
      <c r="AA4402">
        <v>0</v>
      </c>
      <c r="AB4402">
        <v>0</v>
      </c>
      <c r="AC4402">
        <v>0</v>
      </c>
      <c r="AD4402">
        <v>733</v>
      </c>
    </row>
    <row r="4403" spans="1:30" x14ac:dyDescent="0.25">
      <c r="H4403" t="s">
        <v>3046</v>
      </c>
    </row>
    <row r="4404" spans="1:30" x14ac:dyDescent="0.25">
      <c r="A4404">
        <v>2199</v>
      </c>
      <c r="B4404">
        <v>1878</v>
      </c>
      <c r="C4404" t="s">
        <v>7963</v>
      </c>
      <c r="D4404" t="s">
        <v>40</v>
      </c>
      <c r="E4404" t="s">
        <v>47</v>
      </c>
      <c r="F4404" t="s">
        <v>7964</v>
      </c>
      <c r="G4404" t="str">
        <f>"201410001971"</f>
        <v>201410001971</v>
      </c>
      <c r="H4404" t="s">
        <v>7965</v>
      </c>
      <c r="I4404">
        <v>0</v>
      </c>
      <c r="J4404">
        <v>0</v>
      </c>
      <c r="K4404">
        <v>0</v>
      </c>
      <c r="L4404">
        <v>0</v>
      </c>
      <c r="M4404">
        <v>0</v>
      </c>
      <c r="N4404">
        <v>0</v>
      </c>
      <c r="O4404">
        <v>0</v>
      </c>
      <c r="P4404">
        <v>0</v>
      </c>
      <c r="Q4404">
        <v>0</v>
      </c>
      <c r="R4404">
        <v>0</v>
      </c>
      <c r="S4404">
        <v>0</v>
      </c>
      <c r="T4404">
        <v>0</v>
      </c>
      <c r="U4404">
        <v>0</v>
      </c>
      <c r="V4404">
        <v>16</v>
      </c>
      <c r="W4404">
        <v>112</v>
      </c>
      <c r="X4404">
        <v>0</v>
      </c>
      <c r="Z4404">
        <v>2</v>
      </c>
      <c r="AA4404">
        <v>0</v>
      </c>
      <c r="AB4404">
        <v>0</v>
      </c>
      <c r="AC4404">
        <v>0</v>
      </c>
      <c r="AD4404" t="s">
        <v>7966</v>
      </c>
    </row>
    <row r="4405" spans="1:30" x14ac:dyDescent="0.25">
      <c r="H4405" t="s">
        <v>7967</v>
      </c>
    </row>
    <row r="4406" spans="1:30" x14ac:dyDescent="0.25">
      <c r="A4406">
        <v>2200</v>
      </c>
      <c r="B4406">
        <v>1500</v>
      </c>
      <c r="C4406" t="s">
        <v>7968</v>
      </c>
      <c r="D4406" t="s">
        <v>87</v>
      </c>
      <c r="E4406" t="s">
        <v>162</v>
      </c>
      <c r="F4406" t="s">
        <v>7969</v>
      </c>
      <c r="G4406" t="str">
        <f>"00014629"</f>
        <v>00014629</v>
      </c>
      <c r="H4406" t="s">
        <v>7190</v>
      </c>
      <c r="I4406">
        <v>0</v>
      </c>
      <c r="J4406">
        <v>0</v>
      </c>
      <c r="K4406">
        <v>0</v>
      </c>
      <c r="L4406">
        <v>0</v>
      </c>
      <c r="M4406">
        <v>0</v>
      </c>
      <c r="N4406">
        <v>70</v>
      </c>
      <c r="O4406">
        <v>0</v>
      </c>
      <c r="P4406">
        <v>0</v>
      </c>
      <c r="Q4406">
        <v>0</v>
      </c>
      <c r="R4406">
        <v>0</v>
      </c>
      <c r="S4406">
        <v>0</v>
      </c>
      <c r="T4406">
        <v>0</v>
      </c>
      <c r="U4406">
        <v>0</v>
      </c>
      <c r="V4406">
        <v>0</v>
      </c>
      <c r="W4406">
        <v>0</v>
      </c>
      <c r="X4406">
        <v>0</v>
      </c>
      <c r="Z4406">
        <v>0</v>
      </c>
      <c r="AA4406">
        <v>0</v>
      </c>
      <c r="AB4406">
        <v>0</v>
      </c>
      <c r="AC4406">
        <v>0</v>
      </c>
      <c r="AD4406" t="s">
        <v>7970</v>
      </c>
    </row>
    <row r="4407" spans="1:30" x14ac:dyDescent="0.25">
      <c r="H4407" t="s">
        <v>7971</v>
      </c>
    </row>
    <row r="4408" spans="1:30" x14ac:dyDescent="0.25">
      <c r="A4408">
        <v>2201</v>
      </c>
      <c r="B4408">
        <v>1989</v>
      </c>
      <c r="C4408" t="s">
        <v>7972</v>
      </c>
      <c r="D4408" t="s">
        <v>474</v>
      </c>
      <c r="E4408" t="s">
        <v>151</v>
      </c>
      <c r="F4408" t="s">
        <v>7973</v>
      </c>
      <c r="G4408" t="str">
        <f>"00291084"</f>
        <v>00291084</v>
      </c>
      <c r="H4408" t="s">
        <v>3999</v>
      </c>
      <c r="I4408">
        <v>0</v>
      </c>
      <c r="J4408">
        <v>0</v>
      </c>
      <c r="K4408">
        <v>0</v>
      </c>
      <c r="L4408">
        <v>0</v>
      </c>
      <c r="M4408">
        <v>0</v>
      </c>
      <c r="N4408">
        <v>30</v>
      </c>
      <c r="O4408">
        <v>30</v>
      </c>
      <c r="P4408">
        <v>0</v>
      </c>
      <c r="Q4408">
        <v>0</v>
      </c>
      <c r="R4408">
        <v>0</v>
      </c>
      <c r="S4408">
        <v>0</v>
      </c>
      <c r="T4408">
        <v>0</v>
      </c>
      <c r="U4408">
        <v>0</v>
      </c>
      <c r="V4408">
        <v>0</v>
      </c>
      <c r="W4408">
        <v>0</v>
      </c>
      <c r="X4408">
        <v>0</v>
      </c>
      <c r="Z4408">
        <v>1</v>
      </c>
      <c r="AA4408">
        <v>0</v>
      </c>
      <c r="AB4408">
        <v>0</v>
      </c>
      <c r="AC4408">
        <v>0</v>
      </c>
      <c r="AD4408" t="s">
        <v>7974</v>
      </c>
    </row>
    <row r="4409" spans="1:30" x14ac:dyDescent="0.25">
      <c r="H4409" t="s">
        <v>7975</v>
      </c>
    </row>
    <row r="4410" spans="1:30" x14ac:dyDescent="0.25">
      <c r="A4410">
        <v>2202</v>
      </c>
      <c r="B4410">
        <v>3678</v>
      </c>
      <c r="C4410" t="s">
        <v>7976</v>
      </c>
      <c r="D4410" t="s">
        <v>551</v>
      </c>
      <c r="E4410" t="s">
        <v>238</v>
      </c>
      <c r="F4410" t="s">
        <v>7977</v>
      </c>
      <c r="G4410" t="str">
        <f>"00148266"</f>
        <v>00148266</v>
      </c>
      <c r="H4410">
        <v>682</v>
      </c>
      <c r="I4410">
        <v>0</v>
      </c>
      <c r="J4410">
        <v>0</v>
      </c>
      <c r="K4410">
        <v>0</v>
      </c>
      <c r="L4410">
        <v>0</v>
      </c>
      <c r="M4410">
        <v>0</v>
      </c>
      <c r="N4410">
        <v>0</v>
      </c>
      <c r="O4410">
        <v>0</v>
      </c>
      <c r="P4410">
        <v>50</v>
      </c>
      <c r="Q4410">
        <v>0</v>
      </c>
      <c r="R4410">
        <v>0</v>
      </c>
      <c r="S4410">
        <v>0</v>
      </c>
      <c r="T4410">
        <v>0</v>
      </c>
      <c r="U4410">
        <v>0</v>
      </c>
      <c r="V4410">
        <v>0</v>
      </c>
      <c r="W4410">
        <v>0</v>
      </c>
      <c r="X4410">
        <v>0</v>
      </c>
      <c r="Z4410">
        <v>0</v>
      </c>
      <c r="AA4410">
        <v>0</v>
      </c>
      <c r="AB4410">
        <v>0</v>
      </c>
      <c r="AC4410">
        <v>0</v>
      </c>
      <c r="AD4410">
        <v>732</v>
      </c>
    </row>
    <row r="4411" spans="1:30" x14ac:dyDescent="0.25">
      <c r="H4411" t="s">
        <v>7978</v>
      </c>
    </row>
    <row r="4412" spans="1:30" x14ac:dyDescent="0.25">
      <c r="A4412">
        <v>2203</v>
      </c>
      <c r="B4412">
        <v>556</v>
      </c>
      <c r="C4412" t="s">
        <v>1960</v>
      </c>
      <c r="D4412" t="s">
        <v>723</v>
      </c>
      <c r="E4412" t="s">
        <v>47</v>
      </c>
      <c r="F4412" t="s">
        <v>7979</v>
      </c>
      <c r="G4412" t="str">
        <f>"00198058"</f>
        <v>00198058</v>
      </c>
      <c r="H4412">
        <v>682</v>
      </c>
      <c r="I4412">
        <v>0</v>
      </c>
      <c r="J4412">
        <v>0</v>
      </c>
      <c r="K4412">
        <v>0</v>
      </c>
      <c r="L4412">
        <v>0</v>
      </c>
      <c r="M4412">
        <v>0</v>
      </c>
      <c r="N4412">
        <v>50</v>
      </c>
      <c r="O4412">
        <v>0</v>
      </c>
      <c r="P4412">
        <v>0</v>
      </c>
      <c r="Q4412">
        <v>0</v>
      </c>
      <c r="R4412">
        <v>0</v>
      </c>
      <c r="S4412">
        <v>0</v>
      </c>
      <c r="T4412">
        <v>0</v>
      </c>
      <c r="U4412">
        <v>0</v>
      </c>
      <c r="V4412">
        <v>0</v>
      </c>
      <c r="W4412">
        <v>0</v>
      </c>
      <c r="X4412">
        <v>0</v>
      </c>
      <c r="Z4412">
        <v>1</v>
      </c>
      <c r="AA4412">
        <v>0</v>
      </c>
      <c r="AB4412">
        <v>0</v>
      </c>
      <c r="AC4412">
        <v>0</v>
      </c>
      <c r="AD4412">
        <v>732</v>
      </c>
    </row>
    <row r="4413" spans="1:30" x14ac:dyDescent="0.25">
      <c r="H4413" t="s">
        <v>521</v>
      </c>
    </row>
    <row r="4414" spans="1:30" x14ac:dyDescent="0.25">
      <c r="A4414">
        <v>2204</v>
      </c>
      <c r="B4414">
        <v>4903</v>
      </c>
      <c r="C4414" t="s">
        <v>7980</v>
      </c>
      <c r="D4414" t="s">
        <v>509</v>
      </c>
      <c r="E4414" t="s">
        <v>115</v>
      </c>
      <c r="F4414" t="s">
        <v>7981</v>
      </c>
      <c r="G4414" t="str">
        <f>"00315573"</f>
        <v>00315573</v>
      </c>
      <c r="H4414">
        <v>660</v>
      </c>
      <c r="I4414">
        <v>0</v>
      </c>
      <c r="J4414">
        <v>0</v>
      </c>
      <c r="K4414">
        <v>0</v>
      </c>
      <c r="L4414">
        <v>0</v>
      </c>
      <c r="M4414">
        <v>0</v>
      </c>
      <c r="N4414">
        <v>30</v>
      </c>
      <c r="O4414">
        <v>0</v>
      </c>
      <c r="P4414">
        <v>0</v>
      </c>
      <c r="Q4414">
        <v>0</v>
      </c>
      <c r="R4414">
        <v>0</v>
      </c>
      <c r="S4414">
        <v>0</v>
      </c>
      <c r="T4414">
        <v>0</v>
      </c>
      <c r="U4414">
        <v>0</v>
      </c>
      <c r="V4414">
        <v>6</v>
      </c>
      <c r="W4414">
        <v>42</v>
      </c>
      <c r="X4414">
        <v>0</v>
      </c>
      <c r="Z4414">
        <v>0</v>
      </c>
      <c r="AA4414">
        <v>0</v>
      </c>
      <c r="AB4414">
        <v>0</v>
      </c>
      <c r="AC4414">
        <v>0</v>
      </c>
      <c r="AD4414">
        <v>732</v>
      </c>
    </row>
    <row r="4415" spans="1:30" x14ac:dyDescent="0.25">
      <c r="H4415" t="s">
        <v>7982</v>
      </c>
    </row>
    <row r="4416" spans="1:30" x14ac:dyDescent="0.25">
      <c r="A4416">
        <v>2205</v>
      </c>
      <c r="B4416">
        <v>4351</v>
      </c>
      <c r="C4416" t="s">
        <v>7983</v>
      </c>
      <c r="D4416" t="s">
        <v>544</v>
      </c>
      <c r="E4416" t="s">
        <v>4502</v>
      </c>
      <c r="F4416" t="s">
        <v>7984</v>
      </c>
      <c r="G4416" t="str">
        <f>"00257082"</f>
        <v>00257082</v>
      </c>
      <c r="H4416" t="s">
        <v>1150</v>
      </c>
      <c r="I4416">
        <v>0</v>
      </c>
      <c r="J4416">
        <v>0</v>
      </c>
      <c r="K4416">
        <v>0</v>
      </c>
      <c r="L4416">
        <v>0</v>
      </c>
      <c r="M4416">
        <v>0</v>
      </c>
      <c r="N4416">
        <v>30</v>
      </c>
      <c r="O4416">
        <v>0</v>
      </c>
      <c r="P4416">
        <v>0</v>
      </c>
      <c r="Q4416">
        <v>0</v>
      </c>
      <c r="R4416">
        <v>0</v>
      </c>
      <c r="S4416">
        <v>0</v>
      </c>
      <c r="T4416">
        <v>0</v>
      </c>
      <c r="U4416">
        <v>0</v>
      </c>
      <c r="V4416">
        <v>0</v>
      </c>
      <c r="W4416">
        <v>0</v>
      </c>
      <c r="X4416">
        <v>0</v>
      </c>
      <c r="Z4416">
        <v>0</v>
      </c>
      <c r="AA4416">
        <v>0</v>
      </c>
      <c r="AB4416">
        <v>0</v>
      </c>
      <c r="AC4416">
        <v>0</v>
      </c>
      <c r="AD4416" t="s">
        <v>7985</v>
      </c>
    </row>
    <row r="4417" spans="1:30" x14ac:dyDescent="0.25">
      <c r="H4417" t="s">
        <v>7986</v>
      </c>
    </row>
    <row r="4418" spans="1:30" x14ac:dyDescent="0.25">
      <c r="A4418">
        <v>2206</v>
      </c>
      <c r="B4418">
        <v>1561</v>
      </c>
      <c r="C4418" t="s">
        <v>7987</v>
      </c>
      <c r="D4418" t="s">
        <v>7988</v>
      </c>
      <c r="E4418" t="s">
        <v>40</v>
      </c>
      <c r="F4418" t="s">
        <v>7989</v>
      </c>
      <c r="G4418" t="str">
        <f>"00213324"</f>
        <v>00213324</v>
      </c>
      <c r="H4418" t="s">
        <v>1150</v>
      </c>
      <c r="I4418">
        <v>0</v>
      </c>
      <c r="J4418">
        <v>0</v>
      </c>
      <c r="K4418">
        <v>0</v>
      </c>
      <c r="L4418">
        <v>0</v>
      </c>
      <c r="M4418">
        <v>0</v>
      </c>
      <c r="N4418">
        <v>30</v>
      </c>
      <c r="O4418">
        <v>0</v>
      </c>
      <c r="P4418">
        <v>0</v>
      </c>
      <c r="Q4418">
        <v>0</v>
      </c>
      <c r="R4418">
        <v>0</v>
      </c>
      <c r="S4418">
        <v>0</v>
      </c>
      <c r="T4418">
        <v>0</v>
      </c>
      <c r="U4418">
        <v>0</v>
      </c>
      <c r="V4418">
        <v>0</v>
      </c>
      <c r="W4418">
        <v>0</v>
      </c>
      <c r="X4418">
        <v>0</v>
      </c>
      <c r="Z4418">
        <v>0</v>
      </c>
      <c r="AA4418">
        <v>0</v>
      </c>
      <c r="AB4418">
        <v>0</v>
      </c>
      <c r="AC4418">
        <v>0</v>
      </c>
      <c r="AD4418" t="s">
        <v>7985</v>
      </c>
    </row>
    <row r="4419" spans="1:30" x14ac:dyDescent="0.25">
      <c r="H4419" t="s">
        <v>7990</v>
      </c>
    </row>
    <row r="4420" spans="1:30" x14ac:dyDescent="0.25">
      <c r="A4420">
        <v>2207</v>
      </c>
      <c r="B4420">
        <v>129</v>
      </c>
      <c r="C4420" t="s">
        <v>7991</v>
      </c>
      <c r="D4420" t="s">
        <v>176</v>
      </c>
      <c r="E4420" t="s">
        <v>144</v>
      </c>
      <c r="F4420" t="s">
        <v>7992</v>
      </c>
      <c r="G4420" t="str">
        <f>"201402005799"</f>
        <v>201402005799</v>
      </c>
      <c r="H4420" t="s">
        <v>3774</v>
      </c>
      <c r="I4420">
        <v>0</v>
      </c>
      <c r="J4420">
        <v>0</v>
      </c>
      <c r="K4420">
        <v>0</v>
      </c>
      <c r="L4420">
        <v>0</v>
      </c>
      <c r="M4420">
        <v>0</v>
      </c>
      <c r="N4420">
        <v>0</v>
      </c>
      <c r="O4420">
        <v>0</v>
      </c>
      <c r="P4420">
        <v>0</v>
      </c>
      <c r="Q4420">
        <v>0</v>
      </c>
      <c r="R4420">
        <v>0</v>
      </c>
      <c r="S4420">
        <v>0</v>
      </c>
      <c r="T4420">
        <v>0</v>
      </c>
      <c r="U4420">
        <v>0</v>
      </c>
      <c r="V4420">
        <v>5</v>
      </c>
      <c r="W4420">
        <v>35</v>
      </c>
      <c r="X4420">
        <v>0</v>
      </c>
      <c r="Z4420">
        <v>0</v>
      </c>
      <c r="AA4420">
        <v>0</v>
      </c>
      <c r="AB4420">
        <v>0</v>
      </c>
      <c r="AC4420">
        <v>0</v>
      </c>
      <c r="AD4420" t="s">
        <v>7993</v>
      </c>
    </row>
    <row r="4421" spans="1:30" x14ac:dyDescent="0.25">
      <c r="H4421">
        <v>1250</v>
      </c>
    </row>
    <row r="4422" spans="1:30" x14ac:dyDescent="0.25">
      <c r="A4422">
        <v>2208</v>
      </c>
      <c r="B4422">
        <v>4577</v>
      </c>
      <c r="C4422" t="s">
        <v>7516</v>
      </c>
      <c r="D4422" t="s">
        <v>151</v>
      </c>
      <c r="E4422" t="s">
        <v>239</v>
      </c>
      <c r="F4422" t="s">
        <v>7994</v>
      </c>
      <c r="G4422" t="str">
        <f>"201412003040"</f>
        <v>201412003040</v>
      </c>
      <c r="H4422" t="s">
        <v>642</v>
      </c>
      <c r="I4422">
        <v>0</v>
      </c>
      <c r="J4422">
        <v>0</v>
      </c>
      <c r="K4422">
        <v>0</v>
      </c>
      <c r="L4422">
        <v>0</v>
      </c>
      <c r="M4422">
        <v>0</v>
      </c>
      <c r="N4422">
        <v>70</v>
      </c>
      <c r="O4422">
        <v>0</v>
      </c>
      <c r="P4422">
        <v>0</v>
      </c>
      <c r="Q4422">
        <v>0</v>
      </c>
      <c r="R4422">
        <v>0</v>
      </c>
      <c r="S4422">
        <v>0</v>
      </c>
      <c r="T4422">
        <v>0</v>
      </c>
      <c r="U4422">
        <v>0</v>
      </c>
      <c r="V4422">
        <v>0</v>
      </c>
      <c r="W4422">
        <v>0</v>
      </c>
      <c r="X4422">
        <v>0</v>
      </c>
      <c r="Z4422">
        <v>0</v>
      </c>
      <c r="AA4422">
        <v>0</v>
      </c>
      <c r="AB4422">
        <v>0</v>
      </c>
      <c r="AC4422">
        <v>0</v>
      </c>
      <c r="AD4422" t="s">
        <v>7995</v>
      </c>
    </row>
    <row r="4423" spans="1:30" x14ac:dyDescent="0.25">
      <c r="H4423" t="s">
        <v>7996</v>
      </c>
    </row>
    <row r="4424" spans="1:30" x14ac:dyDescent="0.25">
      <c r="A4424">
        <v>2209</v>
      </c>
      <c r="B4424">
        <v>2294</v>
      </c>
      <c r="C4424" t="s">
        <v>7997</v>
      </c>
      <c r="D4424" t="s">
        <v>6097</v>
      </c>
      <c r="E4424" t="s">
        <v>7998</v>
      </c>
      <c r="F4424" t="s">
        <v>7999</v>
      </c>
      <c r="G4424" t="str">
        <f>"00147504"</f>
        <v>00147504</v>
      </c>
      <c r="H4424" t="s">
        <v>1930</v>
      </c>
      <c r="I4424">
        <v>0</v>
      </c>
      <c r="J4424">
        <v>0</v>
      </c>
      <c r="K4424">
        <v>0</v>
      </c>
      <c r="L4424">
        <v>0</v>
      </c>
      <c r="M4424">
        <v>0</v>
      </c>
      <c r="N4424">
        <v>30</v>
      </c>
      <c r="O4424">
        <v>0</v>
      </c>
      <c r="P4424">
        <v>0</v>
      </c>
      <c r="Q4424">
        <v>0</v>
      </c>
      <c r="R4424">
        <v>0</v>
      </c>
      <c r="S4424">
        <v>0</v>
      </c>
      <c r="T4424">
        <v>0</v>
      </c>
      <c r="U4424">
        <v>0</v>
      </c>
      <c r="V4424">
        <v>0</v>
      </c>
      <c r="W4424">
        <v>0</v>
      </c>
      <c r="X4424">
        <v>0</v>
      </c>
      <c r="Z4424">
        <v>0</v>
      </c>
      <c r="AA4424">
        <v>0</v>
      </c>
      <c r="AB4424">
        <v>0</v>
      </c>
      <c r="AC4424">
        <v>0</v>
      </c>
      <c r="AD4424" t="s">
        <v>8000</v>
      </c>
    </row>
    <row r="4425" spans="1:30" x14ac:dyDescent="0.25">
      <c r="H4425" t="s">
        <v>8001</v>
      </c>
    </row>
    <row r="4426" spans="1:30" x14ac:dyDescent="0.25">
      <c r="A4426">
        <v>2210</v>
      </c>
      <c r="B4426">
        <v>1723</v>
      </c>
      <c r="C4426" t="s">
        <v>381</v>
      </c>
      <c r="D4426" t="s">
        <v>2029</v>
      </c>
      <c r="E4426" t="s">
        <v>495</v>
      </c>
      <c r="F4426" t="s">
        <v>8002</v>
      </c>
      <c r="G4426" t="str">
        <f>"201511041775"</f>
        <v>201511041775</v>
      </c>
      <c r="H4426" t="s">
        <v>1930</v>
      </c>
      <c r="I4426">
        <v>0</v>
      </c>
      <c r="J4426">
        <v>0</v>
      </c>
      <c r="K4426">
        <v>0</v>
      </c>
      <c r="L4426">
        <v>0</v>
      </c>
      <c r="M4426">
        <v>0</v>
      </c>
      <c r="N4426">
        <v>30</v>
      </c>
      <c r="O4426">
        <v>0</v>
      </c>
      <c r="P4426">
        <v>0</v>
      </c>
      <c r="Q4426">
        <v>0</v>
      </c>
      <c r="R4426">
        <v>0</v>
      </c>
      <c r="S4426">
        <v>0</v>
      </c>
      <c r="T4426">
        <v>0</v>
      </c>
      <c r="U4426">
        <v>0</v>
      </c>
      <c r="V4426">
        <v>0</v>
      </c>
      <c r="W4426">
        <v>0</v>
      </c>
      <c r="X4426">
        <v>0</v>
      </c>
      <c r="Z4426">
        <v>0</v>
      </c>
      <c r="AA4426">
        <v>0</v>
      </c>
      <c r="AB4426">
        <v>0</v>
      </c>
      <c r="AC4426">
        <v>0</v>
      </c>
      <c r="AD4426" t="s">
        <v>8000</v>
      </c>
    </row>
    <row r="4427" spans="1:30" x14ac:dyDescent="0.25">
      <c r="H4427" t="s">
        <v>8003</v>
      </c>
    </row>
    <row r="4428" spans="1:30" x14ac:dyDescent="0.25">
      <c r="A4428">
        <v>2211</v>
      </c>
      <c r="B4428">
        <v>865</v>
      </c>
      <c r="C4428" t="s">
        <v>8004</v>
      </c>
      <c r="D4428" t="s">
        <v>8005</v>
      </c>
      <c r="E4428" t="s">
        <v>40</v>
      </c>
      <c r="F4428" t="s">
        <v>8006</v>
      </c>
      <c r="G4428" t="str">
        <f>"00197751"</f>
        <v>00197751</v>
      </c>
      <c r="H4428" t="s">
        <v>204</v>
      </c>
      <c r="I4428">
        <v>0</v>
      </c>
      <c r="J4428">
        <v>0</v>
      </c>
      <c r="K4428">
        <v>0</v>
      </c>
      <c r="L4428">
        <v>0</v>
      </c>
      <c r="M4428">
        <v>0</v>
      </c>
      <c r="N4428">
        <v>0</v>
      </c>
      <c r="O4428">
        <v>0</v>
      </c>
      <c r="P4428">
        <v>0</v>
      </c>
      <c r="Q4428">
        <v>0</v>
      </c>
      <c r="R4428">
        <v>0</v>
      </c>
      <c r="S4428">
        <v>0</v>
      </c>
      <c r="T4428">
        <v>0</v>
      </c>
      <c r="U4428">
        <v>0</v>
      </c>
      <c r="V4428">
        <v>0</v>
      </c>
      <c r="W4428">
        <v>0</v>
      </c>
      <c r="X4428">
        <v>0</v>
      </c>
      <c r="Z4428">
        <v>0</v>
      </c>
      <c r="AA4428">
        <v>0</v>
      </c>
      <c r="AB4428">
        <v>0</v>
      </c>
      <c r="AC4428">
        <v>0</v>
      </c>
      <c r="AD4428" t="s">
        <v>204</v>
      </c>
    </row>
    <row r="4429" spans="1:30" x14ac:dyDescent="0.25">
      <c r="H4429">
        <v>1250</v>
      </c>
    </row>
    <row r="4430" spans="1:30" x14ac:dyDescent="0.25">
      <c r="A4430">
        <v>2212</v>
      </c>
      <c r="B4430">
        <v>5531</v>
      </c>
      <c r="C4430" t="s">
        <v>8007</v>
      </c>
      <c r="D4430" t="s">
        <v>1625</v>
      </c>
      <c r="E4430" t="s">
        <v>40</v>
      </c>
      <c r="F4430" t="s">
        <v>8008</v>
      </c>
      <c r="G4430" t="str">
        <f>"00355307"</f>
        <v>00355307</v>
      </c>
      <c r="H4430" t="s">
        <v>1251</v>
      </c>
      <c r="I4430">
        <v>0</v>
      </c>
      <c r="J4430">
        <v>0</v>
      </c>
      <c r="K4430">
        <v>0</v>
      </c>
      <c r="L4430">
        <v>0</v>
      </c>
      <c r="M4430">
        <v>0</v>
      </c>
      <c r="N4430">
        <v>0</v>
      </c>
      <c r="O4430">
        <v>0</v>
      </c>
      <c r="P4430">
        <v>0</v>
      </c>
      <c r="Q4430">
        <v>0</v>
      </c>
      <c r="R4430">
        <v>0</v>
      </c>
      <c r="S4430">
        <v>0</v>
      </c>
      <c r="T4430">
        <v>0</v>
      </c>
      <c r="U4430">
        <v>0</v>
      </c>
      <c r="V4430">
        <v>5</v>
      </c>
      <c r="W4430">
        <v>35</v>
      </c>
      <c r="X4430">
        <v>0</v>
      </c>
      <c r="Z4430">
        <v>0</v>
      </c>
      <c r="AA4430">
        <v>0</v>
      </c>
      <c r="AB4430">
        <v>0</v>
      </c>
      <c r="AC4430">
        <v>0</v>
      </c>
      <c r="AD4430" t="s">
        <v>8009</v>
      </c>
    </row>
    <row r="4431" spans="1:30" x14ac:dyDescent="0.25">
      <c r="H4431" t="s">
        <v>8010</v>
      </c>
    </row>
    <row r="4432" spans="1:30" x14ac:dyDescent="0.25">
      <c r="A4432">
        <v>2213</v>
      </c>
      <c r="B4432">
        <v>5551</v>
      </c>
      <c r="C4432" t="s">
        <v>8011</v>
      </c>
      <c r="D4432" t="s">
        <v>8012</v>
      </c>
      <c r="E4432" t="s">
        <v>8013</v>
      </c>
      <c r="F4432" t="s">
        <v>8014</v>
      </c>
      <c r="G4432" t="str">
        <f>"00339381"</f>
        <v>00339381</v>
      </c>
      <c r="H4432">
        <v>660</v>
      </c>
      <c r="I4432">
        <v>0</v>
      </c>
      <c r="J4432">
        <v>0</v>
      </c>
      <c r="K4432">
        <v>0</v>
      </c>
      <c r="L4432">
        <v>0</v>
      </c>
      <c r="M4432">
        <v>0</v>
      </c>
      <c r="N4432">
        <v>70</v>
      </c>
      <c r="O4432">
        <v>0</v>
      </c>
      <c r="P4432">
        <v>0</v>
      </c>
      <c r="Q4432">
        <v>0</v>
      </c>
      <c r="R4432">
        <v>0</v>
      </c>
      <c r="S4432">
        <v>0</v>
      </c>
      <c r="T4432">
        <v>0</v>
      </c>
      <c r="U4432">
        <v>0</v>
      </c>
      <c r="V4432">
        <v>0</v>
      </c>
      <c r="W4432">
        <v>0</v>
      </c>
      <c r="X4432">
        <v>0</v>
      </c>
      <c r="Z4432">
        <v>0</v>
      </c>
      <c r="AA4432">
        <v>0</v>
      </c>
      <c r="AB4432">
        <v>0</v>
      </c>
      <c r="AC4432">
        <v>0</v>
      </c>
      <c r="AD4432">
        <v>730</v>
      </c>
    </row>
    <row r="4433" spans="1:30" x14ac:dyDescent="0.25">
      <c r="H4433" t="s">
        <v>8015</v>
      </c>
    </row>
    <row r="4434" spans="1:30" x14ac:dyDescent="0.25">
      <c r="A4434">
        <v>2214</v>
      </c>
      <c r="B4434">
        <v>6176</v>
      </c>
      <c r="C4434" t="s">
        <v>8016</v>
      </c>
      <c r="D4434" t="s">
        <v>91</v>
      </c>
      <c r="E4434" t="s">
        <v>190</v>
      </c>
      <c r="F4434" t="s">
        <v>8017</v>
      </c>
      <c r="G4434" t="str">
        <f>"201511039427"</f>
        <v>201511039427</v>
      </c>
      <c r="H4434">
        <v>660</v>
      </c>
      <c r="I4434">
        <v>0</v>
      </c>
      <c r="J4434">
        <v>0</v>
      </c>
      <c r="K4434">
        <v>0</v>
      </c>
      <c r="L4434">
        <v>0</v>
      </c>
      <c r="M4434">
        <v>0</v>
      </c>
      <c r="N4434">
        <v>70</v>
      </c>
      <c r="O4434">
        <v>0</v>
      </c>
      <c r="P4434">
        <v>0</v>
      </c>
      <c r="Q4434">
        <v>0</v>
      </c>
      <c r="R4434">
        <v>0</v>
      </c>
      <c r="S4434">
        <v>0</v>
      </c>
      <c r="T4434">
        <v>0</v>
      </c>
      <c r="U4434">
        <v>0</v>
      </c>
      <c r="V4434">
        <v>0</v>
      </c>
      <c r="W4434">
        <v>0</v>
      </c>
      <c r="X4434">
        <v>0</v>
      </c>
      <c r="Z4434">
        <v>0</v>
      </c>
      <c r="AA4434">
        <v>0</v>
      </c>
      <c r="AB4434">
        <v>0</v>
      </c>
      <c r="AC4434">
        <v>0</v>
      </c>
      <c r="AD4434">
        <v>730</v>
      </c>
    </row>
    <row r="4435" spans="1:30" x14ac:dyDescent="0.25">
      <c r="H4435" t="s">
        <v>619</v>
      </c>
    </row>
    <row r="4436" spans="1:30" x14ac:dyDescent="0.25">
      <c r="A4436">
        <v>2215</v>
      </c>
      <c r="B4436">
        <v>1343</v>
      </c>
      <c r="C4436" t="s">
        <v>899</v>
      </c>
      <c r="D4436" t="s">
        <v>162</v>
      </c>
      <c r="E4436" t="s">
        <v>47</v>
      </c>
      <c r="F4436" t="s">
        <v>8018</v>
      </c>
      <c r="G4436" t="str">
        <f>"00299883"</f>
        <v>00299883</v>
      </c>
      <c r="H4436" t="s">
        <v>1449</v>
      </c>
      <c r="I4436">
        <v>0</v>
      </c>
      <c r="J4436">
        <v>0</v>
      </c>
      <c r="K4436">
        <v>0</v>
      </c>
      <c r="L4436">
        <v>0</v>
      </c>
      <c r="M4436">
        <v>0</v>
      </c>
      <c r="N4436">
        <v>30</v>
      </c>
      <c r="O4436">
        <v>0</v>
      </c>
      <c r="P4436">
        <v>0</v>
      </c>
      <c r="Q4436">
        <v>0</v>
      </c>
      <c r="R4436">
        <v>0</v>
      </c>
      <c r="S4436">
        <v>0</v>
      </c>
      <c r="T4436">
        <v>0</v>
      </c>
      <c r="U4436">
        <v>0</v>
      </c>
      <c r="V4436">
        <v>6</v>
      </c>
      <c r="W4436">
        <v>42</v>
      </c>
      <c r="X4436">
        <v>0</v>
      </c>
      <c r="Z4436">
        <v>0</v>
      </c>
      <c r="AA4436">
        <v>0</v>
      </c>
      <c r="AB4436">
        <v>0</v>
      </c>
      <c r="AC4436">
        <v>0</v>
      </c>
      <c r="AD4436" t="s">
        <v>8019</v>
      </c>
    </row>
    <row r="4437" spans="1:30" x14ac:dyDescent="0.25">
      <c r="H4437" t="s">
        <v>1758</v>
      </c>
    </row>
    <row r="4438" spans="1:30" x14ac:dyDescent="0.25">
      <c r="A4438">
        <v>2216</v>
      </c>
      <c r="B4438">
        <v>2984</v>
      </c>
      <c r="C4438" t="s">
        <v>8020</v>
      </c>
      <c r="D4438" t="s">
        <v>46</v>
      </c>
      <c r="E4438" t="s">
        <v>107</v>
      </c>
      <c r="F4438" t="s">
        <v>8021</v>
      </c>
      <c r="G4438" t="str">
        <f>"00363127"</f>
        <v>00363127</v>
      </c>
      <c r="H4438" t="s">
        <v>388</v>
      </c>
      <c r="I4438">
        <v>0</v>
      </c>
      <c r="J4438">
        <v>0</v>
      </c>
      <c r="K4438">
        <v>0</v>
      </c>
      <c r="L4438">
        <v>0</v>
      </c>
      <c r="M4438">
        <v>0</v>
      </c>
      <c r="N4438">
        <v>30</v>
      </c>
      <c r="O4438">
        <v>0</v>
      </c>
      <c r="P4438">
        <v>0</v>
      </c>
      <c r="Q4438">
        <v>0</v>
      </c>
      <c r="R4438">
        <v>0</v>
      </c>
      <c r="S4438">
        <v>0</v>
      </c>
      <c r="T4438">
        <v>0</v>
      </c>
      <c r="U4438">
        <v>0</v>
      </c>
      <c r="V4438">
        <v>0</v>
      </c>
      <c r="W4438">
        <v>0</v>
      </c>
      <c r="X4438">
        <v>0</v>
      </c>
      <c r="Z4438">
        <v>0</v>
      </c>
      <c r="AA4438">
        <v>0</v>
      </c>
      <c r="AB4438">
        <v>0</v>
      </c>
      <c r="AC4438">
        <v>0</v>
      </c>
      <c r="AD4438" t="s">
        <v>8022</v>
      </c>
    </row>
    <row r="4439" spans="1:30" x14ac:dyDescent="0.25">
      <c r="H4439" t="s">
        <v>8023</v>
      </c>
    </row>
    <row r="4440" spans="1:30" x14ac:dyDescent="0.25">
      <c r="A4440">
        <v>2217</v>
      </c>
      <c r="B4440">
        <v>5871</v>
      </c>
      <c r="C4440" t="s">
        <v>8024</v>
      </c>
      <c r="D4440" t="s">
        <v>134</v>
      </c>
      <c r="E4440" t="s">
        <v>140</v>
      </c>
      <c r="F4440" t="s">
        <v>8025</v>
      </c>
      <c r="G4440" t="str">
        <f>"201406002787"</f>
        <v>201406002787</v>
      </c>
      <c r="H4440" t="s">
        <v>1256</v>
      </c>
      <c r="I4440">
        <v>0</v>
      </c>
      <c r="J4440">
        <v>0</v>
      </c>
      <c r="K4440">
        <v>0</v>
      </c>
      <c r="L4440">
        <v>0</v>
      </c>
      <c r="M4440">
        <v>0</v>
      </c>
      <c r="N4440">
        <v>30</v>
      </c>
      <c r="O4440">
        <v>0</v>
      </c>
      <c r="P4440">
        <v>0</v>
      </c>
      <c r="Q4440">
        <v>0</v>
      </c>
      <c r="R4440">
        <v>0</v>
      </c>
      <c r="S4440">
        <v>0</v>
      </c>
      <c r="T4440">
        <v>0</v>
      </c>
      <c r="U4440">
        <v>0</v>
      </c>
      <c r="V4440">
        <v>5</v>
      </c>
      <c r="W4440">
        <v>35</v>
      </c>
      <c r="X4440">
        <v>0</v>
      </c>
      <c r="Z4440">
        <v>0</v>
      </c>
      <c r="AA4440">
        <v>0</v>
      </c>
      <c r="AB4440">
        <v>0</v>
      </c>
      <c r="AC4440">
        <v>0</v>
      </c>
      <c r="AD4440" t="s">
        <v>8026</v>
      </c>
    </row>
    <row r="4441" spans="1:30" x14ac:dyDescent="0.25">
      <c r="H4441" t="s">
        <v>8027</v>
      </c>
    </row>
    <row r="4442" spans="1:30" x14ac:dyDescent="0.25">
      <c r="A4442">
        <v>2218</v>
      </c>
      <c r="B4442">
        <v>3812</v>
      </c>
      <c r="C4442" t="s">
        <v>1790</v>
      </c>
      <c r="D4442" t="s">
        <v>262</v>
      </c>
      <c r="E4442" t="s">
        <v>40</v>
      </c>
      <c r="F4442" t="s">
        <v>8028</v>
      </c>
      <c r="G4442" t="str">
        <f>"201601000441"</f>
        <v>201601000441</v>
      </c>
      <c r="H4442" t="s">
        <v>2116</v>
      </c>
      <c r="I4442">
        <v>0</v>
      </c>
      <c r="J4442">
        <v>0</v>
      </c>
      <c r="K4442">
        <v>0</v>
      </c>
      <c r="L4442">
        <v>0</v>
      </c>
      <c r="M4442">
        <v>0</v>
      </c>
      <c r="N4442">
        <v>0</v>
      </c>
      <c r="O4442">
        <v>0</v>
      </c>
      <c r="P4442">
        <v>0</v>
      </c>
      <c r="Q4442">
        <v>0</v>
      </c>
      <c r="R4442">
        <v>0</v>
      </c>
      <c r="S4442">
        <v>0</v>
      </c>
      <c r="T4442">
        <v>0</v>
      </c>
      <c r="U4442">
        <v>0</v>
      </c>
      <c r="V4442">
        <v>-5</v>
      </c>
      <c r="W4442">
        <v>-35</v>
      </c>
      <c r="X4442">
        <v>0</v>
      </c>
      <c r="Z4442">
        <v>0</v>
      </c>
      <c r="AA4442">
        <v>0</v>
      </c>
      <c r="AB4442">
        <v>5</v>
      </c>
      <c r="AC4442">
        <v>85</v>
      </c>
      <c r="AD4442" t="s">
        <v>8029</v>
      </c>
    </row>
    <row r="4443" spans="1:30" x14ac:dyDescent="0.25">
      <c r="H4443">
        <v>1247</v>
      </c>
    </row>
    <row r="4444" spans="1:30" x14ac:dyDescent="0.25">
      <c r="A4444">
        <v>2219</v>
      </c>
      <c r="B4444">
        <v>1766</v>
      </c>
      <c r="C4444" t="s">
        <v>8030</v>
      </c>
      <c r="D4444" t="s">
        <v>3653</v>
      </c>
      <c r="E4444" t="s">
        <v>40</v>
      </c>
      <c r="F4444" t="s">
        <v>8031</v>
      </c>
      <c r="G4444" t="str">
        <f>"00215911"</f>
        <v>00215911</v>
      </c>
      <c r="H4444" t="s">
        <v>1315</v>
      </c>
      <c r="I4444">
        <v>0</v>
      </c>
      <c r="J4444">
        <v>0</v>
      </c>
      <c r="K4444">
        <v>0</v>
      </c>
      <c r="L4444">
        <v>0</v>
      </c>
      <c r="M4444">
        <v>0</v>
      </c>
      <c r="N4444">
        <v>30</v>
      </c>
      <c r="O4444">
        <v>0</v>
      </c>
      <c r="P4444">
        <v>0</v>
      </c>
      <c r="Q4444">
        <v>0</v>
      </c>
      <c r="R4444">
        <v>0</v>
      </c>
      <c r="S4444">
        <v>0</v>
      </c>
      <c r="T4444">
        <v>0</v>
      </c>
      <c r="U4444">
        <v>0</v>
      </c>
      <c r="V4444">
        <v>0</v>
      </c>
      <c r="W4444">
        <v>0</v>
      </c>
      <c r="X4444">
        <v>0</v>
      </c>
      <c r="Z4444">
        <v>1</v>
      </c>
      <c r="AA4444">
        <v>0</v>
      </c>
      <c r="AB4444">
        <v>0</v>
      </c>
      <c r="AC4444">
        <v>0</v>
      </c>
      <c r="AD4444" t="s">
        <v>8032</v>
      </c>
    </row>
    <row r="4445" spans="1:30" x14ac:dyDescent="0.25">
      <c r="H4445" t="s">
        <v>864</v>
      </c>
    </row>
    <row r="4446" spans="1:30" x14ac:dyDescent="0.25">
      <c r="A4446">
        <v>2220</v>
      </c>
      <c r="B4446">
        <v>1801</v>
      </c>
      <c r="C4446" t="s">
        <v>8033</v>
      </c>
      <c r="D4446" t="s">
        <v>144</v>
      </c>
      <c r="E4446" t="s">
        <v>3183</v>
      </c>
      <c r="F4446" t="s">
        <v>8034</v>
      </c>
      <c r="G4446" t="str">
        <f>"00037273"</f>
        <v>00037273</v>
      </c>
      <c r="H4446" t="s">
        <v>1540</v>
      </c>
      <c r="I4446">
        <v>0</v>
      </c>
      <c r="J4446">
        <v>0</v>
      </c>
      <c r="K4446">
        <v>0</v>
      </c>
      <c r="L4446">
        <v>0</v>
      </c>
      <c r="M4446">
        <v>0</v>
      </c>
      <c r="N4446">
        <v>50</v>
      </c>
      <c r="O4446">
        <v>0</v>
      </c>
      <c r="P4446">
        <v>0</v>
      </c>
      <c r="Q4446">
        <v>0</v>
      </c>
      <c r="R4446">
        <v>0</v>
      </c>
      <c r="S4446">
        <v>0</v>
      </c>
      <c r="T4446">
        <v>0</v>
      </c>
      <c r="U4446">
        <v>0</v>
      </c>
      <c r="V4446">
        <v>0</v>
      </c>
      <c r="W4446">
        <v>0</v>
      </c>
      <c r="X4446">
        <v>0</v>
      </c>
      <c r="Z4446">
        <v>1</v>
      </c>
      <c r="AA4446">
        <v>0</v>
      </c>
      <c r="AB4446">
        <v>0</v>
      </c>
      <c r="AC4446">
        <v>0</v>
      </c>
      <c r="AD4446" t="s">
        <v>8035</v>
      </c>
    </row>
    <row r="4447" spans="1:30" x14ac:dyDescent="0.25">
      <c r="H4447" t="s">
        <v>8036</v>
      </c>
    </row>
    <row r="4448" spans="1:30" x14ac:dyDescent="0.25">
      <c r="A4448">
        <v>2221</v>
      </c>
      <c r="B4448">
        <v>621</v>
      </c>
      <c r="C4448" t="s">
        <v>8037</v>
      </c>
      <c r="D4448" t="s">
        <v>1039</v>
      </c>
      <c r="E4448" t="s">
        <v>39</v>
      </c>
      <c r="F4448" t="s">
        <v>8038</v>
      </c>
      <c r="G4448" t="str">
        <f>"201402001676"</f>
        <v>201402001676</v>
      </c>
      <c r="H4448" t="s">
        <v>2126</v>
      </c>
      <c r="I4448">
        <v>0</v>
      </c>
      <c r="J4448">
        <v>0</v>
      </c>
      <c r="K4448">
        <v>0</v>
      </c>
      <c r="L4448">
        <v>0</v>
      </c>
      <c r="M4448">
        <v>0</v>
      </c>
      <c r="N4448">
        <v>30</v>
      </c>
      <c r="O4448">
        <v>0</v>
      </c>
      <c r="P4448">
        <v>0</v>
      </c>
      <c r="Q4448">
        <v>0</v>
      </c>
      <c r="R4448">
        <v>0</v>
      </c>
      <c r="S4448">
        <v>0</v>
      </c>
      <c r="T4448">
        <v>0</v>
      </c>
      <c r="U4448">
        <v>0</v>
      </c>
      <c r="V4448">
        <v>3</v>
      </c>
      <c r="W4448">
        <v>21</v>
      </c>
      <c r="X4448">
        <v>0</v>
      </c>
      <c r="Z4448">
        <v>1</v>
      </c>
      <c r="AA4448">
        <v>0</v>
      </c>
      <c r="AB4448">
        <v>0</v>
      </c>
      <c r="AC4448">
        <v>0</v>
      </c>
      <c r="AD4448" t="s">
        <v>8039</v>
      </c>
    </row>
    <row r="4449" spans="1:30" x14ac:dyDescent="0.25">
      <c r="H4449" t="s">
        <v>8040</v>
      </c>
    </row>
    <row r="4450" spans="1:30" x14ac:dyDescent="0.25">
      <c r="A4450">
        <v>2222</v>
      </c>
      <c r="B4450">
        <v>4770</v>
      </c>
      <c r="C4450" t="s">
        <v>8041</v>
      </c>
      <c r="D4450" t="s">
        <v>40</v>
      </c>
      <c r="E4450" t="s">
        <v>107</v>
      </c>
      <c r="F4450" t="s">
        <v>8042</v>
      </c>
      <c r="G4450" t="str">
        <f>"00365868"</f>
        <v>00365868</v>
      </c>
      <c r="H4450" t="s">
        <v>2197</v>
      </c>
      <c r="I4450">
        <v>0</v>
      </c>
      <c r="J4450">
        <v>0</v>
      </c>
      <c r="K4450">
        <v>0</v>
      </c>
      <c r="L4450">
        <v>0</v>
      </c>
      <c r="M4450">
        <v>0</v>
      </c>
      <c r="N4450">
        <v>30</v>
      </c>
      <c r="O4450">
        <v>0</v>
      </c>
      <c r="P4450">
        <v>0</v>
      </c>
      <c r="Q4450">
        <v>0</v>
      </c>
      <c r="R4450">
        <v>0</v>
      </c>
      <c r="S4450">
        <v>0</v>
      </c>
      <c r="T4450">
        <v>0</v>
      </c>
      <c r="U4450">
        <v>0</v>
      </c>
      <c r="V4450">
        <v>0</v>
      </c>
      <c r="W4450">
        <v>0</v>
      </c>
      <c r="X4450">
        <v>0</v>
      </c>
      <c r="Z4450">
        <v>0</v>
      </c>
      <c r="AA4450">
        <v>0</v>
      </c>
      <c r="AB4450">
        <v>0</v>
      </c>
      <c r="AC4450">
        <v>0</v>
      </c>
      <c r="AD4450" t="s">
        <v>8043</v>
      </c>
    </row>
    <row r="4451" spans="1:30" x14ac:dyDescent="0.25">
      <c r="H4451" t="s">
        <v>8044</v>
      </c>
    </row>
    <row r="4452" spans="1:30" x14ac:dyDescent="0.25">
      <c r="A4452">
        <v>2223</v>
      </c>
      <c r="B4452">
        <v>5176</v>
      </c>
      <c r="C4452" t="s">
        <v>8045</v>
      </c>
      <c r="D4452" t="s">
        <v>804</v>
      </c>
      <c r="E4452" t="s">
        <v>39</v>
      </c>
      <c r="F4452" t="s">
        <v>8046</v>
      </c>
      <c r="G4452" t="str">
        <f>"00226787"</f>
        <v>00226787</v>
      </c>
      <c r="H4452" t="s">
        <v>2197</v>
      </c>
      <c r="I4452">
        <v>0</v>
      </c>
      <c r="J4452">
        <v>0</v>
      </c>
      <c r="K4452">
        <v>0</v>
      </c>
      <c r="L4452">
        <v>0</v>
      </c>
      <c r="M4452">
        <v>0</v>
      </c>
      <c r="N4452">
        <v>30</v>
      </c>
      <c r="O4452">
        <v>0</v>
      </c>
      <c r="P4452">
        <v>0</v>
      </c>
      <c r="Q4452">
        <v>0</v>
      </c>
      <c r="R4452">
        <v>0</v>
      </c>
      <c r="S4452">
        <v>0</v>
      </c>
      <c r="T4452">
        <v>0</v>
      </c>
      <c r="U4452">
        <v>0</v>
      </c>
      <c r="V4452">
        <v>0</v>
      </c>
      <c r="W4452">
        <v>0</v>
      </c>
      <c r="X4452">
        <v>0</v>
      </c>
      <c r="Z4452">
        <v>0</v>
      </c>
      <c r="AA4452">
        <v>0</v>
      </c>
      <c r="AB4452">
        <v>0</v>
      </c>
      <c r="AC4452">
        <v>0</v>
      </c>
      <c r="AD4452" t="s">
        <v>8043</v>
      </c>
    </row>
    <row r="4453" spans="1:30" x14ac:dyDescent="0.25">
      <c r="H4453" t="s">
        <v>8047</v>
      </c>
    </row>
    <row r="4454" spans="1:30" x14ac:dyDescent="0.25">
      <c r="A4454">
        <v>2224</v>
      </c>
      <c r="B4454">
        <v>4101</v>
      </c>
      <c r="C4454" t="s">
        <v>8048</v>
      </c>
      <c r="D4454" t="s">
        <v>8049</v>
      </c>
      <c r="E4454" t="s">
        <v>47</v>
      </c>
      <c r="F4454" t="s">
        <v>8050</v>
      </c>
      <c r="G4454" t="str">
        <f>"00195441"</f>
        <v>00195441</v>
      </c>
      <c r="H4454" t="s">
        <v>2197</v>
      </c>
      <c r="I4454">
        <v>0</v>
      </c>
      <c r="J4454">
        <v>0</v>
      </c>
      <c r="K4454">
        <v>0</v>
      </c>
      <c r="L4454">
        <v>0</v>
      </c>
      <c r="M4454">
        <v>0</v>
      </c>
      <c r="N4454">
        <v>30</v>
      </c>
      <c r="O4454">
        <v>0</v>
      </c>
      <c r="P4454">
        <v>0</v>
      </c>
      <c r="Q4454">
        <v>0</v>
      </c>
      <c r="R4454">
        <v>0</v>
      </c>
      <c r="S4454">
        <v>0</v>
      </c>
      <c r="T4454">
        <v>0</v>
      </c>
      <c r="U4454">
        <v>0</v>
      </c>
      <c r="V4454">
        <v>0</v>
      </c>
      <c r="W4454">
        <v>0</v>
      </c>
      <c r="X4454">
        <v>0</v>
      </c>
      <c r="Z4454">
        <v>0</v>
      </c>
      <c r="AA4454">
        <v>0</v>
      </c>
      <c r="AB4454">
        <v>0</v>
      </c>
      <c r="AC4454">
        <v>0</v>
      </c>
      <c r="AD4454" t="s">
        <v>8043</v>
      </c>
    </row>
    <row r="4455" spans="1:30" x14ac:dyDescent="0.25">
      <c r="H4455" t="s">
        <v>8051</v>
      </c>
    </row>
    <row r="4456" spans="1:30" x14ac:dyDescent="0.25">
      <c r="A4456">
        <v>2225</v>
      </c>
      <c r="B4456">
        <v>383</v>
      </c>
      <c r="C4456" t="s">
        <v>8052</v>
      </c>
      <c r="D4456" t="s">
        <v>51</v>
      </c>
      <c r="E4456" t="s">
        <v>107</v>
      </c>
      <c r="F4456" t="s">
        <v>8053</v>
      </c>
      <c r="G4456" t="str">
        <f>"00287008"</f>
        <v>00287008</v>
      </c>
      <c r="H4456" t="s">
        <v>1376</v>
      </c>
      <c r="I4456">
        <v>0</v>
      </c>
      <c r="J4456">
        <v>0</v>
      </c>
      <c r="K4456">
        <v>0</v>
      </c>
      <c r="L4456">
        <v>0</v>
      </c>
      <c r="M4456">
        <v>0</v>
      </c>
      <c r="N4456">
        <v>0</v>
      </c>
      <c r="O4456">
        <v>0</v>
      </c>
      <c r="P4456">
        <v>0</v>
      </c>
      <c r="Q4456">
        <v>0</v>
      </c>
      <c r="R4456">
        <v>0</v>
      </c>
      <c r="S4456">
        <v>0</v>
      </c>
      <c r="T4456">
        <v>0</v>
      </c>
      <c r="U4456">
        <v>0</v>
      </c>
      <c r="V4456">
        <v>11</v>
      </c>
      <c r="W4456">
        <v>77</v>
      </c>
      <c r="X4456">
        <v>0</v>
      </c>
      <c r="Z4456">
        <v>0</v>
      </c>
      <c r="AA4456">
        <v>0</v>
      </c>
      <c r="AB4456">
        <v>0</v>
      </c>
      <c r="AC4456">
        <v>0</v>
      </c>
      <c r="AD4456" t="s">
        <v>2928</v>
      </c>
    </row>
    <row r="4457" spans="1:30" x14ac:dyDescent="0.25">
      <c r="H4457" t="s">
        <v>8054</v>
      </c>
    </row>
    <row r="4458" spans="1:30" x14ac:dyDescent="0.25">
      <c r="A4458">
        <v>2226</v>
      </c>
      <c r="B4458">
        <v>2497</v>
      </c>
      <c r="C4458" t="s">
        <v>8055</v>
      </c>
      <c r="D4458" t="s">
        <v>8056</v>
      </c>
      <c r="E4458" t="s">
        <v>8057</v>
      </c>
      <c r="F4458" t="s">
        <v>8058</v>
      </c>
      <c r="G4458" t="str">
        <f>"00137810"</f>
        <v>00137810</v>
      </c>
      <c r="H4458" t="s">
        <v>3774</v>
      </c>
      <c r="I4458">
        <v>0</v>
      </c>
      <c r="J4458">
        <v>0</v>
      </c>
      <c r="K4458">
        <v>0</v>
      </c>
      <c r="L4458">
        <v>0</v>
      </c>
      <c r="M4458">
        <v>0</v>
      </c>
      <c r="N4458">
        <v>30</v>
      </c>
      <c r="O4458">
        <v>0</v>
      </c>
      <c r="P4458">
        <v>0</v>
      </c>
      <c r="Q4458">
        <v>0</v>
      </c>
      <c r="R4458">
        <v>0</v>
      </c>
      <c r="S4458">
        <v>0</v>
      </c>
      <c r="T4458">
        <v>0</v>
      </c>
      <c r="U4458">
        <v>0</v>
      </c>
      <c r="V4458">
        <v>0</v>
      </c>
      <c r="W4458">
        <v>0</v>
      </c>
      <c r="X4458">
        <v>0</v>
      </c>
      <c r="Z4458">
        <v>0</v>
      </c>
      <c r="AA4458">
        <v>0</v>
      </c>
      <c r="AB4458">
        <v>0</v>
      </c>
      <c r="AC4458">
        <v>0</v>
      </c>
      <c r="AD4458" t="s">
        <v>8059</v>
      </c>
    </row>
    <row r="4459" spans="1:30" x14ac:dyDescent="0.25">
      <c r="H4459" t="s">
        <v>1697</v>
      </c>
    </row>
    <row r="4460" spans="1:30" x14ac:dyDescent="0.25">
      <c r="A4460">
        <v>2227</v>
      </c>
      <c r="B4460">
        <v>5031</v>
      </c>
      <c r="C4460" t="s">
        <v>8060</v>
      </c>
      <c r="D4460" t="s">
        <v>400</v>
      </c>
      <c r="E4460" t="s">
        <v>8060</v>
      </c>
      <c r="F4460" t="s">
        <v>8061</v>
      </c>
      <c r="G4460" t="str">
        <f>"00226395"</f>
        <v>00226395</v>
      </c>
      <c r="H4460" t="s">
        <v>3774</v>
      </c>
      <c r="I4460">
        <v>0</v>
      </c>
      <c r="J4460">
        <v>0</v>
      </c>
      <c r="K4460">
        <v>0</v>
      </c>
      <c r="L4460">
        <v>0</v>
      </c>
      <c r="M4460">
        <v>0</v>
      </c>
      <c r="N4460">
        <v>30</v>
      </c>
      <c r="O4460">
        <v>0</v>
      </c>
      <c r="P4460">
        <v>0</v>
      </c>
      <c r="Q4460">
        <v>0</v>
      </c>
      <c r="R4460">
        <v>0</v>
      </c>
      <c r="S4460">
        <v>0</v>
      </c>
      <c r="T4460">
        <v>0</v>
      </c>
      <c r="U4460">
        <v>0</v>
      </c>
      <c r="V4460">
        <v>0</v>
      </c>
      <c r="W4460">
        <v>0</v>
      </c>
      <c r="X4460">
        <v>0</v>
      </c>
      <c r="Z4460">
        <v>0</v>
      </c>
      <c r="AA4460">
        <v>0</v>
      </c>
      <c r="AB4460">
        <v>0</v>
      </c>
      <c r="AC4460">
        <v>0</v>
      </c>
      <c r="AD4460" t="s">
        <v>8059</v>
      </c>
    </row>
    <row r="4461" spans="1:30" x14ac:dyDescent="0.25">
      <c r="H4461" t="s">
        <v>8062</v>
      </c>
    </row>
    <row r="4462" spans="1:30" x14ac:dyDescent="0.25">
      <c r="A4462">
        <v>2228</v>
      </c>
      <c r="B4462">
        <v>5991</v>
      </c>
      <c r="C4462" t="s">
        <v>8063</v>
      </c>
      <c r="D4462" t="s">
        <v>474</v>
      </c>
      <c r="E4462" t="s">
        <v>87</v>
      </c>
      <c r="F4462" t="s">
        <v>8064</v>
      </c>
      <c r="G4462" t="str">
        <f>"00076959"</f>
        <v>00076959</v>
      </c>
      <c r="H4462" t="s">
        <v>642</v>
      </c>
      <c r="I4462">
        <v>0</v>
      </c>
      <c r="J4462">
        <v>0</v>
      </c>
      <c r="K4462">
        <v>0</v>
      </c>
      <c r="L4462">
        <v>0</v>
      </c>
      <c r="M4462">
        <v>0</v>
      </c>
      <c r="N4462">
        <v>30</v>
      </c>
      <c r="O4462">
        <v>0</v>
      </c>
      <c r="P4462">
        <v>0</v>
      </c>
      <c r="Q4462">
        <v>0</v>
      </c>
      <c r="R4462">
        <v>0</v>
      </c>
      <c r="S4462">
        <v>0</v>
      </c>
      <c r="T4462">
        <v>0</v>
      </c>
      <c r="U4462">
        <v>0</v>
      </c>
      <c r="V4462">
        <v>5</v>
      </c>
      <c r="W4462">
        <v>35</v>
      </c>
      <c r="X4462">
        <v>0</v>
      </c>
      <c r="Z4462">
        <v>0</v>
      </c>
      <c r="AA4462">
        <v>0</v>
      </c>
      <c r="AB4462">
        <v>0</v>
      </c>
      <c r="AC4462">
        <v>0</v>
      </c>
      <c r="AD4462" t="s">
        <v>8065</v>
      </c>
    </row>
    <row r="4463" spans="1:30" x14ac:dyDescent="0.25">
      <c r="H4463">
        <v>1249</v>
      </c>
    </row>
    <row r="4464" spans="1:30" x14ac:dyDescent="0.25">
      <c r="A4464">
        <v>2229</v>
      </c>
      <c r="B4464">
        <v>3892</v>
      </c>
      <c r="C4464" t="s">
        <v>8066</v>
      </c>
      <c r="D4464" t="s">
        <v>1996</v>
      </c>
      <c r="E4464" t="s">
        <v>140</v>
      </c>
      <c r="F4464" t="s">
        <v>8067</v>
      </c>
      <c r="G4464" t="str">
        <f>"00368499"</f>
        <v>00368499</v>
      </c>
      <c r="H4464">
        <v>726</v>
      </c>
      <c r="I4464">
        <v>0</v>
      </c>
      <c r="J4464">
        <v>0</v>
      </c>
      <c r="K4464">
        <v>0</v>
      </c>
      <c r="L4464">
        <v>0</v>
      </c>
      <c r="M4464">
        <v>0</v>
      </c>
      <c r="N4464">
        <v>0</v>
      </c>
      <c r="O4464">
        <v>0</v>
      </c>
      <c r="P4464">
        <v>0</v>
      </c>
      <c r="Q4464">
        <v>0</v>
      </c>
      <c r="R4464">
        <v>0</v>
      </c>
      <c r="S4464">
        <v>0</v>
      </c>
      <c r="T4464">
        <v>0</v>
      </c>
      <c r="U4464">
        <v>0</v>
      </c>
      <c r="V4464">
        <v>0</v>
      </c>
      <c r="W4464">
        <v>0</v>
      </c>
      <c r="X4464">
        <v>0</v>
      </c>
      <c r="Z4464">
        <v>2</v>
      </c>
      <c r="AA4464">
        <v>0</v>
      </c>
      <c r="AB4464">
        <v>0</v>
      </c>
      <c r="AC4464">
        <v>0</v>
      </c>
      <c r="AD4464">
        <v>726</v>
      </c>
    </row>
    <row r="4465" spans="1:30" x14ac:dyDescent="0.25">
      <c r="H4465" t="s">
        <v>8068</v>
      </c>
    </row>
    <row r="4466" spans="1:30" x14ac:dyDescent="0.25">
      <c r="A4466">
        <v>2230</v>
      </c>
      <c r="B4466">
        <v>4000</v>
      </c>
      <c r="C4466" t="s">
        <v>8069</v>
      </c>
      <c r="D4466" t="s">
        <v>143</v>
      </c>
      <c r="E4466" t="s">
        <v>47</v>
      </c>
      <c r="F4466" t="s">
        <v>8070</v>
      </c>
      <c r="G4466" t="str">
        <f>"200802003409"</f>
        <v>200802003409</v>
      </c>
      <c r="H4466">
        <v>726</v>
      </c>
      <c r="I4466">
        <v>0</v>
      </c>
      <c r="J4466">
        <v>0</v>
      </c>
      <c r="K4466">
        <v>0</v>
      </c>
      <c r="L4466">
        <v>0</v>
      </c>
      <c r="M4466">
        <v>0</v>
      </c>
      <c r="N4466">
        <v>0</v>
      </c>
      <c r="O4466">
        <v>0</v>
      </c>
      <c r="P4466">
        <v>0</v>
      </c>
      <c r="Q4466">
        <v>0</v>
      </c>
      <c r="R4466">
        <v>0</v>
      </c>
      <c r="S4466">
        <v>0</v>
      </c>
      <c r="T4466">
        <v>0</v>
      </c>
      <c r="U4466">
        <v>0</v>
      </c>
      <c r="V4466">
        <v>0</v>
      </c>
      <c r="W4466">
        <v>0</v>
      </c>
      <c r="X4466">
        <v>0</v>
      </c>
      <c r="Z4466">
        <v>0</v>
      </c>
      <c r="AA4466">
        <v>0</v>
      </c>
      <c r="AB4466">
        <v>0</v>
      </c>
      <c r="AC4466">
        <v>0</v>
      </c>
      <c r="AD4466">
        <v>726</v>
      </c>
    </row>
    <row r="4467" spans="1:30" x14ac:dyDescent="0.25">
      <c r="H4467" t="s">
        <v>3337</v>
      </c>
    </row>
    <row r="4468" spans="1:30" x14ac:dyDescent="0.25">
      <c r="A4468">
        <v>2231</v>
      </c>
      <c r="B4468">
        <v>3583</v>
      </c>
      <c r="C4468" t="s">
        <v>3360</v>
      </c>
      <c r="D4468" t="s">
        <v>494</v>
      </c>
      <c r="E4468" t="s">
        <v>39</v>
      </c>
      <c r="F4468" t="s">
        <v>3361</v>
      </c>
      <c r="G4468" t="str">
        <f>"00343710"</f>
        <v>00343710</v>
      </c>
      <c r="H4468">
        <v>726</v>
      </c>
      <c r="I4468">
        <v>0</v>
      </c>
      <c r="J4468">
        <v>0</v>
      </c>
      <c r="K4468">
        <v>0</v>
      </c>
      <c r="L4468">
        <v>0</v>
      </c>
      <c r="M4468">
        <v>0</v>
      </c>
      <c r="N4468">
        <v>0</v>
      </c>
      <c r="O4468">
        <v>0</v>
      </c>
      <c r="P4468">
        <v>0</v>
      </c>
      <c r="Q4468">
        <v>0</v>
      </c>
      <c r="R4468">
        <v>0</v>
      </c>
      <c r="S4468">
        <v>0</v>
      </c>
      <c r="T4468">
        <v>0</v>
      </c>
      <c r="U4468">
        <v>0</v>
      </c>
      <c r="V4468">
        <v>0</v>
      </c>
      <c r="W4468">
        <v>0</v>
      </c>
      <c r="X4468">
        <v>0</v>
      </c>
      <c r="Z4468">
        <v>0</v>
      </c>
      <c r="AA4468">
        <v>0</v>
      </c>
      <c r="AB4468">
        <v>0</v>
      </c>
      <c r="AC4468">
        <v>0</v>
      </c>
      <c r="AD4468">
        <v>726</v>
      </c>
    </row>
    <row r="4469" spans="1:30" x14ac:dyDescent="0.25">
      <c r="H4469" t="s">
        <v>3362</v>
      </c>
    </row>
    <row r="4470" spans="1:30" x14ac:dyDescent="0.25">
      <c r="A4470">
        <v>2232</v>
      </c>
      <c r="B4470">
        <v>3161</v>
      </c>
      <c r="C4470" t="s">
        <v>8071</v>
      </c>
      <c r="D4470" t="s">
        <v>551</v>
      </c>
      <c r="E4470" t="s">
        <v>108</v>
      </c>
      <c r="F4470" t="s">
        <v>8072</v>
      </c>
      <c r="G4470" t="str">
        <f>"00357642"</f>
        <v>00357642</v>
      </c>
      <c r="H4470">
        <v>726</v>
      </c>
      <c r="I4470">
        <v>0</v>
      </c>
      <c r="J4470">
        <v>0</v>
      </c>
      <c r="K4470">
        <v>0</v>
      </c>
      <c r="L4470">
        <v>0</v>
      </c>
      <c r="M4470">
        <v>0</v>
      </c>
      <c r="N4470">
        <v>0</v>
      </c>
      <c r="O4470">
        <v>0</v>
      </c>
      <c r="P4470">
        <v>0</v>
      </c>
      <c r="Q4470">
        <v>0</v>
      </c>
      <c r="R4470">
        <v>0</v>
      </c>
      <c r="S4470">
        <v>0</v>
      </c>
      <c r="T4470">
        <v>0</v>
      </c>
      <c r="U4470">
        <v>0</v>
      </c>
      <c r="V4470">
        <v>0</v>
      </c>
      <c r="W4470">
        <v>0</v>
      </c>
      <c r="X4470">
        <v>0</v>
      </c>
      <c r="Z4470">
        <v>0</v>
      </c>
      <c r="AA4470">
        <v>0</v>
      </c>
      <c r="AB4470">
        <v>0</v>
      </c>
      <c r="AC4470">
        <v>0</v>
      </c>
      <c r="AD4470">
        <v>726</v>
      </c>
    </row>
    <row r="4471" spans="1:30" x14ac:dyDescent="0.25">
      <c r="H4471" t="s">
        <v>8073</v>
      </c>
    </row>
    <row r="4472" spans="1:30" x14ac:dyDescent="0.25">
      <c r="A4472">
        <v>2233</v>
      </c>
      <c r="B4472">
        <v>4937</v>
      </c>
      <c r="C4472" t="s">
        <v>8074</v>
      </c>
      <c r="D4472" t="s">
        <v>869</v>
      </c>
      <c r="E4472" t="s">
        <v>151</v>
      </c>
      <c r="F4472" t="s">
        <v>8075</v>
      </c>
      <c r="G4472" t="str">
        <f>"00152234"</f>
        <v>00152234</v>
      </c>
      <c r="H4472" t="s">
        <v>1251</v>
      </c>
      <c r="I4472">
        <v>0</v>
      </c>
      <c r="J4472">
        <v>0</v>
      </c>
      <c r="K4472">
        <v>0</v>
      </c>
      <c r="L4472">
        <v>0</v>
      </c>
      <c r="M4472">
        <v>0</v>
      </c>
      <c r="N4472">
        <v>30</v>
      </c>
      <c r="O4472">
        <v>0</v>
      </c>
      <c r="P4472">
        <v>0</v>
      </c>
      <c r="Q4472">
        <v>0</v>
      </c>
      <c r="R4472">
        <v>0</v>
      </c>
      <c r="S4472">
        <v>0</v>
      </c>
      <c r="T4472">
        <v>0</v>
      </c>
      <c r="U4472">
        <v>0</v>
      </c>
      <c r="V4472">
        <v>0</v>
      </c>
      <c r="W4472">
        <v>0</v>
      </c>
      <c r="X4472">
        <v>0</v>
      </c>
      <c r="Z4472">
        <v>1</v>
      </c>
      <c r="AA4472">
        <v>0</v>
      </c>
      <c r="AB4472">
        <v>0</v>
      </c>
      <c r="AC4472">
        <v>0</v>
      </c>
      <c r="AD4472" t="s">
        <v>8076</v>
      </c>
    </row>
    <row r="4473" spans="1:30" x14ac:dyDescent="0.25">
      <c r="H4473" t="s">
        <v>8077</v>
      </c>
    </row>
    <row r="4474" spans="1:30" x14ac:dyDescent="0.25">
      <c r="A4474">
        <v>2234</v>
      </c>
      <c r="B4474">
        <v>2140</v>
      </c>
      <c r="C4474" t="s">
        <v>8078</v>
      </c>
      <c r="D4474" t="s">
        <v>229</v>
      </c>
      <c r="E4474" t="s">
        <v>224</v>
      </c>
      <c r="F4474" t="s">
        <v>8079</v>
      </c>
      <c r="G4474" t="str">
        <f>"00326444"</f>
        <v>00326444</v>
      </c>
      <c r="H4474">
        <v>660</v>
      </c>
      <c r="I4474">
        <v>0</v>
      </c>
      <c r="J4474">
        <v>0</v>
      </c>
      <c r="K4474">
        <v>0</v>
      </c>
      <c r="L4474">
        <v>0</v>
      </c>
      <c r="M4474">
        <v>0</v>
      </c>
      <c r="N4474">
        <v>0</v>
      </c>
      <c r="O4474">
        <v>0</v>
      </c>
      <c r="P4474">
        <v>30</v>
      </c>
      <c r="Q4474">
        <v>0</v>
      </c>
      <c r="R4474">
        <v>0</v>
      </c>
      <c r="S4474">
        <v>0</v>
      </c>
      <c r="T4474">
        <v>0</v>
      </c>
      <c r="U4474">
        <v>0</v>
      </c>
      <c r="V4474">
        <v>5</v>
      </c>
      <c r="W4474">
        <v>35</v>
      </c>
      <c r="X4474">
        <v>0</v>
      </c>
      <c r="Z4474">
        <v>0</v>
      </c>
      <c r="AA4474">
        <v>0</v>
      </c>
      <c r="AB4474">
        <v>0</v>
      </c>
      <c r="AC4474">
        <v>0</v>
      </c>
      <c r="AD4474">
        <v>725</v>
      </c>
    </row>
    <row r="4475" spans="1:30" x14ac:dyDescent="0.25">
      <c r="H4475">
        <v>1249</v>
      </c>
    </row>
    <row r="4476" spans="1:30" x14ac:dyDescent="0.25">
      <c r="A4476">
        <v>2235</v>
      </c>
      <c r="B4476">
        <v>1408</v>
      </c>
      <c r="C4476" t="s">
        <v>1362</v>
      </c>
      <c r="D4476" t="s">
        <v>14</v>
      </c>
      <c r="E4476" t="s">
        <v>495</v>
      </c>
      <c r="F4476" t="s">
        <v>8080</v>
      </c>
      <c r="G4476" t="str">
        <f>"00311731"</f>
        <v>00311731</v>
      </c>
      <c r="H4476" t="s">
        <v>1949</v>
      </c>
      <c r="I4476">
        <v>0</v>
      </c>
      <c r="J4476">
        <v>0</v>
      </c>
      <c r="K4476">
        <v>0</v>
      </c>
      <c r="L4476">
        <v>0</v>
      </c>
      <c r="M4476">
        <v>0</v>
      </c>
      <c r="N4476">
        <v>0</v>
      </c>
      <c r="O4476">
        <v>0</v>
      </c>
      <c r="P4476">
        <v>0</v>
      </c>
      <c r="Q4476">
        <v>0</v>
      </c>
      <c r="R4476">
        <v>0</v>
      </c>
      <c r="S4476">
        <v>0</v>
      </c>
      <c r="T4476">
        <v>0</v>
      </c>
      <c r="U4476">
        <v>0</v>
      </c>
      <c r="V4476">
        <v>0</v>
      </c>
      <c r="W4476">
        <v>0</v>
      </c>
      <c r="X4476">
        <v>0</v>
      </c>
      <c r="Z4476">
        <v>2</v>
      </c>
      <c r="AA4476">
        <v>0</v>
      </c>
      <c r="AB4476">
        <v>0</v>
      </c>
      <c r="AC4476">
        <v>0</v>
      </c>
      <c r="AD4476" t="s">
        <v>1949</v>
      </c>
    </row>
    <row r="4477" spans="1:30" x14ac:dyDescent="0.25">
      <c r="H4477" t="s">
        <v>8081</v>
      </c>
    </row>
    <row r="4478" spans="1:30" x14ac:dyDescent="0.25">
      <c r="A4478">
        <v>2236</v>
      </c>
      <c r="B4478">
        <v>6201</v>
      </c>
      <c r="C4478" t="s">
        <v>8082</v>
      </c>
      <c r="D4478" t="s">
        <v>69</v>
      </c>
      <c r="E4478" t="s">
        <v>140</v>
      </c>
      <c r="F4478" t="s">
        <v>8083</v>
      </c>
      <c r="G4478" t="str">
        <f>"201511021829"</f>
        <v>201511021829</v>
      </c>
      <c r="H4478" t="s">
        <v>3232</v>
      </c>
      <c r="I4478">
        <v>0</v>
      </c>
      <c r="J4478">
        <v>0</v>
      </c>
      <c r="K4478">
        <v>0</v>
      </c>
      <c r="L4478">
        <v>0</v>
      </c>
      <c r="M4478">
        <v>0</v>
      </c>
      <c r="N4478">
        <v>50</v>
      </c>
      <c r="O4478">
        <v>0</v>
      </c>
      <c r="P4478">
        <v>0</v>
      </c>
      <c r="Q4478">
        <v>0</v>
      </c>
      <c r="R4478">
        <v>0</v>
      </c>
      <c r="S4478">
        <v>0</v>
      </c>
      <c r="T4478">
        <v>0</v>
      </c>
      <c r="U4478">
        <v>0</v>
      </c>
      <c r="V4478">
        <v>0</v>
      </c>
      <c r="W4478">
        <v>0</v>
      </c>
      <c r="X4478">
        <v>0</v>
      </c>
      <c r="Z4478">
        <v>0</v>
      </c>
      <c r="AA4478">
        <v>0</v>
      </c>
      <c r="AB4478">
        <v>0</v>
      </c>
      <c r="AC4478">
        <v>0</v>
      </c>
      <c r="AD4478" t="s">
        <v>8084</v>
      </c>
    </row>
    <row r="4479" spans="1:30" x14ac:dyDescent="0.25">
      <c r="H4479" t="s">
        <v>8085</v>
      </c>
    </row>
    <row r="4480" spans="1:30" x14ac:dyDescent="0.25">
      <c r="A4480">
        <v>2237</v>
      </c>
      <c r="B4480">
        <v>459</v>
      </c>
      <c r="C4480" t="s">
        <v>5179</v>
      </c>
      <c r="D4480" t="s">
        <v>8086</v>
      </c>
      <c r="E4480" t="s">
        <v>51</v>
      </c>
      <c r="F4480" t="s">
        <v>8087</v>
      </c>
      <c r="G4480" t="str">
        <f>"00283992"</f>
        <v>00283992</v>
      </c>
      <c r="H4480" t="s">
        <v>3232</v>
      </c>
      <c r="I4480">
        <v>0</v>
      </c>
      <c r="J4480">
        <v>0</v>
      </c>
      <c r="K4480">
        <v>0</v>
      </c>
      <c r="L4480">
        <v>0</v>
      </c>
      <c r="M4480">
        <v>0</v>
      </c>
      <c r="N4480">
        <v>50</v>
      </c>
      <c r="O4480">
        <v>0</v>
      </c>
      <c r="P4480">
        <v>0</v>
      </c>
      <c r="Q4480">
        <v>0</v>
      </c>
      <c r="R4480">
        <v>0</v>
      </c>
      <c r="S4480">
        <v>0</v>
      </c>
      <c r="T4480">
        <v>0</v>
      </c>
      <c r="U4480">
        <v>0</v>
      </c>
      <c r="V4480">
        <v>0</v>
      </c>
      <c r="W4480">
        <v>0</v>
      </c>
      <c r="X4480">
        <v>0</v>
      </c>
      <c r="Z4480">
        <v>0</v>
      </c>
      <c r="AA4480">
        <v>0</v>
      </c>
      <c r="AB4480">
        <v>0</v>
      </c>
      <c r="AC4480">
        <v>0</v>
      </c>
      <c r="AD4480" t="s">
        <v>8084</v>
      </c>
    </row>
    <row r="4481" spans="1:30" x14ac:dyDescent="0.25">
      <c r="H4481" t="s">
        <v>8088</v>
      </c>
    </row>
    <row r="4482" spans="1:30" x14ac:dyDescent="0.25">
      <c r="A4482">
        <v>2238</v>
      </c>
      <c r="B4482">
        <v>5847</v>
      </c>
      <c r="C4482" t="s">
        <v>8089</v>
      </c>
      <c r="D4482" t="s">
        <v>51</v>
      </c>
      <c r="E4482" t="s">
        <v>140</v>
      </c>
      <c r="F4482" t="s">
        <v>8090</v>
      </c>
      <c r="G4482" t="str">
        <f>"201511005512"</f>
        <v>201511005512</v>
      </c>
      <c r="H4482" t="s">
        <v>754</v>
      </c>
      <c r="I4482">
        <v>0</v>
      </c>
      <c r="J4482">
        <v>0</v>
      </c>
      <c r="K4482">
        <v>0</v>
      </c>
      <c r="L4482">
        <v>0</v>
      </c>
      <c r="M4482">
        <v>0</v>
      </c>
      <c r="N4482">
        <v>0</v>
      </c>
      <c r="O4482">
        <v>0</v>
      </c>
      <c r="P4482">
        <v>0</v>
      </c>
      <c r="Q4482">
        <v>0</v>
      </c>
      <c r="R4482">
        <v>0</v>
      </c>
      <c r="S4482">
        <v>0</v>
      </c>
      <c r="T4482">
        <v>0</v>
      </c>
      <c r="U4482">
        <v>0</v>
      </c>
      <c r="V4482">
        <v>0</v>
      </c>
      <c r="W4482">
        <v>0</v>
      </c>
      <c r="X4482">
        <v>0</v>
      </c>
      <c r="Z4482">
        <v>2</v>
      </c>
      <c r="AA4482">
        <v>0</v>
      </c>
      <c r="AB4482">
        <v>0</v>
      </c>
      <c r="AC4482">
        <v>0</v>
      </c>
      <c r="AD4482" t="s">
        <v>754</v>
      </c>
    </row>
    <row r="4483" spans="1:30" x14ac:dyDescent="0.25">
      <c r="H4483" t="s">
        <v>8091</v>
      </c>
    </row>
    <row r="4484" spans="1:30" x14ac:dyDescent="0.25">
      <c r="A4484">
        <v>2239</v>
      </c>
      <c r="B4484">
        <v>5460</v>
      </c>
      <c r="C4484" t="s">
        <v>4593</v>
      </c>
      <c r="D4484" t="s">
        <v>296</v>
      </c>
      <c r="E4484" t="s">
        <v>107</v>
      </c>
      <c r="F4484" t="s">
        <v>8092</v>
      </c>
      <c r="G4484" t="str">
        <f>"00320976"</f>
        <v>00320976</v>
      </c>
      <c r="H4484" t="s">
        <v>3714</v>
      </c>
      <c r="I4484">
        <v>0</v>
      </c>
      <c r="J4484">
        <v>0</v>
      </c>
      <c r="K4484">
        <v>0</v>
      </c>
      <c r="L4484">
        <v>0</v>
      </c>
      <c r="M4484">
        <v>0</v>
      </c>
      <c r="N4484">
        <v>30</v>
      </c>
      <c r="O4484">
        <v>0</v>
      </c>
      <c r="P4484">
        <v>0</v>
      </c>
      <c r="Q4484">
        <v>0</v>
      </c>
      <c r="R4484">
        <v>0</v>
      </c>
      <c r="S4484">
        <v>0</v>
      </c>
      <c r="T4484">
        <v>0</v>
      </c>
      <c r="U4484">
        <v>0</v>
      </c>
      <c r="V4484">
        <v>7</v>
      </c>
      <c r="W4484">
        <v>49</v>
      </c>
      <c r="X4484">
        <v>0</v>
      </c>
      <c r="Z4484">
        <v>0</v>
      </c>
      <c r="AA4484">
        <v>0</v>
      </c>
      <c r="AB4484">
        <v>0</v>
      </c>
      <c r="AC4484">
        <v>0</v>
      </c>
      <c r="AD4484" t="s">
        <v>8093</v>
      </c>
    </row>
    <row r="4485" spans="1:30" x14ac:dyDescent="0.25">
      <c r="H4485" t="s">
        <v>8094</v>
      </c>
    </row>
    <row r="4486" spans="1:30" x14ac:dyDescent="0.25">
      <c r="A4486">
        <v>2240</v>
      </c>
      <c r="B4486">
        <v>3832</v>
      </c>
      <c r="C4486" t="s">
        <v>8095</v>
      </c>
      <c r="D4486" t="s">
        <v>661</v>
      </c>
      <c r="E4486" t="s">
        <v>40</v>
      </c>
      <c r="F4486" t="s">
        <v>8096</v>
      </c>
      <c r="G4486" t="str">
        <f>"00205961"</f>
        <v>00205961</v>
      </c>
      <c r="H4486" t="s">
        <v>1339</v>
      </c>
      <c r="I4486">
        <v>0</v>
      </c>
      <c r="J4486">
        <v>0</v>
      </c>
      <c r="K4486">
        <v>0</v>
      </c>
      <c r="L4486">
        <v>0</v>
      </c>
      <c r="M4486">
        <v>0</v>
      </c>
      <c r="N4486">
        <v>50</v>
      </c>
      <c r="O4486">
        <v>0</v>
      </c>
      <c r="P4486">
        <v>0</v>
      </c>
      <c r="Q4486">
        <v>0</v>
      </c>
      <c r="R4486">
        <v>0</v>
      </c>
      <c r="S4486">
        <v>0</v>
      </c>
      <c r="T4486">
        <v>0</v>
      </c>
      <c r="U4486">
        <v>0</v>
      </c>
      <c r="V4486">
        <v>0</v>
      </c>
      <c r="W4486">
        <v>0</v>
      </c>
      <c r="X4486">
        <v>0</v>
      </c>
      <c r="Z4486">
        <v>0</v>
      </c>
      <c r="AA4486">
        <v>0</v>
      </c>
      <c r="AB4486">
        <v>0</v>
      </c>
      <c r="AC4486">
        <v>0</v>
      </c>
      <c r="AD4486" t="s">
        <v>8097</v>
      </c>
    </row>
    <row r="4487" spans="1:30" x14ac:dyDescent="0.25">
      <c r="H4487" t="s">
        <v>8098</v>
      </c>
    </row>
    <row r="4488" spans="1:30" x14ac:dyDescent="0.25">
      <c r="A4488">
        <v>2241</v>
      </c>
      <c r="B4488">
        <v>4126</v>
      </c>
      <c r="C4488" t="s">
        <v>8099</v>
      </c>
      <c r="D4488" t="s">
        <v>239</v>
      </c>
      <c r="E4488" t="s">
        <v>107</v>
      </c>
      <c r="F4488" t="s">
        <v>8100</v>
      </c>
      <c r="G4488" t="str">
        <f>"00106888"</f>
        <v>00106888</v>
      </c>
      <c r="H4488" t="s">
        <v>1339</v>
      </c>
      <c r="I4488">
        <v>0</v>
      </c>
      <c r="J4488">
        <v>0</v>
      </c>
      <c r="K4488">
        <v>0</v>
      </c>
      <c r="L4488">
        <v>0</v>
      </c>
      <c r="M4488">
        <v>0</v>
      </c>
      <c r="N4488">
        <v>50</v>
      </c>
      <c r="O4488">
        <v>0</v>
      </c>
      <c r="P4488">
        <v>0</v>
      </c>
      <c r="Q4488">
        <v>0</v>
      </c>
      <c r="R4488">
        <v>0</v>
      </c>
      <c r="S4488">
        <v>0</v>
      </c>
      <c r="T4488">
        <v>0</v>
      </c>
      <c r="U4488">
        <v>0</v>
      </c>
      <c r="V4488">
        <v>0</v>
      </c>
      <c r="W4488">
        <v>0</v>
      </c>
      <c r="X4488">
        <v>0</v>
      </c>
      <c r="Z4488">
        <v>2</v>
      </c>
      <c r="AA4488">
        <v>0</v>
      </c>
      <c r="AB4488">
        <v>0</v>
      </c>
      <c r="AC4488">
        <v>0</v>
      </c>
      <c r="AD4488" t="s">
        <v>8097</v>
      </c>
    </row>
    <row r="4489" spans="1:30" x14ac:dyDescent="0.25">
      <c r="H4489" t="s">
        <v>8101</v>
      </c>
    </row>
    <row r="4490" spans="1:30" x14ac:dyDescent="0.25">
      <c r="A4490">
        <v>2242</v>
      </c>
      <c r="B4490">
        <v>722</v>
      </c>
      <c r="C4490" t="s">
        <v>8102</v>
      </c>
      <c r="D4490" t="s">
        <v>8103</v>
      </c>
      <c r="E4490" t="s">
        <v>162</v>
      </c>
      <c r="F4490" t="s">
        <v>8104</v>
      </c>
      <c r="G4490" t="str">
        <f>"00238750"</f>
        <v>00238750</v>
      </c>
      <c r="H4490">
        <v>693</v>
      </c>
      <c r="I4490">
        <v>0</v>
      </c>
      <c r="J4490">
        <v>0</v>
      </c>
      <c r="K4490">
        <v>0</v>
      </c>
      <c r="L4490">
        <v>0</v>
      </c>
      <c r="M4490">
        <v>0</v>
      </c>
      <c r="N4490">
        <v>30</v>
      </c>
      <c r="O4490">
        <v>0</v>
      </c>
      <c r="P4490">
        <v>0</v>
      </c>
      <c r="Q4490">
        <v>0</v>
      </c>
      <c r="R4490">
        <v>0</v>
      </c>
      <c r="S4490">
        <v>0</v>
      </c>
      <c r="T4490">
        <v>0</v>
      </c>
      <c r="U4490">
        <v>0</v>
      </c>
      <c r="V4490">
        <v>0</v>
      </c>
      <c r="W4490">
        <v>0</v>
      </c>
      <c r="X4490">
        <v>0</v>
      </c>
      <c r="Z4490">
        <v>0</v>
      </c>
      <c r="AA4490">
        <v>0</v>
      </c>
      <c r="AB4490">
        <v>0</v>
      </c>
      <c r="AC4490">
        <v>0</v>
      </c>
      <c r="AD4490">
        <v>723</v>
      </c>
    </row>
    <row r="4491" spans="1:30" x14ac:dyDescent="0.25">
      <c r="H4491" t="s">
        <v>8105</v>
      </c>
    </row>
    <row r="4492" spans="1:30" x14ac:dyDescent="0.25">
      <c r="A4492">
        <v>2243</v>
      </c>
      <c r="B4492">
        <v>3083</v>
      </c>
      <c r="C4492" t="s">
        <v>8106</v>
      </c>
      <c r="D4492" t="s">
        <v>2025</v>
      </c>
      <c r="E4492" t="s">
        <v>495</v>
      </c>
      <c r="F4492" t="s">
        <v>8107</v>
      </c>
      <c r="G4492" t="str">
        <f>"00300383"</f>
        <v>00300383</v>
      </c>
      <c r="H4492">
        <v>693</v>
      </c>
      <c r="I4492">
        <v>0</v>
      </c>
      <c r="J4492">
        <v>0</v>
      </c>
      <c r="K4492">
        <v>0</v>
      </c>
      <c r="L4492">
        <v>0</v>
      </c>
      <c r="M4492">
        <v>0</v>
      </c>
      <c r="N4492">
        <v>30</v>
      </c>
      <c r="O4492">
        <v>0</v>
      </c>
      <c r="P4492">
        <v>0</v>
      </c>
      <c r="Q4492">
        <v>0</v>
      </c>
      <c r="R4492">
        <v>0</v>
      </c>
      <c r="S4492">
        <v>0</v>
      </c>
      <c r="T4492">
        <v>0</v>
      </c>
      <c r="U4492">
        <v>0</v>
      </c>
      <c r="V4492">
        <v>0</v>
      </c>
      <c r="W4492">
        <v>0</v>
      </c>
      <c r="X4492">
        <v>0</v>
      </c>
      <c r="Z4492">
        <v>0</v>
      </c>
      <c r="AA4492">
        <v>0</v>
      </c>
      <c r="AB4492">
        <v>0</v>
      </c>
      <c r="AC4492">
        <v>0</v>
      </c>
      <c r="AD4492">
        <v>723</v>
      </c>
    </row>
    <row r="4493" spans="1:30" x14ac:dyDescent="0.25">
      <c r="H4493" t="s">
        <v>8108</v>
      </c>
    </row>
    <row r="4494" spans="1:30" x14ac:dyDescent="0.25">
      <c r="A4494">
        <v>2244</v>
      </c>
      <c r="B4494">
        <v>3283</v>
      </c>
      <c r="C4494" t="s">
        <v>8109</v>
      </c>
      <c r="D4494" t="s">
        <v>335</v>
      </c>
      <c r="E4494" t="s">
        <v>974</v>
      </c>
      <c r="F4494" t="s">
        <v>8110</v>
      </c>
      <c r="G4494" t="str">
        <f>"201406006324"</f>
        <v>201406006324</v>
      </c>
      <c r="H4494">
        <v>693</v>
      </c>
      <c r="I4494">
        <v>0</v>
      </c>
      <c r="J4494">
        <v>0</v>
      </c>
      <c r="K4494">
        <v>0</v>
      </c>
      <c r="L4494">
        <v>0</v>
      </c>
      <c r="M4494">
        <v>0</v>
      </c>
      <c r="N4494">
        <v>30</v>
      </c>
      <c r="O4494">
        <v>0</v>
      </c>
      <c r="P4494">
        <v>0</v>
      </c>
      <c r="Q4494">
        <v>0</v>
      </c>
      <c r="R4494">
        <v>0</v>
      </c>
      <c r="S4494">
        <v>0</v>
      </c>
      <c r="T4494">
        <v>0</v>
      </c>
      <c r="U4494">
        <v>0</v>
      </c>
      <c r="V4494">
        <v>0</v>
      </c>
      <c r="W4494">
        <v>0</v>
      </c>
      <c r="X4494">
        <v>0</v>
      </c>
      <c r="Z4494">
        <v>2</v>
      </c>
      <c r="AA4494">
        <v>0</v>
      </c>
      <c r="AB4494">
        <v>0</v>
      </c>
      <c r="AC4494">
        <v>0</v>
      </c>
      <c r="AD4494">
        <v>723</v>
      </c>
    </row>
    <row r="4495" spans="1:30" x14ac:dyDescent="0.25">
      <c r="H4495" t="s">
        <v>8111</v>
      </c>
    </row>
    <row r="4496" spans="1:30" x14ac:dyDescent="0.25">
      <c r="A4496">
        <v>2245</v>
      </c>
      <c r="B4496">
        <v>3776</v>
      </c>
      <c r="C4496" t="s">
        <v>8112</v>
      </c>
      <c r="D4496" t="s">
        <v>335</v>
      </c>
      <c r="E4496" t="s">
        <v>39</v>
      </c>
      <c r="F4496" t="s">
        <v>8113</v>
      </c>
      <c r="G4496" t="str">
        <f>"201406012650"</f>
        <v>201406012650</v>
      </c>
      <c r="H4496">
        <v>693</v>
      </c>
      <c r="I4496">
        <v>0</v>
      </c>
      <c r="J4496">
        <v>0</v>
      </c>
      <c r="K4496">
        <v>0</v>
      </c>
      <c r="L4496">
        <v>0</v>
      </c>
      <c r="M4496">
        <v>0</v>
      </c>
      <c r="N4496">
        <v>30</v>
      </c>
      <c r="O4496">
        <v>0</v>
      </c>
      <c r="P4496">
        <v>0</v>
      </c>
      <c r="Q4496">
        <v>0</v>
      </c>
      <c r="R4496">
        <v>0</v>
      </c>
      <c r="S4496">
        <v>0</v>
      </c>
      <c r="T4496">
        <v>0</v>
      </c>
      <c r="U4496">
        <v>0</v>
      </c>
      <c r="V4496">
        <v>0</v>
      </c>
      <c r="W4496">
        <v>0</v>
      </c>
      <c r="X4496">
        <v>0</v>
      </c>
      <c r="Z4496">
        <v>0</v>
      </c>
      <c r="AA4496">
        <v>0</v>
      </c>
      <c r="AB4496">
        <v>0</v>
      </c>
      <c r="AC4496">
        <v>0</v>
      </c>
      <c r="AD4496">
        <v>723</v>
      </c>
    </row>
    <row r="4497" spans="1:30" x14ac:dyDescent="0.25">
      <c r="H4497" t="s">
        <v>6412</v>
      </c>
    </row>
    <row r="4498" spans="1:30" x14ac:dyDescent="0.25">
      <c r="A4498">
        <v>2246</v>
      </c>
      <c r="B4498">
        <v>1421</v>
      </c>
      <c r="C4498" t="s">
        <v>8114</v>
      </c>
      <c r="D4498" t="s">
        <v>107</v>
      </c>
      <c r="E4498" t="s">
        <v>162</v>
      </c>
      <c r="F4498" t="s">
        <v>8115</v>
      </c>
      <c r="G4498" t="str">
        <f>"201511027570"</f>
        <v>201511027570</v>
      </c>
      <c r="H4498">
        <v>693</v>
      </c>
      <c r="I4498">
        <v>0</v>
      </c>
      <c r="J4498">
        <v>0</v>
      </c>
      <c r="K4498">
        <v>0</v>
      </c>
      <c r="L4498">
        <v>0</v>
      </c>
      <c r="M4498">
        <v>0</v>
      </c>
      <c r="N4498">
        <v>30</v>
      </c>
      <c r="O4498">
        <v>0</v>
      </c>
      <c r="P4498">
        <v>0</v>
      </c>
      <c r="Q4498">
        <v>0</v>
      </c>
      <c r="R4498">
        <v>0</v>
      </c>
      <c r="S4498">
        <v>0</v>
      </c>
      <c r="T4498">
        <v>0</v>
      </c>
      <c r="U4498">
        <v>0</v>
      </c>
      <c r="V4498">
        <v>0</v>
      </c>
      <c r="W4498">
        <v>0</v>
      </c>
      <c r="X4498">
        <v>0</v>
      </c>
      <c r="Z4498">
        <v>2</v>
      </c>
      <c r="AA4498">
        <v>0</v>
      </c>
      <c r="AB4498">
        <v>0</v>
      </c>
      <c r="AC4498">
        <v>0</v>
      </c>
      <c r="AD4498">
        <v>723</v>
      </c>
    </row>
    <row r="4499" spans="1:30" x14ac:dyDescent="0.25">
      <c r="H4499" t="s">
        <v>8116</v>
      </c>
    </row>
    <row r="4500" spans="1:30" x14ac:dyDescent="0.25">
      <c r="A4500">
        <v>2247</v>
      </c>
      <c r="B4500">
        <v>2985</v>
      </c>
      <c r="C4500" t="s">
        <v>8117</v>
      </c>
      <c r="D4500" t="s">
        <v>51</v>
      </c>
      <c r="E4500" t="s">
        <v>176</v>
      </c>
      <c r="F4500" t="s">
        <v>8118</v>
      </c>
      <c r="G4500" t="str">
        <f>"00213321"</f>
        <v>00213321</v>
      </c>
      <c r="H4500" t="s">
        <v>2866</v>
      </c>
      <c r="I4500">
        <v>0</v>
      </c>
      <c r="J4500">
        <v>0</v>
      </c>
      <c r="K4500">
        <v>0</v>
      </c>
      <c r="L4500">
        <v>0</v>
      </c>
      <c r="M4500">
        <v>0</v>
      </c>
      <c r="N4500">
        <v>70</v>
      </c>
      <c r="O4500">
        <v>0</v>
      </c>
      <c r="P4500">
        <v>0</v>
      </c>
      <c r="Q4500">
        <v>0</v>
      </c>
      <c r="R4500">
        <v>0</v>
      </c>
      <c r="S4500">
        <v>0</v>
      </c>
      <c r="T4500">
        <v>0</v>
      </c>
      <c r="U4500">
        <v>0</v>
      </c>
      <c r="V4500">
        <v>0</v>
      </c>
      <c r="W4500">
        <v>0</v>
      </c>
      <c r="X4500">
        <v>0</v>
      </c>
      <c r="Z4500">
        <v>0</v>
      </c>
      <c r="AA4500">
        <v>0</v>
      </c>
      <c r="AB4500">
        <v>0</v>
      </c>
      <c r="AC4500">
        <v>0</v>
      </c>
      <c r="AD4500" t="s">
        <v>8119</v>
      </c>
    </row>
    <row r="4501" spans="1:30" x14ac:dyDescent="0.25">
      <c r="H4501" t="s">
        <v>8120</v>
      </c>
    </row>
    <row r="4502" spans="1:30" x14ac:dyDescent="0.25">
      <c r="A4502">
        <v>2248</v>
      </c>
      <c r="B4502">
        <v>2940</v>
      </c>
      <c r="C4502" t="s">
        <v>8121</v>
      </c>
      <c r="D4502" t="s">
        <v>40</v>
      </c>
      <c r="E4502" t="s">
        <v>107</v>
      </c>
      <c r="F4502" t="s">
        <v>8122</v>
      </c>
      <c r="G4502" t="str">
        <f>"00337649"</f>
        <v>00337649</v>
      </c>
      <c r="H4502" t="s">
        <v>3427</v>
      </c>
      <c r="I4502">
        <v>0</v>
      </c>
      <c r="J4502">
        <v>0</v>
      </c>
      <c r="K4502">
        <v>0</v>
      </c>
      <c r="L4502">
        <v>0</v>
      </c>
      <c r="M4502">
        <v>0</v>
      </c>
      <c r="N4502">
        <v>30</v>
      </c>
      <c r="O4502">
        <v>0</v>
      </c>
      <c r="P4502">
        <v>0</v>
      </c>
      <c r="Q4502">
        <v>0</v>
      </c>
      <c r="R4502">
        <v>0</v>
      </c>
      <c r="S4502">
        <v>0</v>
      </c>
      <c r="T4502">
        <v>0</v>
      </c>
      <c r="U4502">
        <v>0</v>
      </c>
      <c r="V4502">
        <v>0</v>
      </c>
      <c r="W4502">
        <v>0</v>
      </c>
      <c r="X4502">
        <v>0</v>
      </c>
      <c r="Z4502">
        <v>0</v>
      </c>
      <c r="AA4502">
        <v>0</v>
      </c>
      <c r="AB4502">
        <v>0</v>
      </c>
      <c r="AC4502">
        <v>0</v>
      </c>
      <c r="AD4502" t="s">
        <v>8123</v>
      </c>
    </row>
    <row r="4503" spans="1:30" x14ac:dyDescent="0.25">
      <c r="H4503" t="s">
        <v>8124</v>
      </c>
    </row>
    <row r="4504" spans="1:30" x14ac:dyDescent="0.25">
      <c r="A4504">
        <v>2249</v>
      </c>
      <c r="B4504">
        <v>1649</v>
      </c>
      <c r="C4504" t="s">
        <v>8125</v>
      </c>
      <c r="D4504" t="s">
        <v>8126</v>
      </c>
      <c r="E4504" t="s">
        <v>47</v>
      </c>
      <c r="F4504" t="s">
        <v>8127</v>
      </c>
      <c r="G4504" t="str">
        <f>"00162640"</f>
        <v>00162640</v>
      </c>
      <c r="H4504" t="s">
        <v>3427</v>
      </c>
      <c r="I4504">
        <v>0</v>
      </c>
      <c r="J4504">
        <v>0</v>
      </c>
      <c r="K4504">
        <v>0</v>
      </c>
      <c r="L4504">
        <v>0</v>
      </c>
      <c r="M4504">
        <v>0</v>
      </c>
      <c r="N4504">
        <v>30</v>
      </c>
      <c r="O4504">
        <v>0</v>
      </c>
      <c r="P4504">
        <v>0</v>
      </c>
      <c r="Q4504">
        <v>0</v>
      </c>
      <c r="R4504">
        <v>0</v>
      </c>
      <c r="S4504">
        <v>0</v>
      </c>
      <c r="T4504">
        <v>0</v>
      </c>
      <c r="U4504">
        <v>0</v>
      </c>
      <c r="V4504">
        <v>0</v>
      </c>
      <c r="W4504">
        <v>0</v>
      </c>
      <c r="X4504">
        <v>0</v>
      </c>
      <c r="Z4504">
        <v>0</v>
      </c>
      <c r="AA4504">
        <v>0</v>
      </c>
      <c r="AB4504">
        <v>0</v>
      </c>
      <c r="AC4504">
        <v>0</v>
      </c>
      <c r="AD4504" t="s">
        <v>8123</v>
      </c>
    </row>
    <row r="4505" spans="1:30" x14ac:dyDescent="0.25">
      <c r="H4505" t="s">
        <v>8128</v>
      </c>
    </row>
    <row r="4506" spans="1:30" x14ac:dyDescent="0.25">
      <c r="A4506">
        <v>2250</v>
      </c>
      <c r="B4506">
        <v>5119</v>
      </c>
      <c r="C4506" t="s">
        <v>8129</v>
      </c>
      <c r="D4506" t="s">
        <v>2722</v>
      </c>
      <c r="E4506" t="s">
        <v>115</v>
      </c>
      <c r="F4506" t="s">
        <v>8130</v>
      </c>
      <c r="G4506" t="str">
        <f>"00207455"</f>
        <v>00207455</v>
      </c>
      <c r="H4506" t="s">
        <v>369</v>
      </c>
      <c r="I4506">
        <v>0</v>
      </c>
      <c r="J4506">
        <v>0</v>
      </c>
      <c r="K4506">
        <v>0</v>
      </c>
      <c r="L4506">
        <v>0</v>
      </c>
      <c r="M4506">
        <v>0</v>
      </c>
      <c r="N4506">
        <v>30</v>
      </c>
      <c r="O4506">
        <v>0</v>
      </c>
      <c r="P4506">
        <v>0</v>
      </c>
      <c r="Q4506">
        <v>0</v>
      </c>
      <c r="R4506">
        <v>0</v>
      </c>
      <c r="S4506">
        <v>0</v>
      </c>
      <c r="T4506">
        <v>0</v>
      </c>
      <c r="U4506">
        <v>0</v>
      </c>
      <c r="V4506">
        <v>5</v>
      </c>
      <c r="W4506">
        <v>35</v>
      </c>
      <c r="X4506">
        <v>0</v>
      </c>
      <c r="Z4506">
        <v>0</v>
      </c>
      <c r="AA4506">
        <v>0</v>
      </c>
      <c r="AB4506">
        <v>0</v>
      </c>
      <c r="AC4506">
        <v>0</v>
      </c>
      <c r="AD4506" t="s">
        <v>8131</v>
      </c>
    </row>
    <row r="4507" spans="1:30" x14ac:dyDescent="0.25">
      <c r="H4507" t="s">
        <v>8132</v>
      </c>
    </row>
    <row r="4508" spans="1:30" x14ac:dyDescent="0.25">
      <c r="A4508">
        <v>2251</v>
      </c>
      <c r="B4508">
        <v>5294</v>
      </c>
      <c r="C4508" t="s">
        <v>3334</v>
      </c>
      <c r="D4508" t="s">
        <v>636</v>
      </c>
      <c r="E4508" t="s">
        <v>162</v>
      </c>
      <c r="F4508" t="s">
        <v>8133</v>
      </c>
      <c r="G4508" t="str">
        <f>"00230463"</f>
        <v>00230463</v>
      </c>
      <c r="H4508" t="s">
        <v>3441</v>
      </c>
      <c r="I4508">
        <v>0</v>
      </c>
      <c r="J4508">
        <v>0</v>
      </c>
      <c r="K4508">
        <v>0</v>
      </c>
      <c r="L4508">
        <v>0</v>
      </c>
      <c r="M4508">
        <v>0</v>
      </c>
      <c r="N4508">
        <v>30</v>
      </c>
      <c r="O4508">
        <v>0</v>
      </c>
      <c r="P4508">
        <v>0</v>
      </c>
      <c r="Q4508">
        <v>0</v>
      </c>
      <c r="R4508">
        <v>0</v>
      </c>
      <c r="S4508">
        <v>0</v>
      </c>
      <c r="T4508">
        <v>0</v>
      </c>
      <c r="U4508">
        <v>0</v>
      </c>
      <c r="V4508">
        <v>0</v>
      </c>
      <c r="W4508">
        <v>0</v>
      </c>
      <c r="X4508">
        <v>0</v>
      </c>
      <c r="Z4508">
        <v>0</v>
      </c>
      <c r="AA4508">
        <v>0</v>
      </c>
      <c r="AB4508">
        <v>0</v>
      </c>
      <c r="AC4508">
        <v>0</v>
      </c>
      <c r="AD4508" t="s">
        <v>8134</v>
      </c>
    </row>
    <row r="4509" spans="1:30" x14ac:dyDescent="0.25">
      <c r="H4509" t="s">
        <v>8135</v>
      </c>
    </row>
    <row r="4510" spans="1:30" x14ac:dyDescent="0.25">
      <c r="A4510">
        <v>2252</v>
      </c>
      <c r="B4510">
        <v>5923</v>
      </c>
      <c r="C4510" t="s">
        <v>8136</v>
      </c>
      <c r="D4510" t="s">
        <v>335</v>
      </c>
      <c r="E4510" t="s">
        <v>115</v>
      </c>
      <c r="F4510" t="s">
        <v>8137</v>
      </c>
      <c r="G4510" t="str">
        <f>"201412006932"</f>
        <v>201412006932</v>
      </c>
      <c r="H4510" t="s">
        <v>3441</v>
      </c>
      <c r="I4510">
        <v>0</v>
      </c>
      <c r="J4510">
        <v>0</v>
      </c>
      <c r="K4510">
        <v>0</v>
      </c>
      <c r="L4510">
        <v>0</v>
      </c>
      <c r="M4510">
        <v>0</v>
      </c>
      <c r="N4510">
        <v>30</v>
      </c>
      <c r="O4510">
        <v>0</v>
      </c>
      <c r="P4510">
        <v>0</v>
      </c>
      <c r="Q4510">
        <v>0</v>
      </c>
      <c r="R4510">
        <v>0</v>
      </c>
      <c r="S4510">
        <v>0</v>
      </c>
      <c r="T4510">
        <v>0</v>
      </c>
      <c r="U4510">
        <v>0</v>
      </c>
      <c r="V4510">
        <v>0</v>
      </c>
      <c r="W4510">
        <v>0</v>
      </c>
      <c r="X4510">
        <v>0</v>
      </c>
      <c r="Z4510">
        <v>0</v>
      </c>
      <c r="AA4510">
        <v>0</v>
      </c>
      <c r="AB4510">
        <v>0</v>
      </c>
      <c r="AC4510">
        <v>0</v>
      </c>
      <c r="AD4510" t="s">
        <v>8134</v>
      </c>
    </row>
    <row r="4511" spans="1:30" x14ac:dyDescent="0.25">
      <c r="H4511" t="s">
        <v>1697</v>
      </c>
    </row>
    <row r="4512" spans="1:30" x14ac:dyDescent="0.25">
      <c r="A4512">
        <v>2253</v>
      </c>
      <c r="B4512">
        <v>3061</v>
      </c>
      <c r="C4512" t="s">
        <v>8138</v>
      </c>
      <c r="D4512" t="s">
        <v>98</v>
      </c>
      <c r="E4512" t="s">
        <v>107</v>
      </c>
      <c r="F4512" t="s">
        <v>8139</v>
      </c>
      <c r="G4512" t="str">
        <f>"201511036970"</f>
        <v>201511036970</v>
      </c>
      <c r="H4512" t="s">
        <v>231</v>
      </c>
      <c r="I4512">
        <v>0</v>
      </c>
      <c r="J4512">
        <v>0</v>
      </c>
      <c r="K4512">
        <v>0</v>
      </c>
      <c r="L4512">
        <v>0</v>
      </c>
      <c r="M4512">
        <v>0</v>
      </c>
      <c r="N4512">
        <v>0</v>
      </c>
      <c r="O4512">
        <v>0</v>
      </c>
      <c r="P4512">
        <v>0</v>
      </c>
      <c r="Q4512">
        <v>0</v>
      </c>
      <c r="R4512">
        <v>0</v>
      </c>
      <c r="S4512">
        <v>0</v>
      </c>
      <c r="T4512">
        <v>0</v>
      </c>
      <c r="U4512">
        <v>0</v>
      </c>
      <c r="V4512">
        <v>0</v>
      </c>
      <c r="W4512">
        <v>0</v>
      </c>
      <c r="X4512">
        <v>0</v>
      </c>
      <c r="Z4512">
        <v>0</v>
      </c>
      <c r="AA4512">
        <v>0</v>
      </c>
      <c r="AB4512">
        <v>0</v>
      </c>
      <c r="AC4512">
        <v>0</v>
      </c>
      <c r="AD4512" t="s">
        <v>231</v>
      </c>
    </row>
    <row r="4513" spans="1:30" x14ac:dyDescent="0.25">
      <c r="H4513" t="s">
        <v>8140</v>
      </c>
    </row>
    <row r="4514" spans="1:30" x14ac:dyDescent="0.25">
      <c r="A4514">
        <v>2254</v>
      </c>
      <c r="B4514">
        <v>5503</v>
      </c>
      <c r="C4514" t="s">
        <v>6175</v>
      </c>
      <c r="D4514" t="s">
        <v>335</v>
      </c>
      <c r="E4514" t="s">
        <v>162</v>
      </c>
      <c r="F4514" t="s">
        <v>8141</v>
      </c>
      <c r="G4514" t="str">
        <f>"00229110"</f>
        <v>00229110</v>
      </c>
      <c r="H4514" t="s">
        <v>1294</v>
      </c>
      <c r="I4514">
        <v>0</v>
      </c>
      <c r="J4514">
        <v>0</v>
      </c>
      <c r="K4514">
        <v>0</v>
      </c>
      <c r="L4514">
        <v>0</v>
      </c>
      <c r="M4514">
        <v>0</v>
      </c>
      <c r="N4514">
        <v>30</v>
      </c>
      <c r="O4514">
        <v>0</v>
      </c>
      <c r="P4514">
        <v>0</v>
      </c>
      <c r="Q4514">
        <v>0</v>
      </c>
      <c r="R4514">
        <v>0</v>
      </c>
      <c r="S4514">
        <v>0</v>
      </c>
      <c r="T4514">
        <v>0</v>
      </c>
      <c r="U4514">
        <v>0</v>
      </c>
      <c r="V4514">
        <v>0</v>
      </c>
      <c r="W4514">
        <v>0</v>
      </c>
      <c r="X4514">
        <v>0</v>
      </c>
      <c r="Z4514">
        <v>0</v>
      </c>
      <c r="AA4514">
        <v>0</v>
      </c>
      <c r="AB4514">
        <v>0</v>
      </c>
      <c r="AC4514">
        <v>0</v>
      </c>
      <c r="AD4514" t="s">
        <v>8142</v>
      </c>
    </row>
    <row r="4515" spans="1:30" x14ac:dyDescent="0.25">
      <c r="H4515" t="s">
        <v>8143</v>
      </c>
    </row>
    <row r="4516" spans="1:30" x14ac:dyDescent="0.25">
      <c r="A4516">
        <v>2255</v>
      </c>
      <c r="B4516">
        <v>3370</v>
      </c>
      <c r="C4516" t="s">
        <v>4934</v>
      </c>
      <c r="D4516" t="s">
        <v>8144</v>
      </c>
      <c r="E4516" t="s">
        <v>39</v>
      </c>
      <c r="F4516" t="s">
        <v>8145</v>
      </c>
      <c r="G4516" t="str">
        <f>"00343855"</f>
        <v>00343855</v>
      </c>
      <c r="H4516" t="s">
        <v>241</v>
      </c>
      <c r="I4516">
        <v>0</v>
      </c>
      <c r="J4516">
        <v>0</v>
      </c>
      <c r="K4516">
        <v>0</v>
      </c>
      <c r="L4516">
        <v>0</v>
      </c>
      <c r="M4516">
        <v>0</v>
      </c>
      <c r="N4516">
        <v>0</v>
      </c>
      <c r="O4516">
        <v>0</v>
      </c>
      <c r="P4516">
        <v>0</v>
      </c>
      <c r="Q4516">
        <v>0</v>
      </c>
      <c r="R4516">
        <v>0</v>
      </c>
      <c r="S4516">
        <v>0</v>
      </c>
      <c r="T4516">
        <v>0</v>
      </c>
      <c r="U4516">
        <v>0</v>
      </c>
      <c r="V4516">
        <v>0</v>
      </c>
      <c r="W4516">
        <v>0</v>
      </c>
      <c r="X4516">
        <v>0</v>
      </c>
      <c r="Z4516">
        <v>1</v>
      </c>
      <c r="AA4516">
        <v>0</v>
      </c>
      <c r="AB4516">
        <v>0</v>
      </c>
      <c r="AC4516">
        <v>0</v>
      </c>
      <c r="AD4516" t="s">
        <v>241</v>
      </c>
    </row>
    <row r="4517" spans="1:30" x14ac:dyDescent="0.25">
      <c r="H4517" t="s">
        <v>8146</v>
      </c>
    </row>
    <row r="4518" spans="1:30" x14ac:dyDescent="0.25">
      <c r="A4518">
        <v>2256</v>
      </c>
      <c r="B4518">
        <v>337</v>
      </c>
      <c r="C4518" t="s">
        <v>8147</v>
      </c>
      <c r="D4518" t="s">
        <v>14</v>
      </c>
      <c r="E4518" t="s">
        <v>107</v>
      </c>
      <c r="F4518" t="s">
        <v>8148</v>
      </c>
      <c r="G4518" t="str">
        <f>"00195584"</f>
        <v>00195584</v>
      </c>
      <c r="H4518" t="s">
        <v>1673</v>
      </c>
      <c r="I4518">
        <v>0</v>
      </c>
      <c r="J4518">
        <v>0</v>
      </c>
      <c r="K4518">
        <v>0</v>
      </c>
      <c r="L4518">
        <v>0</v>
      </c>
      <c r="M4518">
        <v>0</v>
      </c>
      <c r="N4518">
        <v>30</v>
      </c>
      <c r="O4518">
        <v>0</v>
      </c>
      <c r="P4518">
        <v>0</v>
      </c>
      <c r="Q4518">
        <v>0</v>
      </c>
      <c r="R4518">
        <v>0</v>
      </c>
      <c r="S4518">
        <v>0</v>
      </c>
      <c r="T4518">
        <v>0</v>
      </c>
      <c r="U4518">
        <v>0</v>
      </c>
      <c r="V4518">
        <v>6</v>
      </c>
      <c r="W4518">
        <v>42</v>
      </c>
      <c r="X4518">
        <v>0</v>
      </c>
      <c r="Z4518">
        <v>0</v>
      </c>
      <c r="AA4518">
        <v>0</v>
      </c>
      <c r="AB4518">
        <v>0</v>
      </c>
      <c r="AC4518">
        <v>0</v>
      </c>
      <c r="AD4518" t="s">
        <v>8149</v>
      </c>
    </row>
    <row r="4519" spans="1:30" x14ac:dyDescent="0.25">
      <c r="H4519" t="s">
        <v>8150</v>
      </c>
    </row>
    <row r="4520" spans="1:30" x14ac:dyDescent="0.25">
      <c r="A4520">
        <v>2257</v>
      </c>
      <c r="B4520">
        <v>254</v>
      </c>
      <c r="C4520" t="s">
        <v>8151</v>
      </c>
      <c r="D4520" t="s">
        <v>162</v>
      </c>
      <c r="E4520" t="s">
        <v>468</v>
      </c>
      <c r="F4520" t="s">
        <v>8152</v>
      </c>
      <c r="G4520" t="str">
        <f>"201406002958"</f>
        <v>201406002958</v>
      </c>
      <c r="H4520" t="s">
        <v>422</v>
      </c>
      <c r="I4520">
        <v>0</v>
      </c>
      <c r="J4520">
        <v>0</v>
      </c>
      <c r="K4520">
        <v>0</v>
      </c>
      <c r="L4520">
        <v>0</v>
      </c>
      <c r="M4520">
        <v>0</v>
      </c>
      <c r="N4520">
        <v>30</v>
      </c>
      <c r="O4520">
        <v>0</v>
      </c>
      <c r="P4520">
        <v>0</v>
      </c>
      <c r="Q4520">
        <v>0</v>
      </c>
      <c r="R4520">
        <v>0</v>
      </c>
      <c r="S4520">
        <v>0</v>
      </c>
      <c r="T4520">
        <v>0</v>
      </c>
      <c r="U4520">
        <v>0</v>
      </c>
      <c r="V4520">
        <v>0</v>
      </c>
      <c r="W4520">
        <v>0</v>
      </c>
      <c r="X4520">
        <v>0</v>
      </c>
      <c r="Z4520">
        <v>0</v>
      </c>
      <c r="AA4520">
        <v>0</v>
      </c>
      <c r="AB4520">
        <v>0</v>
      </c>
      <c r="AC4520">
        <v>0</v>
      </c>
      <c r="AD4520" t="s">
        <v>8153</v>
      </c>
    </row>
    <row r="4521" spans="1:30" x14ac:dyDescent="0.25">
      <c r="H4521" t="s">
        <v>8154</v>
      </c>
    </row>
    <row r="4522" spans="1:30" x14ac:dyDescent="0.25">
      <c r="A4522">
        <v>2258</v>
      </c>
      <c r="B4522">
        <v>6266</v>
      </c>
      <c r="C4522" t="s">
        <v>982</v>
      </c>
      <c r="D4522" t="s">
        <v>39</v>
      </c>
      <c r="E4522" t="s">
        <v>449</v>
      </c>
      <c r="F4522" t="s">
        <v>8155</v>
      </c>
      <c r="G4522" t="str">
        <f>"201310000059"</f>
        <v>201310000059</v>
      </c>
      <c r="H4522" t="s">
        <v>422</v>
      </c>
      <c r="I4522">
        <v>0</v>
      </c>
      <c r="J4522">
        <v>0</v>
      </c>
      <c r="K4522">
        <v>0</v>
      </c>
      <c r="L4522">
        <v>0</v>
      </c>
      <c r="M4522">
        <v>0</v>
      </c>
      <c r="N4522">
        <v>30</v>
      </c>
      <c r="O4522">
        <v>0</v>
      </c>
      <c r="P4522">
        <v>0</v>
      </c>
      <c r="Q4522">
        <v>0</v>
      </c>
      <c r="R4522">
        <v>0</v>
      </c>
      <c r="S4522">
        <v>0</v>
      </c>
      <c r="T4522">
        <v>0</v>
      </c>
      <c r="U4522">
        <v>0</v>
      </c>
      <c r="V4522">
        <v>0</v>
      </c>
      <c r="W4522">
        <v>0</v>
      </c>
      <c r="X4522">
        <v>0</v>
      </c>
      <c r="Z4522">
        <v>0</v>
      </c>
      <c r="AA4522">
        <v>0</v>
      </c>
      <c r="AB4522">
        <v>0</v>
      </c>
      <c r="AC4522">
        <v>0</v>
      </c>
      <c r="AD4522" t="s">
        <v>8153</v>
      </c>
    </row>
    <row r="4523" spans="1:30" x14ac:dyDescent="0.25">
      <c r="H4523" t="s">
        <v>8156</v>
      </c>
    </row>
    <row r="4524" spans="1:30" x14ac:dyDescent="0.25">
      <c r="A4524">
        <v>2259</v>
      </c>
      <c r="B4524">
        <v>2470</v>
      </c>
      <c r="C4524" t="s">
        <v>8157</v>
      </c>
      <c r="D4524" t="s">
        <v>869</v>
      </c>
      <c r="E4524" t="s">
        <v>8158</v>
      </c>
      <c r="F4524" t="s">
        <v>8159</v>
      </c>
      <c r="G4524" t="str">
        <f>"00189854"</f>
        <v>00189854</v>
      </c>
      <c r="H4524" t="s">
        <v>1572</v>
      </c>
      <c r="I4524">
        <v>0</v>
      </c>
      <c r="J4524">
        <v>0</v>
      </c>
      <c r="K4524">
        <v>0</v>
      </c>
      <c r="L4524">
        <v>0</v>
      </c>
      <c r="M4524">
        <v>0</v>
      </c>
      <c r="N4524">
        <v>0</v>
      </c>
      <c r="O4524">
        <v>0</v>
      </c>
      <c r="P4524">
        <v>0</v>
      </c>
      <c r="Q4524">
        <v>0</v>
      </c>
      <c r="R4524">
        <v>0</v>
      </c>
      <c r="S4524">
        <v>0</v>
      </c>
      <c r="T4524">
        <v>0</v>
      </c>
      <c r="U4524">
        <v>0</v>
      </c>
      <c r="V4524">
        <v>0</v>
      </c>
      <c r="W4524">
        <v>0</v>
      </c>
      <c r="X4524">
        <v>0</v>
      </c>
      <c r="Z4524">
        <v>0</v>
      </c>
      <c r="AA4524">
        <v>0</v>
      </c>
      <c r="AB4524">
        <v>0</v>
      </c>
      <c r="AC4524">
        <v>0</v>
      </c>
      <c r="AD4524" t="s">
        <v>1572</v>
      </c>
    </row>
    <row r="4525" spans="1:30" x14ac:dyDescent="0.25">
      <c r="H4525" t="s">
        <v>8160</v>
      </c>
    </row>
    <row r="4526" spans="1:30" x14ac:dyDescent="0.25">
      <c r="A4526">
        <v>2260</v>
      </c>
      <c r="B4526">
        <v>1207</v>
      </c>
      <c r="C4526" t="s">
        <v>8161</v>
      </c>
      <c r="D4526" t="s">
        <v>75</v>
      </c>
      <c r="E4526" t="s">
        <v>251</v>
      </c>
      <c r="F4526" t="s">
        <v>8162</v>
      </c>
      <c r="G4526" t="str">
        <f>"201406001531"</f>
        <v>201406001531</v>
      </c>
      <c r="H4526" t="s">
        <v>1101</v>
      </c>
      <c r="I4526">
        <v>0</v>
      </c>
      <c r="J4526">
        <v>0</v>
      </c>
      <c r="K4526">
        <v>0</v>
      </c>
      <c r="L4526">
        <v>0</v>
      </c>
      <c r="M4526">
        <v>0</v>
      </c>
      <c r="N4526">
        <v>30</v>
      </c>
      <c r="O4526">
        <v>0</v>
      </c>
      <c r="P4526">
        <v>0</v>
      </c>
      <c r="Q4526">
        <v>0</v>
      </c>
      <c r="R4526">
        <v>0</v>
      </c>
      <c r="S4526">
        <v>0</v>
      </c>
      <c r="T4526">
        <v>0</v>
      </c>
      <c r="U4526">
        <v>0</v>
      </c>
      <c r="V4526">
        <v>0</v>
      </c>
      <c r="W4526">
        <v>0</v>
      </c>
      <c r="X4526">
        <v>0</v>
      </c>
      <c r="Z4526">
        <v>0</v>
      </c>
      <c r="AA4526">
        <v>0</v>
      </c>
      <c r="AB4526">
        <v>0</v>
      </c>
      <c r="AC4526">
        <v>0</v>
      </c>
      <c r="AD4526" t="s">
        <v>8163</v>
      </c>
    </row>
    <row r="4527" spans="1:30" x14ac:dyDescent="0.25">
      <c r="H4527" t="s">
        <v>8164</v>
      </c>
    </row>
    <row r="4528" spans="1:30" x14ac:dyDescent="0.25">
      <c r="A4528">
        <v>2261</v>
      </c>
      <c r="B4528">
        <v>4557</v>
      </c>
      <c r="C4528" t="s">
        <v>8165</v>
      </c>
      <c r="D4528" t="s">
        <v>636</v>
      </c>
      <c r="E4528" t="s">
        <v>238</v>
      </c>
      <c r="F4528" t="s">
        <v>8166</v>
      </c>
      <c r="G4528" t="str">
        <f>"00358884"</f>
        <v>00358884</v>
      </c>
      <c r="H4528" t="s">
        <v>402</v>
      </c>
      <c r="I4528">
        <v>0</v>
      </c>
      <c r="J4528">
        <v>0</v>
      </c>
      <c r="K4528">
        <v>0</v>
      </c>
      <c r="L4528">
        <v>0</v>
      </c>
      <c r="M4528">
        <v>0</v>
      </c>
      <c r="N4528">
        <v>0</v>
      </c>
      <c r="O4528">
        <v>0</v>
      </c>
      <c r="P4528">
        <v>0</v>
      </c>
      <c r="Q4528">
        <v>0</v>
      </c>
      <c r="R4528">
        <v>0</v>
      </c>
      <c r="S4528">
        <v>0</v>
      </c>
      <c r="T4528">
        <v>0</v>
      </c>
      <c r="U4528">
        <v>0</v>
      </c>
      <c r="V4528">
        <v>6</v>
      </c>
      <c r="W4528">
        <v>42</v>
      </c>
      <c r="X4528">
        <v>0</v>
      </c>
      <c r="Z4528">
        <v>1</v>
      </c>
      <c r="AA4528">
        <v>0</v>
      </c>
      <c r="AB4528">
        <v>0</v>
      </c>
      <c r="AC4528">
        <v>0</v>
      </c>
      <c r="AD4528" t="s">
        <v>8167</v>
      </c>
    </row>
    <row r="4529" spans="1:30" x14ac:dyDescent="0.25">
      <c r="H4529" t="s">
        <v>8168</v>
      </c>
    </row>
    <row r="4530" spans="1:30" x14ac:dyDescent="0.25">
      <c r="A4530">
        <v>2262</v>
      </c>
      <c r="B4530">
        <v>1091</v>
      </c>
      <c r="C4530" t="s">
        <v>8169</v>
      </c>
      <c r="D4530" t="s">
        <v>591</v>
      </c>
      <c r="E4530" t="s">
        <v>151</v>
      </c>
      <c r="F4530" t="s">
        <v>8170</v>
      </c>
      <c r="G4530" t="str">
        <f>"00181503"</f>
        <v>00181503</v>
      </c>
      <c r="H4530" t="s">
        <v>3862</v>
      </c>
      <c r="I4530">
        <v>0</v>
      </c>
      <c r="J4530">
        <v>0</v>
      </c>
      <c r="K4530">
        <v>0</v>
      </c>
      <c r="L4530">
        <v>0</v>
      </c>
      <c r="M4530">
        <v>0</v>
      </c>
      <c r="N4530">
        <v>30</v>
      </c>
      <c r="O4530">
        <v>0</v>
      </c>
      <c r="P4530">
        <v>0</v>
      </c>
      <c r="Q4530">
        <v>0</v>
      </c>
      <c r="R4530">
        <v>0</v>
      </c>
      <c r="S4530">
        <v>0</v>
      </c>
      <c r="T4530">
        <v>0</v>
      </c>
      <c r="U4530">
        <v>0</v>
      </c>
      <c r="V4530">
        <v>0</v>
      </c>
      <c r="W4530">
        <v>0</v>
      </c>
      <c r="X4530">
        <v>0</v>
      </c>
      <c r="Z4530">
        <v>0</v>
      </c>
      <c r="AA4530">
        <v>0</v>
      </c>
      <c r="AB4530">
        <v>0</v>
      </c>
      <c r="AC4530">
        <v>0</v>
      </c>
      <c r="AD4530" t="s">
        <v>8171</v>
      </c>
    </row>
    <row r="4531" spans="1:30" x14ac:dyDescent="0.25">
      <c r="H4531" t="s">
        <v>8172</v>
      </c>
    </row>
    <row r="4532" spans="1:30" x14ac:dyDescent="0.25">
      <c r="A4532">
        <v>2263</v>
      </c>
      <c r="B4532">
        <v>2301</v>
      </c>
      <c r="C4532" t="s">
        <v>8173</v>
      </c>
      <c r="D4532" t="s">
        <v>335</v>
      </c>
      <c r="E4532" t="s">
        <v>39</v>
      </c>
      <c r="F4532" t="s">
        <v>8174</v>
      </c>
      <c r="G4532" t="str">
        <f>"00160333"</f>
        <v>00160333</v>
      </c>
      <c r="H4532" t="s">
        <v>740</v>
      </c>
      <c r="I4532">
        <v>0</v>
      </c>
      <c r="J4532">
        <v>0</v>
      </c>
      <c r="K4532">
        <v>0</v>
      </c>
      <c r="L4532">
        <v>0</v>
      </c>
      <c r="M4532">
        <v>0</v>
      </c>
      <c r="N4532">
        <v>30</v>
      </c>
      <c r="O4532">
        <v>0</v>
      </c>
      <c r="P4532">
        <v>0</v>
      </c>
      <c r="Q4532">
        <v>0</v>
      </c>
      <c r="R4532">
        <v>0</v>
      </c>
      <c r="S4532">
        <v>0</v>
      </c>
      <c r="T4532">
        <v>0</v>
      </c>
      <c r="U4532">
        <v>0</v>
      </c>
      <c r="V4532">
        <v>0</v>
      </c>
      <c r="W4532">
        <v>0</v>
      </c>
      <c r="X4532">
        <v>0</v>
      </c>
      <c r="Z4532">
        <v>1</v>
      </c>
      <c r="AA4532">
        <v>0</v>
      </c>
      <c r="AB4532">
        <v>0</v>
      </c>
      <c r="AC4532">
        <v>0</v>
      </c>
      <c r="AD4532" t="s">
        <v>8175</v>
      </c>
    </row>
    <row r="4533" spans="1:30" x14ac:dyDescent="0.25">
      <c r="H4533" t="s">
        <v>8176</v>
      </c>
    </row>
    <row r="4534" spans="1:30" x14ac:dyDescent="0.25">
      <c r="A4534">
        <v>2264</v>
      </c>
      <c r="B4534">
        <v>3427</v>
      </c>
      <c r="C4534" t="s">
        <v>8177</v>
      </c>
      <c r="D4534" t="s">
        <v>143</v>
      </c>
      <c r="E4534" t="s">
        <v>290</v>
      </c>
      <c r="F4534" t="s">
        <v>8178</v>
      </c>
      <c r="G4534" t="str">
        <f>"00239671"</f>
        <v>00239671</v>
      </c>
      <c r="H4534" t="s">
        <v>740</v>
      </c>
      <c r="I4534">
        <v>0</v>
      </c>
      <c r="J4534">
        <v>0</v>
      </c>
      <c r="K4534">
        <v>0</v>
      </c>
      <c r="L4534">
        <v>0</v>
      </c>
      <c r="M4534">
        <v>0</v>
      </c>
      <c r="N4534">
        <v>30</v>
      </c>
      <c r="O4534">
        <v>0</v>
      </c>
      <c r="P4534">
        <v>0</v>
      </c>
      <c r="Q4534">
        <v>0</v>
      </c>
      <c r="R4534">
        <v>0</v>
      </c>
      <c r="S4534">
        <v>0</v>
      </c>
      <c r="T4534">
        <v>0</v>
      </c>
      <c r="U4534">
        <v>0</v>
      </c>
      <c r="V4534">
        <v>0</v>
      </c>
      <c r="W4534">
        <v>0</v>
      </c>
      <c r="X4534">
        <v>0</v>
      </c>
      <c r="Z4534">
        <v>0</v>
      </c>
      <c r="AA4534">
        <v>0</v>
      </c>
      <c r="AB4534">
        <v>0</v>
      </c>
      <c r="AC4534">
        <v>0</v>
      </c>
      <c r="AD4534" t="s">
        <v>8175</v>
      </c>
    </row>
    <row r="4535" spans="1:30" x14ac:dyDescent="0.25">
      <c r="H4535" t="s">
        <v>2899</v>
      </c>
    </row>
    <row r="4536" spans="1:30" x14ac:dyDescent="0.25">
      <c r="A4536">
        <v>2265</v>
      </c>
      <c r="B4536">
        <v>5844</v>
      </c>
      <c r="C4536" t="s">
        <v>8179</v>
      </c>
      <c r="D4536" t="s">
        <v>79</v>
      </c>
      <c r="E4536" t="s">
        <v>40</v>
      </c>
      <c r="F4536" t="s">
        <v>8180</v>
      </c>
      <c r="G4536" t="str">
        <f>"201410002556"</f>
        <v>201410002556</v>
      </c>
      <c r="H4536">
        <v>715</v>
      </c>
      <c r="I4536">
        <v>0</v>
      </c>
      <c r="J4536">
        <v>0</v>
      </c>
      <c r="K4536">
        <v>0</v>
      </c>
      <c r="L4536">
        <v>0</v>
      </c>
      <c r="M4536">
        <v>0</v>
      </c>
      <c r="N4536">
        <v>0</v>
      </c>
      <c r="O4536">
        <v>0</v>
      </c>
      <c r="P4536">
        <v>0</v>
      </c>
      <c r="Q4536">
        <v>0</v>
      </c>
      <c r="R4536">
        <v>0</v>
      </c>
      <c r="S4536">
        <v>0</v>
      </c>
      <c r="T4536">
        <v>0</v>
      </c>
      <c r="U4536">
        <v>0</v>
      </c>
      <c r="V4536">
        <v>0</v>
      </c>
      <c r="W4536">
        <v>0</v>
      </c>
      <c r="X4536">
        <v>0</v>
      </c>
      <c r="Z4536">
        <v>0</v>
      </c>
      <c r="AA4536">
        <v>0</v>
      </c>
      <c r="AB4536">
        <v>0</v>
      </c>
      <c r="AC4536">
        <v>0</v>
      </c>
      <c r="AD4536">
        <v>715</v>
      </c>
    </row>
    <row r="4537" spans="1:30" x14ac:dyDescent="0.25">
      <c r="H4537" t="s">
        <v>8181</v>
      </c>
    </row>
    <row r="4538" spans="1:30" x14ac:dyDescent="0.25">
      <c r="A4538">
        <v>2266</v>
      </c>
      <c r="B4538">
        <v>3591</v>
      </c>
      <c r="C4538" t="s">
        <v>8182</v>
      </c>
      <c r="D4538" t="s">
        <v>1186</v>
      </c>
      <c r="E4538" t="s">
        <v>1039</v>
      </c>
      <c r="F4538" t="s">
        <v>8183</v>
      </c>
      <c r="G4538" t="str">
        <f>"200810000426"</f>
        <v>200810000426</v>
      </c>
      <c r="H4538" t="s">
        <v>3132</v>
      </c>
      <c r="I4538">
        <v>0</v>
      </c>
      <c r="J4538">
        <v>0</v>
      </c>
      <c r="K4538">
        <v>0</v>
      </c>
      <c r="L4538">
        <v>0</v>
      </c>
      <c r="M4538">
        <v>0</v>
      </c>
      <c r="N4538">
        <v>30</v>
      </c>
      <c r="O4538">
        <v>0</v>
      </c>
      <c r="P4538">
        <v>0</v>
      </c>
      <c r="Q4538">
        <v>0</v>
      </c>
      <c r="R4538">
        <v>0</v>
      </c>
      <c r="S4538">
        <v>0</v>
      </c>
      <c r="T4538">
        <v>0</v>
      </c>
      <c r="U4538">
        <v>0</v>
      </c>
      <c r="V4538">
        <v>0</v>
      </c>
      <c r="W4538">
        <v>0</v>
      </c>
      <c r="X4538">
        <v>0</v>
      </c>
      <c r="Z4538">
        <v>0</v>
      </c>
      <c r="AA4538">
        <v>0</v>
      </c>
      <c r="AB4538">
        <v>0</v>
      </c>
      <c r="AC4538">
        <v>0</v>
      </c>
      <c r="AD4538" t="s">
        <v>8184</v>
      </c>
    </row>
    <row r="4539" spans="1:30" x14ac:dyDescent="0.25">
      <c r="H4539" t="s">
        <v>8185</v>
      </c>
    </row>
    <row r="4540" spans="1:30" x14ac:dyDescent="0.25">
      <c r="A4540">
        <v>2267</v>
      </c>
      <c r="B4540">
        <v>699</v>
      </c>
      <c r="C4540" t="s">
        <v>8186</v>
      </c>
      <c r="D4540" t="s">
        <v>378</v>
      </c>
      <c r="E4540" t="s">
        <v>92</v>
      </c>
      <c r="F4540" t="s">
        <v>8187</v>
      </c>
      <c r="G4540" t="str">
        <f>"00226067"</f>
        <v>00226067</v>
      </c>
      <c r="H4540" t="s">
        <v>3132</v>
      </c>
      <c r="I4540">
        <v>0</v>
      </c>
      <c r="J4540">
        <v>0</v>
      </c>
      <c r="K4540">
        <v>0</v>
      </c>
      <c r="L4540">
        <v>0</v>
      </c>
      <c r="M4540">
        <v>0</v>
      </c>
      <c r="N4540">
        <v>30</v>
      </c>
      <c r="O4540">
        <v>0</v>
      </c>
      <c r="P4540">
        <v>0</v>
      </c>
      <c r="Q4540">
        <v>0</v>
      </c>
      <c r="R4540">
        <v>0</v>
      </c>
      <c r="S4540">
        <v>0</v>
      </c>
      <c r="T4540">
        <v>0</v>
      </c>
      <c r="U4540">
        <v>0</v>
      </c>
      <c r="V4540">
        <v>0</v>
      </c>
      <c r="W4540">
        <v>0</v>
      </c>
      <c r="X4540">
        <v>0</v>
      </c>
      <c r="Z4540">
        <v>2</v>
      </c>
      <c r="AA4540">
        <v>0</v>
      </c>
      <c r="AB4540">
        <v>0</v>
      </c>
      <c r="AC4540">
        <v>0</v>
      </c>
      <c r="AD4540" t="s">
        <v>8184</v>
      </c>
    </row>
    <row r="4541" spans="1:30" x14ac:dyDescent="0.25">
      <c r="H4541" t="s">
        <v>8188</v>
      </c>
    </row>
    <row r="4542" spans="1:30" x14ac:dyDescent="0.25">
      <c r="A4542">
        <v>2268</v>
      </c>
      <c r="B4542">
        <v>5051</v>
      </c>
      <c r="C4542" t="s">
        <v>8189</v>
      </c>
      <c r="D4542" t="s">
        <v>2932</v>
      </c>
      <c r="E4542" t="s">
        <v>495</v>
      </c>
      <c r="F4542" t="s">
        <v>8190</v>
      </c>
      <c r="G4542" t="str">
        <f>"00342422"</f>
        <v>00342422</v>
      </c>
      <c r="H4542" t="s">
        <v>3132</v>
      </c>
      <c r="I4542">
        <v>0</v>
      </c>
      <c r="J4542">
        <v>0</v>
      </c>
      <c r="K4542">
        <v>0</v>
      </c>
      <c r="L4542">
        <v>0</v>
      </c>
      <c r="M4542">
        <v>0</v>
      </c>
      <c r="N4542">
        <v>30</v>
      </c>
      <c r="O4542">
        <v>0</v>
      </c>
      <c r="P4542">
        <v>0</v>
      </c>
      <c r="Q4542">
        <v>0</v>
      </c>
      <c r="R4542">
        <v>0</v>
      </c>
      <c r="S4542">
        <v>0</v>
      </c>
      <c r="T4542">
        <v>0</v>
      </c>
      <c r="U4542">
        <v>0</v>
      </c>
      <c r="V4542">
        <v>0</v>
      </c>
      <c r="W4542">
        <v>0</v>
      </c>
      <c r="X4542">
        <v>0</v>
      </c>
      <c r="Z4542">
        <v>0</v>
      </c>
      <c r="AA4542">
        <v>0</v>
      </c>
      <c r="AB4542">
        <v>0</v>
      </c>
      <c r="AC4542">
        <v>0</v>
      </c>
      <c r="AD4542" t="s">
        <v>8184</v>
      </c>
    </row>
    <row r="4543" spans="1:30" x14ac:dyDescent="0.25">
      <c r="H4543" t="s">
        <v>8191</v>
      </c>
    </row>
    <row r="4544" spans="1:30" x14ac:dyDescent="0.25">
      <c r="A4544">
        <v>2269</v>
      </c>
      <c r="B4544">
        <v>1950</v>
      </c>
      <c r="C4544" t="s">
        <v>8192</v>
      </c>
      <c r="D4544" t="s">
        <v>51</v>
      </c>
      <c r="E4544" t="s">
        <v>47</v>
      </c>
      <c r="F4544" t="s">
        <v>8193</v>
      </c>
      <c r="G4544" t="str">
        <f>"00112931"</f>
        <v>00112931</v>
      </c>
      <c r="H4544" t="s">
        <v>3999</v>
      </c>
      <c r="I4544">
        <v>0</v>
      </c>
      <c r="J4544">
        <v>0</v>
      </c>
      <c r="K4544">
        <v>0</v>
      </c>
      <c r="L4544">
        <v>0</v>
      </c>
      <c r="M4544">
        <v>0</v>
      </c>
      <c r="N4544">
        <v>0</v>
      </c>
      <c r="O4544">
        <v>0</v>
      </c>
      <c r="P4544">
        <v>0</v>
      </c>
      <c r="Q4544">
        <v>0</v>
      </c>
      <c r="R4544">
        <v>0</v>
      </c>
      <c r="S4544">
        <v>0</v>
      </c>
      <c r="T4544">
        <v>0</v>
      </c>
      <c r="U4544">
        <v>0</v>
      </c>
      <c r="V4544">
        <v>6</v>
      </c>
      <c r="W4544">
        <v>42</v>
      </c>
      <c r="X4544">
        <v>0</v>
      </c>
      <c r="Z4544">
        <v>0</v>
      </c>
      <c r="AA4544">
        <v>0</v>
      </c>
      <c r="AB4544">
        <v>0</v>
      </c>
      <c r="AC4544">
        <v>0</v>
      </c>
      <c r="AD4544" t="s">
        <v>8194</v>
      </c>
    </row>
    <row r="4545" spans="1:30" x14ac:dyDescent="0.25">
      <c r="H4545" t="s">
        <v>8195</v>
      </c>
    </row>
    <row r="4546" spans="1:30" x14ac:dyDescent="0.25">
      <c r="A4546">
        <v>2270</v>
      </c>
      <c r="B4546">
        <v>3193</v>
      </c>
      <c r="C4546" t="s">
        <v>8196</v>
      </c>
      <c r="D4546" t="s">
        <v>8197</v>
      </c>
      <c r="E4546" t="s">
        <v>69</v>
      </c>
      <c r="F4546" t="s">
        <v>8198</v>
      </c>
      <c r="G4546" t="str">
        <f>"00350901"</f>
        <v>00350901</v>
      </c>
      <c r="H4546" t="s">
        <v>2434</v>
      </c>
      <c r="I4546">
        <v>0</v>
      </c>
      <c r="J4546">
        <v>0</v>
      </c>
      <c r="K4546">
        <v>0</v>
      </c>
      <c r="L4546">
        <v>0</v>
      </c>
      <c r="M4546">
        <v>0</v>
      </c>
      <c r="N4546">
        <v>0</v>
      </c>
      <c r="O4546">
        <v>0</v>
      </c>
      <c r="P4546">
        <v>0</v>
      </c>
      <c r="Q4546">
        <v>0</v>
      </c>
      <c r="R4546">
        <v>0</v>
      </c>
      <c r="S4546">
        <v>0</v>
      </c>
      <c r="T4546">
        <v>0</v>
      </c>
      <c r="U4546">
        <v>0</v>
      </c>
      <c r="V4546">
        <v>0</v>
      </c>
      <c r="W4546">
        <v>0</v>
      </c>
      <c r="X4546">
        <v>0</v>
      </c>
      <c r="Z4546">
        <v>0</v>
      </c>
      <c r="AA4546">
        <v>0</v>
      </c>
      <c r="AB4546">
        <v>0</v>
      </c>
      <c r="AC4546">
        <v>0</v>
      </c>
      <c r="AD4546" t="s">
        <v>2434</v>
      </c>
    </row>
    <row r="4547" spans="1:30" x14ac:dyDescent="0.25">
      <c r="H4547" t="s">
        <v>8199</v>
      </c>
    </row>
    <row r="4548" spans="1:30" x14ac:dyDescent="0.25">
      <c r="A4548">
        <v>2271</v>
      </c>
      <c r="B4548">
        <v>2224</v>
      </c>
      <c r="C4548" t="s">
        <v>8200</v>
      </c>
      <c r="D4548" t="s">
        <v>162</v>
      </c>
      <c r="E4548" t="s">
        <v>6307</v>
      </c>
      <c r="F4548" t="s">
        <v>8201</v>
      </c>
      <c r="G4548" t="str">
        <f>"00325297"</f>
        <v>00325297</v>
      </c>
      <c r="H4548" t="s">
        <v>2434</v>
      </c>
      <c r="I4548">
        <v>0</v>
      </c>
      <c r="J4548">
        <v>0</v>
      </c>
      <c r="K4548">
        <v>0</v>
      </c>
      <c r="L4548">
        <v>0</v>
      </c>
      <c r="M4548">
        <v>0</v>
      </c>
      <c r="N4548">
        <v>0</v>
      </c>
      <c r="O4548">
        <v>0</v>
      </c>
      <c r="P4548">
        <v>0</v>
      </c>
      <c r="Q4548">
        <v>0</v>
      </c>
      <c r="R4548">
        <v>0</v>
      </c>
      <c r="S4548">
        <v>0</v>
      </c>
      <c r="T4548">
        <v>0</v>
      </c>
      <c r="U4548">
        <v>0</v>
      </c>
      <c r="V4548">
        <v>0</v>
      </c>
      <c r="W4548">
        <v>0</v>
      </c>
      <c r="X4548">
        <v>0</v>
      </c>
      <c r="Z4548">
        <v>0</v>
      </c>
      <c r="AA4548">
        <v>0</v>
      </c>
      <c r="AB4548">
        <v>0</v>
      </c>
      <c r="AC4548">
        <v>0</v>
      </c>
      <c r="AD4548" t="s">
        <v>2434</v>
      </c>
    </row>
    <row r="4549" spans="1:30" x14ac:dyDescent="0.25">
      <c r="H4549" t="s">
        <v>8202</v>
      </c>
    </row>
    <row r="4550" spans="1:30" x14ac:dyDescent="0.25">
      <c r="A4550">
        <v>2272</v>
      </c>
      <c r="B4550">
        <v>208</v>
      </c>
      <c r="C4550" t="s">
        <v>1264</v>
      </c>
      <c r="D4550" t="s">
        <v>526</v>
      </c>
      <c r="E4550" t="s">
        <v>108</v>
      </c>
      <c r="F4550" t="s">
        <v>8203</v>
      </c>
      <c r="G4550" t="str">
        <f>"00283180"</f>
        <v>00283180</v>
      </c>
      <c r="H4550" t="s">
        <v>2434</v>
      </c>
      <c r="I4550">
        <v>0</v>
      </c>
      <c r="J4550">
        <v>0</v>
      </c>
      <c r="K4550">
        <v>0</v>
      </c>
      <c r="L4550">
        <v>0</v>
      </c>
      <c r="M4550">
        <v>0</v>
      </c>
      <c r="N4550">
        <v>0</v>
      </c>
      <c r="O4550">
        <v>0</v>
      </c>
      <c r="P4550">
        <v>0</v>
      </c>
      <c r="Q4550">
        <v>0</v>
      </c>
      <c r="R4550">
        <v>0</v>
      </c>
      <c r="S4550">
        <v>0</v>
      </c>
      <c r="T4550">
        <v>0</v>
      </c>
      <c r="U4550">
        <v>0</v>
      </c>
      <c r="V4550">
        <v>0</v>
      </c>
      <c r="W4550">
        <v>0</v>
      </c>
      <c r="X4550">
        <v>0</v>
      </c>
      <c r="Z4550">
        <v>1</v>
      </c>
      <c r="AA4550">
        <v>0</v>
      </c>
      <c r="AB4550">
        <v>0</v>
      </c>
      <c r="AC4550">
        <v>0</v>
      </c>
      <c r="AD4550" t="s">
        <v>2434</v>
      </c>
    </row>
    <row r="4551" spans="1:30" x14ac:dyDescent="0.25">
      <c r="H4551" t="s">
        <v>8204</v>
      </c>
    </row>
    <row r="4552" spans="1:30" x14ac:dyDescent="0.25">
      <c r="A4552">
        <v>2273</v>
      </c>
      <c r="B4552">
        <v>2467</v>
      </c>
      <c r="C4552" t="s">
        <v>8205</v>
      </c>
      <c r="D4552" t="s">
        <v>420</v>
      </c>
      <c r="E4552" t="s">
        <v>1972</v>
      </c>
      <c r="F4552" t="s">
        <v>8206</v>
      </c>
      <c r="G4552" t="str">
        <f>"00191003"</f>
        <v>00191003</v>
      </c>
      <c r="H4552" t="s">
        <v>562</v>
      </c>
      <c r="I4552">
        <v>0</v>
      </c>
      <c r="J4552">
        <v>0</v>
      </c>
      <c r="K4552">
        <v>0</v>
      </c>
      <c r="L4552">
        <v>0</v>
      </c>
      <c r="M4552">
        <v>0</v>
      </c>
      <c r="N4552">
        <v>30</v>
      </c>
      <c r="O4552">
        <v>0</v>
      </c>
      <c r="P4552">
        <v>0</v>
      </c>
      <c r="Q4552">
        <v>0</v>
      </c>
      <c r="R4552">
        <v>0</v>
      </c>
      <c r="S4552">
        <v>0</v>
      </c>
      <c r="T4552">
        <v>0</v>
      </c>
      <c r="U4552">
        <v>0</v>
      </c>
      <c r="V4552">
        <v>0</v>
      </c>
      <c r="W4552">
        <v>0</v>
      </c>
      <c r="X4552">
        <v>0</v>
      </c>
      <c r="Z4552">
        <v>1</v>
      </c>
      <c r="AA4552">
        <v>0</v>
      </c>
      <c r="AB4552">
        <v>0</v>
      </c>
      <c r="AC4552">
        <v>0</v>
      </c>
      <c r="AD4552" t="s">
        <v>8207</v>
      </c>
    </row>
    <row r="4553" spans="1:30" x14ac:dyDescent="0.25">
      <c r="H4553" t="s">
        <v>8208</v>
      </c>
    </row>
    <row r="4554" spans="1:30" x14ac:dyDescent="0.25">
      <c r="A4554">
        <v>2274</v>
      </c>
      <c r="B4554">
        <v>439</v>
      </c>
      <c r="C4554" t="s">
        <v>8209</v>
      </c>
      <c r="D4554" t="s">
        <v>1186</v>
      </c>
      <c r="E4554" t="s">
        <v>183</v>
      </c>
      <c r="F4554" t="s">
        <v>8210</v>
      </c>
      <c r="G4554" t="str">
        <f>"200802003659"</f>
        <v>200802003659</v>
      </c>
      <c r="H4554" t="s">
        <v>2242</v>
      </c>
      <c r="I4554">
        <v>0</v>
      </c>
      <c r="J4554">
        <v>0</v>
      </c>
      <c r="K4554">
        <v>0</v>
      </c>
      <c r="L4554">
        <v>0</v>
      </c>
      <c r="M4554">
        <v>0</v>
      </c>
      <c r="N4554">
        <v>0</v>
      </c>
      <c r="O4554">
        <v>0</v>
      </c>
      <c r="P4554">
        <v>0</v>
      </c>
      <c r="Q4554">
        <v>0</v>
      </c>
      <c r="R4554">
        <v>0</v>
      </c>
      <c r="S4554">
        <v>0</v>
      </c>
      <c r="T4554">
        <v>0</v>
      </c>
      <c r="U4554">
        <v>0</v>
      </c>
      <c r="V4554">
        <v>0</v>
      </c>
      <c r="W4554">
        <v>0</v>
      </c>
      <c r="X4554">
        <v>0</v>
      </c>
      <c r="Z4554">
        <v>0</v>
      </c>
      <c r="AA4554">
        <v>0</v>
      </c>
      <c r="AB4554">
        <v>0</v>
      </c>
      <c r="AC4554">
        <v>0</v>
      </c>
      <c r="AD4554" t="s">
        <v>2242</v>
      </c>
    </row>
    <row r="4555" spans="1:30" x14ac:dyDescent="0.25">
      <c r="H4555" t="s">
        <v>8211</v>
      </c>
    </row>
    <row r="4556" spans="1:30" x14ac:dyDescent="0.25">
      <c r="A4556">
        <v>2275</v>
      </c>
      <c r="B4556">
        <v>5943</v>
      </c>
      <c r="C4556" t="s">
        <v>8212</v>
      </c>
      <c r="D4556" t="s">
        <v>1986</v>
      </c>
      <c r="E4556" t="s">
        <v>290</v>
      </c>
      <c r="F4556" t="s">
        <v>8213</v>
      </c>
      <c r="G4556" t="str">
        <f>"201406011050"</f>
        <v>201406011050</v>
      </c>
      <c r="H4556">
        <v>682</v>
      </c>
      <c r="I4556">
        <v>0</v>
      </c>
      <c r="J4556">
        <v>0</v>
      </c>
      <c r="K4556">
        <v>0</v>
      </c>
      <c r="L4556">
        <v>0</v>
      </c>
      <c r="M4556">
        <v>0</v>
      </c>
      <c r="N4556">
        <v>30</v>
      </c>
      <c r="O4556">
        <v>0</v>
      </c>
      <c r="P4556">
        <v>0</v>
      </c>
      <c r="Q4556">
        <v>0</v>
      </c>
      <c r="R4556">
        <v>0</v>
      </c>
      <c r="S4556">
        <v>0</v>
      </c>
      <c r="T4556">
        <v>0</v>
      </c>
      <c r="U4556">
        <v>0</v>
      </c>
      <c r="V4556">
        <v>0</v>
      </c>
      <c r="W4556">
        <v>0</v>
      </c>
      <c r="X4556">
        <v>0</v>
      </c>
      <c r="Z4556">
        <v>0</v>
      </c>
      <c r="AA4556">
        <v>0</v>
      </c>
      <c r="AB4556">
        <v>0</v>
      </c>
      <c r="AC4556">
        <v>0</v>
      </c>
      <c r="AD4556">
        <v>712</v>
      </c>
    </row>
    <row r="4557" spans="1:30" x14ac:dyDescent="0.25">
      <c r="H4557" t="s">
        <v>8214</v>
      </c>
    </row>
    <row r="4558" spans="1:30" x14ac:dyDescent="0.25">
      <c r="A4558">
        <v>2276</v>
      </c>
      <c r="B4558">
        <v>4346</v>
      </c>
      <c r="C4558" t="s">
        <v>3590</v>
      </c>
      <c r="D4558" t="s">
        <v>75</v>
      </c>
      <c r="E4558" t="s">
        <v>1070</v>
      </c>
      <c r="F4558" t="s">
        <v>3591</v>
      </c>
      <c r="G4558" t="str">
        <f>"00165816"</f>
        <v>00165816</v>
      </c>
      <c r="H4558" t="s">
        <v>2705</v>
      </c>
      <c r="I4558">
        <v>0</v>
      </c>
      <c r="J4558">
        <v>0</v>
      </c>
      <c r="K4558">
        <v>0</v>
      </c>
      <c r="L4558">
        <v>0</v>
      </c>
      <c r="M4558">
        <v>0</v>
      </c>
      <c r="N4558">
        <v>30</v>
      </c>
      <c r="O4558">
        <v>0</v>
      </c>
      <c r="P4558">
        <v>0</v>
      </c>
      <c r="Q4558">
        <v>0</v>
      </c>
      <c r="R4558">
        <v>0</v>
      </c>
      <c r="S4558">
        <v>0</v>
      </c>
      <c r="T4558">
        <v>0</v>
      </c>
      <c r="U4558">
        <v>0</v>
      </c>
      <c r="V4558">
        <v>0</v>
      </c>
      <c r="W4558">
        <v>0</v>
      </c>
      <c r="X4558">
        <v>0</v>
      </c>
      <c r="Z4558">
        <v>0</v>
      </c>
      <c r="AA4558">
        <v>0</v>
      </c>
      <c r="AB4558">
        <v>0</v>
      </c>
      <c r="AC4558">
        <v>0</v>
      </c>
      <c r="AD4558" t="s">
        <v>8215</v>
      </c>
    </row>
    <row r="4559" spans="1:30" x14ac:dyDescent="0.25">
      <c r="H4559" t="s">
        <v>3592</v>
      </c>
    </row>
    <row r="4560" spans="1:30" x14ac:dyDescent="0.25">
      <c r="A4560">
        <v>2277</v>
      </c>
      <c r="B4560">
        <v>1811</v>
      </c>
      <c r="C4560" t="s">
        <v>8216</v>
      </c>
      <c r="D4560" t="s">
        <v>8217</v>
      </c>
      <c r="E4560" t="s">
        <v>176</v>
      </c>
      <c r="F4560" t="s">
        <v>8218</v>
      </c>
      <c r="G4560" t="str">
        <f>"00316930"</f>
        <v>00316930</v>
      </c>
      <c r="H4560">
        <v>660</v>
      </c>
      <c r="I4560">
        <v>0</v>
      </c>
      <c r="J4560">
        <v>0</v>
      </c>
      <c r="K4560">
        <v>0</v>
      </c>
      <c r="L4560">
        <v>0</v>
      </c>
      <c r="M4560">
        <v>0</v>
      </c>
      <c r="N4560">
        <v>50</v>
      </c>
      <c r="O4560">
        <v>0</v>
      </c>
      <c r="P4560">
        <v>0</v>
      </c>
      <c r="Q4560">
        <v>0</v>
      </c>
      <c r="R4560">
        <v>0</v>
      </c>
      <c r="S4560">
        <v>0</v>
      </c>
      <c r="T4560">
        <v>0</v>
      </c>
      <c r="U4560">
        <v>0</v>
      </c>
      <c r="V4560">
        <v>0</v>
      </c>
      <c r="W4560">
        <v>0</v>
      </c>
      <c r="X4560">
        <v>0</v>
      </c>
      <c r="Z4560">
        <v>0</v>
      </c>
      <c r="AA4560">
        <v>0</v>
      </c>
      <c r="AB4560">
        <v>0</v>
      </c>
      <c r="AC4560">
        <v>0</v>
      </c>
      <c r="AD4560">
        <v>710</v>
      </c>
    </row>
    <row r="4561" spans="1:30" x14ac:dyDescent="0.25">
      <c r="H4561" t="s">
        <v>8219</v>
      </c>
    </row>
    <row r="4562" spans="1:30" x14ac:dyDescent="0.25">
      <c r="A4562">
        <v>2278</v>
      </c>
      <c r="B4562">
        <v>910</v>
      </c>
      <c r="C4562" t="s">
        <v>3357</v>
      </c>
      <c r="D4562" t="s">
        <v>804</v>
      </c>
      <c r="E4562" t="s">
        <v>1660</v>
      </c>
      <c r="F4562" t="s">
        <v>8220</v>
      </c>
      <c r="G4562" t="str">
        <f>"00301768"</f>
        <v>00301768</v>
      </c>
      <c r="H4562" t="s">
        <v>2618</v>
      </c>
      <c r="I4562">
        <v>0</v>
      </c>
      <c r="J4562">
        <v>0</v>
      </c>
      <c r="K4562">
        <v>0</v>
      </c>
      <c r="L4562">
        <v>0</v>
      </c>
      <c r="M4562">
        <v>0</v>
      </c>
      <c r="N4562">
        <v>0</v>
      </c>
      <c r="O4562">
        <v>0</v>
      </c>
      <c r="P4562">
        <v>0</v>
      </c>
      <c r="Q4562">
        <v>0</v>
      </c>
      <c r="R4562">
        <v>0</v>
      </c>
      <c r="S4562">
        <v>0</v>
      </c>
      <c r="T4562">
        <v>0</v>
      </c>
      <c r="U4562">
        <v>0</v>
      </c>
      <c r="V4562">
        <v>0</v>
      </c>
      <c r="W4562">
        <v>0</v>
      </c>
      <c r="X4562">
        <v>0</v>
      </c>
      <c r="Z4562">
        <v>1</v>
      </c>
      <c r="AA4562">
        <v>0</v>
      </c>
      <c r="AB4562">
        <v>0</v>
      </c>
      <c r="AC4562">
        <v>0</v>
      </c>
      <c r="AD4562" t="s">
        <v>2618</v>
      </c>
    </row>
    <row r="4563" spans="1:30" x14ac:dyDescent="0.25">
      <c r="H4563">
        <v>1248</v>
      </c>
    </row>
    <row r="4564" spans="1:30" x14ac:dyDescent="0.25">
      <c r="A4564">
        <v>2279</v>
      </c>
      <c r="B4564">
        <v>4104</v>
      </c>
      <c r="C4564" t="s">
        <v>8221</v>
      </c>
      <c r="D4564" t="s">
        <v>8222</v>
      </c>
      <c r="E4564" t="s">
        <v>40</v>
      </c>
      <c r="F4564" t="s">
        <v>8223</v>
      </c>
      <c r="G4564" t="str">
        <f>"00338864"</f>
        <v>00338864</v>
      </c>
      <c r="H4564" t="s">
        <v>2618</v>
      </c>
      <c r="I4564">
        <v>0</v>
      </c>
      <c r="J4564">
        <v>0</v>
      </c>
      <c r="K4564">
        <v>0</v>
      </c>
      <c r="L4564">
        <v>0</v>
      </c>
      <c r="M4564">
        <v>0</v>
      </c>
      <c r="N4564">
        <v>0</v>
      </c>
      <c r="O4564">
        <v>0</v>
      </c>
      <c r="P4564">
        <v>0</v>
      </c>
      <c r="Q4564">
        <v>0</v>
      </c>
      <c r="R4564">
        <v>0</v>
      </c>
      <c r="S4564">
        <v>0</v>
      </c>
      <c r="T4564">
        <v>0</v>
      </c>
      <c r="U4564">
        <v>0</v>
      </c>
      <c r="V4564">
        <v>0</v>
      </c>
      <c r="W4564">
        <v>0</v>
      </c>
      <c r="X4564">
        <v>0</v>
      </c>
      <c r="Z4564">
        <v>0</v>
      </c>
      <c r="AA4564">
        <v>0</v>
      </c>
      <c r="AB4564">
        <v>0</v>
      </c>
      <c r="AC4564">
        <v>0</v>
      </c>
      <c r="AD4564" t="s">
        <v>2618</v>
      </c>
    </row>
    <row r="4565" spans="1:30" x14ac:dyDescent="0.25">
      <c r="H4565">
        <v>1247</v>
      </c>
    </row>
    <row r="4566" spans="1:30" x14ac:dyDescent="0.25">
      <c r="A4566">
        <v>2280</v>
      </c>
      <c r="B4566">
        <v>1815</v>
      </c>
      <c r="C4566" t="s">
        <v>394</v>
      </c>
      <c r="D4566" t="s">
        <v>8224</v>
      </c>
      <c r="E4566" t="s">
        <v>92</v>
      </c>
      <c r="F4566" t="s">
        <v>8225</v>
      </c>
      <c r="G4566" t="str">
        <f>"201406012250"</f>
        <v>201406012250</v>
      </c>
      <c r="H4566" t="s">
        <v>2116</v>
      </c>
      <c r="I4566">
        <v>0</v>
      </c>
      <c r="J4566">
        <v>0</v>
      </c>
      <c r="K4566">
        <v>0</v>
      </c>
      <c r="L4566">
        <v>0</v>
      </c>
      <c r="M4566">
        <v>0</v>
      </c>
      <c r="N4566">
        <v>30</v>
      </c>
      <c r="O4566">
        <v>0</v>
      </c>
      <c r="P4566">
        <v>0</v>
      </c>
      <c r="Q4566">
        <v>0</v>
      </c>
      <c r="R4566">
        <v>0</v>
      </c>
      <c r="S4566">
        <v>0</v>
      </c>
      <c r="T4566">
        <v>0</v>
      </c>
      <c r="U4566">
        <v>0</v>
      </c>
      <c r="V4566">
        <v>0</v>
      </c>
      <c r="W4566">
        <v>0</v>
      </c>
      <c r="X4566">
        <v>0</v>
      </c>
      <c r="Z4566">
        <v>0</v>
      </c>
      <c r="AA4566">
        <v>0</v>
      </c>
      <c r="AB4566">
        <v>0</v>
      </c>
      <c r="AC4566">
        <v>0</v>
      </c>
      <c r="AD4566" t="s">
        <v>8226</v>
      </c>
    </row>
    <row r="4567" spans="1:30" x14ac:dyDescent="0.25">
      <c r="H4567" t="s">
        <v>8227</v>
      </c>
    </row>
    <row r="4568" spans="1:30" x14ac:dyDescent="0.25">
      <c r="A4568">
        <v>2281</v>
      </c>
      <c r="B4568">
        <v>4058</v>
      </c>
      <c r="C4568" t="s">
        <v>8228</v>
      </c>
      <c r="D4568" t="s">
        <v>75</v>
      </c>
      <c r="E4568" t="s">
        <v>47</v>
      </c>
      <c r="F4568" t="s">
        <v>8229</v>
      </c>
      <c r="G4568" t="str">
        <f>"00157523"</f>
        <v>00157523</v>
      </c>
      <c r="H4568" t="s">
        <v>2937</v>
      </c>
      <c r="I4568">
        <v>0</v>
      </c>
      <c r="J4568">
        <v>0</v>
      </c>
      <c r="K4568">
        <v>0</v>
      </c>
      <c r="L4568">
        <v>0</v>
      </c>
      <c r="M4568">
        <v>0</v>
      </c>
      <c r="N4568">
        <v>30</v>
      </c>
      <c r="O4568">
        <v>0</v>
      </c>
      <c r="P4568">
        <v>0</v>
      </c>
      <c r="Q4568">
        <v>0</v>
      </c>
      <c r="R4568">
        <v>0</v>
      </c>
      <c r="S4568">
        <v>0</v>
      </c>
      <c r="T4568">
        <v>0</v>
      </c>
      <c r="U4568">
        <v>0</v>
      </c>
      <c r="V4568">
        <v>8</v>
      </c>
      <c r="W4568">
        <v>56</v>
      </c>
      <c r="X4568">
        <v>0</v>
      </c>
      <c r="Z4568">
        <v>2</v>
      </c>
      <c r="AA4568">
        <v>0</v>
      </c>
      <c r="AB4568">
        <v>0</v>
      </c>
      <c r="AC4568">
        <v>0</v>
      </c>
      <c r="AD4568" t="s">
        <v>8230</v>
      </c>
    </row>
    <row r="4569" spans="1:30" x14ac:dyDescent="0.25">
      <c r="H4569" t="s">
        <v>8231</v>
      </c>
    </row>
    <row r="4570" spans="1:30" x14ac:dyDescent="0.25">
      <c r="A4570">
        <v>2282</v>
      </c>
      <c r="B4570">
        <v>6177</v>
      </c>
      <c r="C4570" t="s">
        <v>8232</v>
      </c>
      <c r="D4570" t="s">
        <v>1772</v>
      </c>
      <c r="E4570" t="s">
        <v>551</v>
      </c>
      <c r="F4570" t="s">
        <v>8233</v>
      </c>
      <c r="G4570" t="str">
        <f>"201410008976"</f>
        <v>201410008976</v>
      </c>
      <c r="H4570" t="s">
        <v>1091</v>
      </c>
      <c r="I4570">
        <v>0</v>
      </c>
      <c r="J4570">
        <v>0</v>
      </c>
      <c r="K4570">
        <v>0</v>
      </c>
      <c r="L4570">
        <v>0</v>
      </c>
      <c r="M4570">
        <v>0</v>
      </c>
      <c r="N4570">
        <v>0</v>
      </c>
      <c r="O4570">
        <v>0</v>
      </c>
      <c r="P4570">
        <v>0</v>
      </c>
      <c r="Q4570">
        <v>0</v>
      </c>
      <c r="R4570">
        <v>0</v>
      </c>
      <c r="S4570">
        <v>0</v>
      </c>
      <c r="T4570">
        <v>0</v>
      </c>
      <c r="U4570">
        <v>0</v>
      </c>
      <c r="V4570">
        <v>0</v>
      </c>
      <c r="W4570">
        <v>0</v>
      </c>
      <c r="X4570">
        <v>0</v>
      </c>
      <c r="Z4570">
        <v>0</v>
      </c>
      <c r="AA4570">
        <v>0</v>
      </c>
      <c r="AB4570">
        <v>0</v>
      </c>
      <c r="AC4570">
        <v>0</v>
      </c>
      <c r="AD4570" t="s">
        <v>1091</v>
      </c>
    </row>
    <row r="4571" spans="1:30" x14ac:dyDescent="0.25">
      <c r="H4571" t="s">
        <v>8234</v>
      </c>
    </row>
    <row r="4572" spans="1:30" x14ac:dyDescent="0.25">
      <c r="A4572">
        <v>2283</v>
      </c>
      <c r="B4572">
        <v>5900</v>
      </c>
      <c r="C4572" t="s">
        <v>899</v>
      </c>
      <c r="D4572" t="s">
        <v>869</v>
      </c>
      <c r="E4572" t="s">
        <v>33</v>
      </c>
      <c r="F4572" t="s">
        <v>8235</v>
      </c>
      <c r="G4572" t="str">
        <f>"201511012569"</f>
        <v>201511012569</v>
      </c>
      <c r="H4572" t="s">
        <v>1091</v>
      </c>
      <c r="I4572">
        <v>0</v>
      </c>
      <c r="J4572">
        <v>0</v>
      </c>
      <c r="K4572">
        <v>0</v>
      </c>
      <c r="L4572">
        <v>0</v>
      </c>
      <c r="M4572">
        <v>0</v>
      </c>
      <c r="N4572">
        <v>0</v>
      </c>
      <c r="O4572">
        <v>0</v>
      </c>
      <c r="P4572">
        <v>0</v>
      </c>
      <c r="Q4572">
        <v>0</v>
      </c>
      <c r="R4572">
        <v>0</v>
      </c>
      <c r="S4572">
        <v>0</v>
      </c>
      <c r="T4572">
        <v>0</v>
      </c>
      <c r="U4572">
        <v>0</v>
      </c>
      <c r="V4572">
        <v>0</v>
      </c>
      <c r="W4572">
        <v>0</v>
      </c>
      <c r="X4572">
        <v>0</v>
      </c>
      <c r="Z4572">
        <v>2</v>
      </c>
      <c r="AA4572">
        <v>0</v>
      </c>
      <c r="AB4572">
        <v>0</v>
      </c>
      <c r="AC4572">
        <v>0</v>
      </c>
      <c r="AD4572" t="s">
        <v>1091</v>
      </c>
    </row>
    <row r="4573" spans="1:30" x14ac:dyDescent="0.25">
      <c r="H4573" t="s">
        <v>8236</v>
      </c>
    </row>
    <row r="4574" spans="1:30" x14ac:dyDescent="0.25">
      <c r="A4574">
        <v>2284</v>
      </c>
      <c r="B4574">
        <v>782</v>
      </c>
      <c r="C4574" t="s">
        <v>8237</v>
      </c>
      <c r="D4574" t="s">
        <v>685</v>
      </c>
      <c r="E4574" t="s">
        <v>51</v>
      </c>
      <c r="F4574" t="s">
        <v>8238</v>
      </c>
      <c r="G4574" t="str">
        <f>"201410002619"</f>
        <v>201410002619</v>
      </c>
      <c r="H4574">
        <v>638</v>
      </c>
      <c r="I4574">
        <v>0</v>
      </c>
      <c r="J4574">
        <v>0</v>
      </c>
      <c r="K4574">
        <v>0</v>
      </c>
      <c r="L4574">
        <v>0</v>
      </c>
      <c r="M4574">
        <v>0</v>
      </c>
      <c r="N4574">
        <v>70</v>
      </c>
      <c r="O4574">
        <v>0</v>
      </c>
      <c r="P4574">
        <v>0</v>
      </c>
      <c r="Q4574">
        <v>0</v>
      </c>
      <c r="R4574">
        <v>0</v>
      </c>
      <c r="S4574">
        <v>0</v>
      </c>
      <c r="T4574">
        <v>0</v>
      </c>
      <c r="U4574">
        <v>0</v>
      </c>
      <c r="V4574">
        <v>0</v>
      </c>
      <c r="W4574">
        <v>0</v>
      </c>
      <c r="X4574">
        <v>0</v>
      </c>
      <c r="Z4574">
        <v>2</v>
      </c>
      <c r="AA4574">
        <v>0</v>
      </c>
      <c r="AB4574">
        <v>0</v>
      </c>
      <c r="AC4574">
        <v>0</v>
      </c>
      <c r="AD4574">
        <v>708</v>
      </c>
    </row>
    <row r="4575" spans="1:30" x14ac:dyDescent="0.25">
      <c r="H4575" t="s">
        <v>451</v>
      </c>
    </row>
    <row r="4576" spans="1:30" x14ac:dyDescent="0.25">
      <c r="A4576">
        <v>2285</v>
      </c>
      <c r="B4576">
        <v>2835</v>
      </c>
      <c r="C4576" t="s">
        <v>3370</v>
      </c>
      <c r="D4576" t="s">
        <v>15</v>
      </c>
      <c r="E4576" t="s">
        <v>151</v>
      </c>
      <c r="F4576" t="s">
        <v>8239</v>
      </c>
      <c r="G4576" t="str">
        <f>"00226084"</f>
        <v>00226084</v>
      </c>
      <c r="H4576">
        <v>638</v>
      </c>
      <c r="I4576">
        <v>0</v>
      </c>
      <c r="J4576">
        <v>0</v>
      </c>
      <c r="K4576">
        <v>0</v>
      </c>
      <c r="L4576">
        <v>0</v>
      </c>
      <c r="M4576">
        <v>0</v>
      </c>
      <c r="N4576">
        <v>70</v>
      </c>
      <c r="O4576">
        <v>0</v>
      </c>
      <c r="P4576">
        <v>0</v>
      </c>
      <c r="Q4576">
        <v>0</v>
      </c>
      <c r="R4576">
        <v>0</v>
      </c>
      <c r="S4576">
        <v>0</v>
      </c>
      <c r="T4576">
        <v>0</v>
      </c>
      <c r="U4576">
        <v>0</v>
      </c>
      <c r="V4576">
        <v>0</v>
      </c>
      <c r="W4576">
        <v>0</v>
      </c>
      <c r="X4576">
        <v>0</v>
      </c>
      <c r="Z4576">
        <v>0</v>
      </c>
      <c r="AA4576">
        <v>0</v>
      </c>
      <c r="AB4576">
        <v>0</v>
      </c>
      <c r="AC4576">
        <v>0</v>
      </c>
      <c r="AD4576">
        <v>708</v>
      </c>
    </row>
    <row r="4577" spans="1:30" x14ac:dyDescent="0.25">
      <c r="H4577" t="s">
        <v>8240</v>
      </c>
    </row>
    <row r="4578" spans="1:30" x14ac:dyDescent="0.25">
      <c r="A4578">
        <v>2286</v>
      </c>
      <c r="B4578">
        <v>2615</v>
      </c>
      <c r="C4578" t="s">
        <v>1407</v>
      </c>
      <c r="D4578" t="s">
        <v>2648</v>
      </c>
      <c r="E4578" t="s">
        <v>140</v>
      </c>
      <c r="F4578" t="s">
        <v>8241</v>
      </c>
      <c r="G4578" t="str">
        <f>"00326114"</f>
        <v>00326114</v>
      </c>
      <c r="H4578" t="s">
        <v>1540</v>
      </c>
      <c r="I4578">
        <v>0</v>
      </c>
      <c r="J4578">
        <v>0</v>
      </c>
      <c r="K4578">
        <v>0</v>
      </c>
      <c r="L4578">
        <v>0</v>
      </c>
      <c r="M4578">
        <v>0</v>
      </c>
      <c r="N4578">
        <v>30</v>
      </c>
      <c r="O4578">
        <v>0</v>
      </c>
      <c r="P4578">
        <v>0</v>
      </c>
      <c r="Q4578">
        <v>0</v>
      </c>
      <c r="R4578">
        <v>0</v>
      </c>
      <c r="S4578">
        <v>0</v>
      </c>
      <c r="T4578">
        <v>0</v>
      </c>
      <c r="U4578">
        <v>0</v>
      </c>
      <c r="V4578">
        <v>0</v>
      </c>
      <c r="W4578">
        <v>0</v>
      </c>
      <c r="X4578">
        <v>0</v>
      </c>
      <c r="Z4578">
        <v>0</v>
      </c>
      <c r="AA4578">
        <v>0</v>
      </c>
      <c r="AB4578">
        <v>0</v>
      </c>
      <c r="AC4578">
        <v>0</v>
      </c>
      <c r="AD4578" t="s">
        <v>8242</v>
      </c>
    </row>
    <row r="4579" spans="1:30" x14ac:dyDescent="0.25">
      <c r="H4579" t="s">
        <v>8243</v>
      </c>
    </row>
    <row r="4580" spans="1:30" x14ac:dyDescent="0.25">
      <c r="A4580">
        <v>2287</v>
      </c>
      <c r="B4580">
        <v>162</v>
      </c>
      <c r="C4580" t="s">
        <v>8244</v>
      </c>
      <c r="D4580" t="s">
        <v>40</v>
      </c>
      <c r="E4580" t="s">
        <v>183</v>
      </c>
      <c r="F4580" t="s">
        <v>8245</v>
      </c>
      <c r="G4580" t="str">
        <f>"00225753"</f>
        <v>00225753</v>
      </c>
      <c r="H4580" t="s">
        <v>1540</v>
      </c>
      <c r="I4580">
        <v>0</v>
      </c>
      <c r="J4580">
        <v>0</v>
      </c>
      <c r="K4580">
        <v>0</v>
      </c>
      <c r="L4580">
        <v>0</v>
      </c>
      <c r="M4580">
        <v>0</v>
      </c>
      <c r="N4580">
        <v>30</v>
      </c>
      <c r="O4580">
        <v>0</v>
      </c>
      <c r="P4580">
        <v>0</v>
      </c>
      <c r="Q4580">
        <v>0</v>
      </c>
      <c r="R4580">
        <v>0</v>
      </c>
      <c r="S4580">
        <v>0</v>
      </c>
      <c r="T4580">
        <v>0</v>
      </c>
      <c r="U4580">
        <v>0</v>
      </c>
      <c r="V4580">
        <v>0</v>
      </c>
      <c r="W4580">
        <v>0</v>
      </c>
      <c r="X4580">
        <v>0</v>
      </c>
      <c r="Z4580">
        <v>0</v>
      </c>
      <c r="AA4580">
        <v>0</v>
      </c>
      <c r="AB4580">
        <v>0</v>
      </c>
      <c r="AC4580">
        <v>0</v>
      </c>
      <c r="AD4580" t="s">
        <v>8242</v>
      </c>
    </row>
    <row r="4581" spans="1:30" x14ac:dyDescent="0.25">
      <c r="H4581" t="s">
        <v>8246</v>
      </c>
    </row>
    <row r="4582" spans="1:30" x14ac:dyDescent="0.25">
      <c r="A4582">
        <v>2288</v>
      </c>
      <c r="B4582">
        <v>1898</v>
      </c>
      <c r="C4582" t="s">
        <v>2536</v>
      </c>
      <c r="D4582" t="s">
        <v>166</v>
      </c>
      <c r="E4582" t="s">
        <v>509</v>
      </c>
      <c r="F4582" t="s">
        <v>8247</v>
      </c>
      <c r="G4582" t="str">
        <f>"00137043"</f>
        <v>00137043</v>
      </c>
      <c r="H4582" t="s">
        <v>1449</v>
      </c>
      <c r="I4582">
        <v>0</v>
      </c>
      <c r="J4582">
        <v>0</v>
      </c>
      <c r="K4582">
        <v>0</v>
      </c>
      <c r="L4582">
        <v>0</v>
      </c>
      <c r="M4582">
        <v>0</v>
      </c>
      <c r="N4582">
        <v>0</v>
      </c>
      <c r="O4582">
        <v>0</v>
      </c>
      <c r="P4582">
        <v>0</v>
      </c>
      <c r="Q4582">
        <v>0</v>
      </c>
      <c r="R4582">
        <v>0</v>
      </c>
      <c r="S4582">
        <v>0</v>
      </c>
      <c r="T4582">
        <v>0</v>
      </c>
      <c r="U4582">
        <v>0</v>
      </c>
      <c r="V4582">
        <v>7</v>
      </c>
      <c r="W4582">
        <v>49</v>
      </c>
      <c r="X4582">
        <v>0</v>
      </c>
      <c r="Z4582">
        <v>0</v>
      </c>
      <c r="AA4582">
        <v>0</v>
      </c>
      <c r="AB4582">
        <v>0</v>
      </c>
      <c r="AC4582">
        <v>0</v>
      </c>
      <c r="AD4582" t="s">
        <v>8248</v>
      </c>
    </row>
    <row r="4583" spans="1:30" x14ac:dyDescent="0.25">
      <c r="H4583">
        <v>1248</v>
      </c>
    </row>
    <row r="4584" spans="1:30" x14ac:dyDescent="0.25">
      <c r="A4584">
        <v>2289</v>
      </c>
      <c r="B4584">
        <v>5180</v>
      </c>
      <c r="C4584" t="s">
        <v>8249</v>
      </c>
      <c r="D4584" t="s">
        <v>8250</v>
      </c>
      <c r="E4584" t="s">
        <v>176</v>
      </c>
      <c r="F4584" t="s">
        <v>8251</v>
      </c>
      <c r="G4584" t="str">
        <f>"00159104"</f>
        <v>00159104</v>
      </c>
      <c r="H4584" t="s">
        <v>369</v>
      </c>
      <c r="I4584">
        <v>0</v>
      </c>
      <c r="J4584">
        <v>0</v>
      </c>
      <c r="K4584">
        <v>0</v>
      </c>
      <c r="L4584">
        <v>0</v>
      </c>
      <c r="M4584">
        <v>0</v>
      </c>
      <c r="N4584">
        <v>50</v>
      </c>
      <c r="O4584">
        <v>0</v>
      </c>
      <c r="P4584">
        <v>0</v>
      </c>
      <c r="Q4584">
        <v>0</v>
      </c>
      <c r="R4584">
        <v>0</v>
      </c>
      <c r="S4584">
        <v>0</v>
      </c>
      <c r="T4584">
        <v>0</v>
      </c>
      <c r="U4584">
        <v>0</v>
      </c>
      <c r="V4584">
        <v>0</v>
      </c>
      <c r="W4584">
        <v>0</v>
      </c>
      <c r="X4584">
        <v>0</v>
      </c>
      <c r="Z4584">
        <v>0</v>
      </c>
      <c r="AA4584">
        <v>0</v>
      </c>
      <c r="AB4584">
        <v>0</v>
      </c>
      <c r="AC4584">
        <v>0</v>
      </c>
      <c r="AD4584" t="s">
        <v>8252</v>
      </c>
    </row>
    <row r="4585" spans="1:30" x14ac:dyDescent="0.25">
      <c r="H4585" t="s">
        <v>8253</v>
      </c>
    </row>
    <row r="4586" spans="1:30" x14ac:dyDescent="0.25">
      <c r="A4586">
        <v>2290</v>
      </c>
      <c r="B4586">
        <v>1831</v>
      </c>
      <c r="C4586" t="s">
        <v>8254</v>
      </c>
      <c r="D4586" t="s">
        <v>98</v>
      </c>
      <c r="E4586" t="s">
        <v>162</v>
      </c>
      <c r="F4586" t="s">
        <v>8255</v>
      </c>
      <c r="G4586" t="str">
        <f>"201601000443"</f>
        <v>201601000443</v>
      </c>
      <c r="H4586" t="s">
        <v>2126</v>
      </c>
      <c r="I4586">
        <v>0</v>
      </c>
      <c r="J4586">
        <v>0</v>
      </c>
      <c r="K4586">
        <v>0</v>
      </c>
      <c r="L4586">
        <v>0</v>
      </c>
      <c r="M4586">
        <v>0</v>
      </c>
      <c r="N4586">
        <v>0</v>
      </c>
      <c r="O4586">
        <v>30</v>
      </c>
      <c r="P4586">
        <v>0</v>
      </c>
      <c r="Q4586">
        <v>0</v>
      </c>
      <c r="R4586">
        <v>0</v>
      </c>
      <c r="S4586">
        <v>0</v>
      </c>
      <c r="T4586">
        <v>0</v>
      </c>
      <c r="U4586">
        <v>0</v>
      </c>
      <c r="V4586">
        <v>0</v>
      </c>
      <c r="W4586">
        <v>0</v>
      </c>
      <c r="X4586">
        <v>0</v>
      </c>
      <c r="Z4586">
        <v>0</v>
      </c>
      <c r="AA4586">
        <v>0</v>
      </c>
      <c r="AB4586">
        <v>0</v>
      </c>
      <c r="AC4586">
        <v>0</v>
      </c>
      <c r="AD4586" t="s">
        <v>8256</v>
      </c>
    </row>
    <row r="4587" spans="1:30" x14ac:dyDescent="0.25">
      <c r="H4587" t="s">
        <v>8257</v>
      </c>
    </row>
    <row r="4588" spans="1:30" x14ac:dyDescent="0.25">
      <c r="A4588">
        <v>2291</v>
      </c>
      <c r="B4588">
        <v>2537</v>
      </c>
      <c r="C4588" t="s">
        <v>8258</v>
      </c>
      <c r="D4588" t="s">
        <v>86</v>
      </c>
      <c r="E4588" t="s">
        <v>39</v>
      </c>
      <c r="F4588" t="s">
        <v>8259</v>
      </c>
      <c r="G4588" t="str">
        <f>"201504000442"</f>
        <v>201504000442</v>
      </c>
      <c r="H4588">
        <v>550</v>
      </c>
      <c r="I4588">
        <v>0</v>
      </c>
      <c r="J4588">
        <v>0</v>
      </c>
      <c r="K4588">
        <v>0</v>
      </c>
      <c r="L4588">
        <v>0</v>
      </c>
      <c r="M4588">
        <v>0</v>
      </c>
      <c r="N4588">
        <v>70</v>
      </c>
      <c r="O4588">
        <v>0</v>
      </c>
      <c r="P4588">
        <v>0</v>
      </c>
      <c r="Q4588">
        <v>0</v>
      </c>
      <c r="R4588">
        <v>0</v>
      </c>
      <c r="S4588">
        <v>0</v>
      </c>
      <c r="T4588">
        <v>0</v>
      </c>
      <c r="U4588">
        <v>0</v>
      </c>
      <c r="V4588">
        <v>5</v>
      </c>
      <c r="W4588">
        <v>35</v>
      </c>
      <c r="X4588">
        <v>0</v>
      </c>
      <c r="Z4588">
        <v>0</v>
      </c>
      <c r="AA4588">
        <v>0</v>
      </c>
      <c r="AB4588">
        <v>3</v>
      </c>
      <c r="AC4588">
        <v>51</v>
      </c>
      <c r="AD4588">
        <v>706</v>
      </c>
    </row>
    <row r="4589" spans="1:30" x14ac:dyDescent="0.25">
      <c r="H4589" t="s">
        <v>8260</v>
      </c>
    </row>
    <row r="4590" spans="1:30" x14ac:dyDescent="0.25">
      <c r="A4590">
        <v>2292</v>
      </c>
      <c r="B4590">
        <v>1212</v>
      </c>
      <c r="C4590" t="s">
        <v>62</v>
      </c>
      <c r="D4590" t="s">
        <v>140</v>
      </c>
      <c r="E4590" t="s">
        <v>595</v>
      </c>
      <c r="F4590" t="s">
        <v>8261</v>
      </c>
      <c r="G4590" t="str">
        <f>"00163127"</f>
        <v>00163127</v>
      </c>
      <c r="H4590" t="s">
        <v>2941</v>
      </c>
      <c r="I4590">
        <v>0</v>
      </c>
      <c r="J4590">
        <v>0</v>
      </c>
      <c r="K4590">
        <v>0</v>
      </c>
      <c r="L4590">
        <v>0</v>
      </c>
      <c r="M4590">
        <v>0</v>
      </c>
      <c r="N4590">
        <v>30</v>
      </c>
      <c r="O4590">
        <v>0</v>
      </c>
      <c r="P4590">
        <v>0</v>
      </c>
      <c r="Q4590">
        <v>0</v>
      </c>
      <c r="R4590">
        <v>0</v>
      </c>
      <c r="S4590">
        <v>0</v>
      </c>
      <c r="T4590">
        <v>0</v>
      </c>
      <c r="U4590">
        <v>0</v>
      </c>
      <c r="V4590">
        <v>3</v>
      </c>
      <c r="W4590">
        <v>21</v>
      </c>
      <c r="X4590">
        <v>0</v>
      </c>
      <c r="Z4590">
        <v>0</v>
      </c>
      <c r="AA4590">
        <v>0</v>
      </c>
      <c r="AB4590">
        <v>0</v>
      </c>
      <c r="AC4590">
        <v>0</v>
      </c>
      <c r="AD4590" t="s">
        <v>8262</v>
      </c>
    </row>
    <row r="4591" spans="1:30" x14ac:dyDescent="0.25">
      <c r="H4591" t="s">
        <v>8263</v>
      </c>
    </row>
    <row r="4592" spans="1:30" x14ac:dyDescent="0.25">
      <c r="A4592">
        <v>2293</v>
      </c>
      <c r="B4592">
        <v>3245</v>
      </c>
      <c r="C4592" t="s">
        <v>8264</v>
      </c>
      <c r="D4592" t="s">
        <v>33</v>
      </c>
      <c r="E4592" t="s">
        <v>108</v>
      </c>
      <c r="F4592" t="s">
        <v>8265</v>
      </c>
      <c r="G4592" t="str">
        <f>"201406010496"</f>
        <v>201406010496</v>
      </c>
      <c r="H4592" t="s">
        <v>402</v>
      </c>
      <c r="I4592">
        <v>0</v>
      </c>
      <c r="J4592">
        <v>0</v>
      </c>
      <c r="K4592">
        <v>0</v>
      </c>
      <c r="L4592">
        <v>0</v>
      </c>
      <c r="M4592">
        <v>0</v>
      </c>
      <c r="N4592">
        <v>0</v>
      </c>
      <c r="O4592">
        <v>0</v>
      </c>
      <c r="P4592">
        <v>30</v>
      </c>
      <c r="Q4592">
        <v>0</v>
      </c>
      <c r="R4592">
        <v>0</v>
      </c>
      <c r="S4592">
        <v>0</v>
      </c>
      <c r="T4592">
        <v>0</v>
      </c>
      <c r="U4592">
        <v>0</v>
      </c>
      <c r="V4592">
        <v>0</v>
      </c>
      <c r="W4592">
        <v>0</v>
      </c>
      <c r="X4592">
        <v>0</v>
      </c>
      <c r="Z4592">
        <v>0</v>
      </c>
      <c r="AA4592">
        <v>0</v>
      </c>
      <c r="AB4592">
        <v>0</v>
      </c>
      <c r="AC4592">
        <v>0</v>
      </c>
      <c r="AD4592" t="s">
        <v>8266</v>
      </c>
    </row>
    <row r="4593" spans="1:30" x14ac:dyDescent="0.25">
      <c r="H4593" t="s">
        <v>8267</v>
      </c>
    </row>
    <row r="4594" spans="1:30" x14ac:dyDescent="0.25">
      <c r="A4594">
        <v>2294</v>
      </c>
      <c r="B4594">
        <v>3636</v>
      </c>
      <c r="C4594" t="s">
        <v>2073</v>
      </c>
      <c r="D4594" t="s">
        <v>830</v>
      </c>
      <c r="E4594" t="s">
        <v>40</v>
      </c>
      <c r="F4594" t="s">
        <v>8268</v>
      </c>
      <c r="G4594" t="str">
        <f>"00087297"</f>
        <v>00087297</v>
      </c>
      <c r="H4594" t="s">
        <v>1850</v>
      </c>
      <c r="I4594">
        <v>0</v>
      </c>
      <c r="J4594">
        <v>0</v>
      </c>
      <c r="K4594">
        <v>0</v>
      </c>
      <c r="L4594">
        <v>0</v>
      </c>
      <c r="M4594">
        <v>0</v>
      </c>
      <c r="N4594">
        <v>0</v>
      </c>
      <c r="O4594">
        <v>0</v>
      </c>
      <c r="P4594">
        <v>0</v>
      </c>
      <c r="Q4594">
        <v>0</v>
      </c>
      <c r="R4594">
        <v>0</v>
      </c>
      <c r="S4594">
        <v>0</v>
      </c>
      <c r="T4594">
        <v>0</v>
      </c>
      <c r="U4594">
        <v>0</v>
      </c>
      <c r="V4594">
        <v>0</v>
      </c>
      <c r="W4594">
        <v>0</v>
      </c>
      <c r="X4594">
        <v>0</v>
      </c>
      <c r="Z4594">
        <v>0</v>
      </c>
      <c r="AA4594">
        <v>0</v>
      </c>
      <c r="AB4594">
        <v>0</v>
      </c>
      <c r="AC4594">
        <v>0</v>
      </c>
      <c r="AD4594" t="s">
        <v>1850</v>
      </c>
    </row>
    <row r="4595" spans="1:30" x14ac:dyDescent="0.25">
      <c r="H4595" t="s">
        <v>2270</v>
      </c>
    </row>
    <row r="4596" spans="1:30" x14ac:dyDescent="0.25">
      <c r="A4596">
        <v>2295</v>
      </c>
      <c r="B4596">
        <v>588</v>
      </c>
      <c r="C4596" t="s">
        <v>8269</v>
      </c>
      <c r="D4596" t="s">
        <v>8270</v>
      </c>
      <c r="E4596" t="s">
        <v>547</v>
      </c>
      <c r="F4596" t="s">
        <v>8271</v>
      </c>
      <c r="G4596" t="str">
        <f>"201409006011"</f>
        <v>201409006011</v>
      </c>
      <c r="H4596" t="s">
        <v>1850</v>
      </c>
      <c r="I4596">
        <v>0</v>
      </c>
      <c r="J4596">
        <v>0</v>
      </c>
      <c r="K4596">
        <v>0</v>
      </c>
      <c r="L4596">
        <v>0</v>
      </c>
      <c r="M4596">
        <v>0</v>
      </c>
      <c r="N4596">
        <v>0</v>
      </c>
      <c r="O4596">
        <v>0</v>
      </c>
      <c r="P4596">
        <v>0</v>
      </c>
      <c r="Q4596">
        <v>0</v>
      </c>
      <c r="R4596">
        <v>0</v>
      </c>
      <c r="S4596">
        <v>0</v>
      </c>
      <c r="T4596">
        <v>0</v>
      </c>
      <c r="U4596">
        <v>0</v>
      </c>
      <c r="V4596">
        <v>0</v>
      </c>
      <c r="W4596">
        <v>0</v>
      </c>
      <c r="X4596">
        <v>0</v>
      </c>
      <c r="Z4596">
        <v>0</v>
      </c>
      <c r="AA4596">
        <v>0</v>
      </c>
      <c r="AB4596">
        <v>0</v>
      </c>
      <c r="AC4596">
        <v>0</v>
      </c>
      <c r="AD4596" t="s">
        <v>1850</v>
      </c>
    </row>
    <row r="4597" spans="1:30" x14ac:dyDescent="0.25">
      <c r="H4597" t="s">
        <v>1652</v>
      </c>
    </row>
    <row r="4598" spans="1:30" x14ac:dyDescent="0.25">
      <c r="A4598">
        <v>2296</v>
      </c>
      <c r="B4598">
        <v>1645</v>
      </c>
      <c r="C4598" t="s">
        <v>7718</v>
      </c>
      <c r="D4598" t="s">
        <v>2797</v>
      </c>
      <c r="E4598" t="s">
        <v>162</v>
      </c>
      <c r="F4598" t="s">
        <v>8272</v>
      </c>
      <c r="G4598" t="str">
        <f>"00228155"</f>
        <v>00228155</v>
      </c>
      <c r="H4598" t="s">
        <v>3232</v>
      </c>
      <c r="I4598">
        <v>0</v>
      </c>
      <c r="J4598">
        <v>0</v>
      </c>
      <c r="K4598">
        <v>0</v>
      </c>
      <c r="L4598">
        <v>0</v>
      </c>
      <c r="M4598">
        <v>0</v>
      </c>
      <c r="N4598">
        <v>30</v>
      </c>
      <c r="O4598">
        <v>0</v>
      </c>
      <c r="P4598">
        <v>0</v>
      </c>
      <c r="Q4598">
        <v>0</v>
      </c>
      <c r="R4598">
        <v>0</v>
      </c>
      <c r="S4598">
        <v>0</v>
      </c>
      <c r="T4598">
        <v>0</v>
      </c>
      <c r="U4598">
        <v>0</v>
      </c>
      <c r="V4598">
        <v>0</v>
      </c>
      <c r="W4598">
        <v>0</v>
      </c>
      <c r="X4598">
        <v>0</v>
      </c>
      <c r="Z4598">
        <v>0</v>
      </c>
      <c r="AA4598">
        <v>0</v>
      </c>
      <c r="AB4598">
        <v>0</v>
      </c>
      <c r="AC4598">
        <v>0</v>
      </c>
      <c r="AD4598" t="s">
        <v>8273</v>
      </c>
    </row>
    <row r="4599" spans="1:30" x14ac:dyDescent="0.25">
      <c r="H4599" t="s">
        <v>8274</v>
      </c>
    </row>
    <row r="4600" spans="1:30" x14ac:dyDescent="0.25">
      <c r="A4600">
        <v>2297</v>
      </c>
      <c r="B4600">
        <v>5467</v>
      </c>
      <c r="C4600" t="s">
        <v>452</v>
      </c>
      <c r="D4600" t="s">
        <v>3461</v>
      </c>
      <c r="E4600" t="s">
        <v>151</v>
      </c>
      <c r="F4600" t="s">
        <v>8275</v>
      </c>
      <c r="G4600" t="str">
        <f>"201401001904"</f>
        <v>201401001904</v>
      </c>
      <c r="H4600" t="s">
        <v>3774</v>
      </c>
      <c r="I4600">
        <v>0</v>
      </c>
      <c r="J4600">
        <v>0</v>
      </c>
      <c r="K4600">
        <v>0</v>
      </c>
      <c r="L4600">
        <v>0</v>
      </c>
      <c r="M4600">
        <v>0</v>
      </c>
      <c r="N4600">
        <v>0</v>
      </c>
      <c r="O4600">
        <v>0</v>
      </c>
      <c r="P4600">
        <v>0</v>
      </c>
      <c r="Q4600">
        <v>0</v>
      </c>
      <c r="R4600">
        <v>0</v>
      </c>
      <c r="S4600">
        <v>0</v>
      </c>
      <c r="T4600">
        <v>0</v>
      </c>
      <c r="U4600">
        <v>0</v>
      </c>
      <c r="V4600">
        <v>1</v>
      </c>
      <c r="W4600">
        <v>7</v>
      </c>
      <c r="X4600">
        <v>0</v>
      </c>
      <c r="Z4600">
        <v>0</v>
      </c>
      <c r="AA4600">
        <v>0</v>
      </c>
      <c r="AB4600">
        <v>0</v>
      </c>
      <c r="AC4600">
        <v>0</v>
      </c>
      <c r="AD4600" t="s">
        <v>8276</v>
      </c>
    </row>
    <row r="4601" spans="1:30" x14ac:dyDescent="0.25">
      <c r="H4601" t="s">
        <v>2899</v>
      </c>
    </row>
    <row r="4602" spans="1:30" x14ac:dyDescent="0.25">
      <c r="A4602">
        <v>2298</v>
      </c>
      <c r="B4602">
        <v>5666</v>
      </c>
      <c r="C4602" t="s">
        <v>8277</v>
      </c>
      <c r="D4602" t="s">
        <v>8278</v>
      </c>
      <c r="E4602" t="s">
        <v>8279</v>
      </c>
      <c r="F4602" t="s">
        <v>8280</v>
      </c>
      <c r="G4602" t="str">
        <f>"00196128"</f>
        <v>00196128</v>
      </c>
      <c r="H4602" t="s">
        <v>3999</v>
      </c>
      <c r="I4602">
        <v>0</v>
      </c>
      <c r="J4602">
        <v>0</v>
      </c>
      <c r="K4602">
        <v>0</v>
      </c>
      <c r="L4602">
        <v>0</v>
      </c>
      <c r="M4602">
        <v>0</v>
      </c>
      <c r="N4602">
        <v>30</v>
      </c>
      <c r="O4602">
        <v>0</v>
      </c>
      <c r="P4602">
        <v>0</v>
      </c>
      <c r="Q4602">
        <v>0</v>
      </c>
      <c r="R4602">
        <v>0</v>
      </c>
      <c r="S4602">
        <v>0</v>
      </c>
      <c r="T4602">
        <v>0</v>
      </c>
      <c r="U4602">
        <v>0</v>
      </c>
      <c r="V4602">
        <v>0</v>
      </c>
      <c r="W4602">
        <v>0</v>
      </c>
      <c r="X4602">
        <v>0</v>
      </c>
      <c r="Z4602">
        <v>0</v>
      </c>
      <c r="AA4602">
        <v>0</v>
      </c>
      <c r="AB4602">
        <v>0</v>
      </c>
      <c r="AC4602">
        <v>0</v>
      </c>
      <c r="AD4602" t="s">
        <v>8281</v>
      </c>
    </row>
    <row r="4603" spans="1:30" x14ac:dyDescent="0.25">
      <c r="H4603" t="s">
        <v>8282</v>
      </c>
    </row>
    <row r="4604" spans="1:30" x14ac:dyDescent="0.25">
      <c r="A4604">
        <v>2299</v>
      </c>
      <c r="B4604">
        <v>1636</v>
      </c>
      <c r="C4604" t="s">
        <v>3161</v>
      </c>
      <c r="D4604" t="s">
        <v>420</v>
      </c>
      <c r="E4604" t="s">
        <v>547</v>
      </c>
      <c r="F4604" t="s">
        <v>8283</v>
      </c>
      <c r="G4604" t="str">
        <f>"00008910"</f>
        <v>00008910</v>
      </c>
      <c r="H4604">
        <v>671</v>
      </c>
      <c r="I4604">
        <v>0</v>
      </c>
      <c r="J4604">
        <v>0</v>
      </c>
      <c r="K4604">
        <v>0</v>
      </c>
      <c r="L4604">
        <v>0</v>
      </c>
      <c r="M4604">
        <v>0</v>
      </c>
      <c r="N4604">
        <v>30</v>
      </c>
      <c r="O4604">
        <v>0</v>
      </c>
      <c r="P4604">
        <v>0</v>
      </c>
      <c r="Q4604">
        <v>0</v>
      </c>
      <c r="R4604">
        <v>0</v>
      </c>
      <c r="S4604">
        <v>0</v>
      </c>
      <c r="T4604">
        <v>0</v>
      </c>
      <c r="U4604">
        <v>0</v>
      </c>
      <c r="V4604">
        <v>0</v>
      </c>
      <c r="W4604">
        <v>0</v>
      </c>
      <c r="X4604">
        <v>0</v>
      </c>
      <c r="Z4604">
        <v>0</v>
      </c>
      <c r="AA4604">
        <v>0</v>
      </c>
      <c r="AB4604">
        <v>0</v>
      </c>
      <c r="AC4604">
        <v>0</v>
      </c>
      <c r="AD4604">
        <v>701</v>
      </c>
    </row>
    <row r="4605" spans="1:30" x14ac:dyDescent="0.25">
      <c r="H4605" t="s">
        <v>8284</v>
      </c>
    </row>
    <row r="4606" spans="1:30" x14ac:dyDescent="0.25">
      <c r="A4606">
        <v>2300</v>
      </c>
      <c r="B4606">
        <v>4393</v>
      </c>
      <c r="C4606" t="s">
        <v>8285</v>
      </c>
      <c r="D4606" t="s">
        <v>8286</v>
      </c>
      <c r="E4606" t="s">
        <v>40</v>
      </c>
      <c r="F4606" t="s">
        <v>8287</v>
      </c>
      <c r="G4606" t="str">
        <f>"201511027714"</f>
        <v>201511027714</v>
      </c>
      <c r="H4606">
        <v>671</v>
      </c>
      <c r="I4606">
        <v>0</v>
      </c>
      <c r="J4606">
        <v>0</v>
      </c>
      <c r="K4606">
        <v>0</v>
      </c>
      <c r="L4606">
        <v>0</v>
      </c>
      <c r="M4606">
        <v>0</v>
      </c>
      <c r="N4606">
        <v>30</v>
      </c>
      <c r="O4606">
        <v>0</v>
      </c>
      <c r="P4606">
        <v>0</v>
      </c>
      <c r="Q4606">
        <v>0</v>
      </c>
      <c r="R4606">
        <v>0</v>
      </c>
      <c r="S4606">
        <v>0</v>
      </c>
      <c r="T4606">
        <v>0</v>
      </c>
      <c r="U4606">
        <v>0</v>
      </c>
      <c r="V4606">
        <v>0</v>
      </c>
      <c r="W4606">
        <v>0</v>
      </c>
      <c r="X4606">
        <v>0</v>
      </c>
      <c r="Z4606">
        <v>0</v>
      </c>
      <c r="AA4606">
        <v>0</v>
      </c>
      <c r="AB4606">
        <v>0</v>
      </c>
      <c r="AC4606">
        <v>0</v>
      </c>
      <c r="AD4606">
        <v>701</v>
      </c>
    </row>
    <row r="4607" spans="1:30" x14ac:dyDescent="0.25">
      <c r="H4607" t="s">
        <v>8288</v>
      </c>
    </row>
    <row r="4608" spans="1:30" x14ac:dyDescent="0.25">
      <c r="A4608">
        <v>2301</v>
      </c>
      <c r="B4608">
        <v>2171</v>
      </c>
      <c r="C4608" t="s">
        <v>8289</v>
      </c>
      <c r="D4608" t="s">
        <v>39</v>
      </c>
      <c r="E4608" t="s">
        <v>495</v>
      </c>
      <c r="F4608" t="s">
        <v>8290</v>
      </c>
      <c r="G4608" t="str">
        <f>"00245816"</f>
        <v>00245816</v>
      </c>
      <c r="H4608">
        <v>638</v>
      </c>
      <c r="I4608">
        <v>0</v>
      </c>
      <c r="J4608">
        <v>0</v>
      </c>
      <c r="K4608">
        <v>0</v>
      </c>
      <c r="L4608">
        <v>0</v>
      </c>
      <c r="M4608">
        <v>0</v>
      </c>
      <c r="N4608">
        <v>0</v>
      </c>
      <c r="O4608">
        <v>0</v>
      </c>
      <c r="P4608">
        <v>0</v>
      </c>
      <c r="Q4608">
        <v>0</v>
      </c>
      <c r="R4608">
        <v>0</v>
      </c>
      <c r="S4608">
        <v>0</v>
      </c>
      <c r="T4608">
        <v>0</v>
      </c>
      <c r="U4608">
        <v>0</v>
      </c>
      <c r="V4608">
        <v>9</v>
      </c>
      <c r="W4608">
        <v>63</v>
      </c>
      <c r="X4608">
        <v>0</v>
      </c>
      <c r="Z4608">
        <v>1</v>
      </c>
      <c r="AA4608">
        <v>0</v>
      </c>
      <c r="AB4608">
        <v>0</v>
      </c>
      <c r="AC4608">
        <v>0</v>
      </c>
      <c r="AD4608">
        <v>701</v>
      </c>
    </row>
    <row r="4609" spans="1:30" x14ac:dyDescent="0.25">
      <c r="H4609" t="s">
        <v>712</v>
      </c>
    </row>
    <row r="4610" spans="1:30" x14ac:dyDescent="0.25">
      <c r="A4610">
        <v>2302</v>
      </c>
      <c r="B4610">
        <v>6263</v>
      </c>
      <c r="C4610" t="s">
        <v>1971</v>
      </c>
      <c r="D4610" t="s">
        <v>162</v>
      </c>
      <c r="E4610" t="s">
        <v>107</v>
      </c>
      <c r="F4610" t="s">
        <v>8291</v>
      </c>
      <c r="G4610" t="str">
        <f>"00161113"</f>
        <v>00161113</v>
      </c>
      <c r="H4610" t="s">
        <v>1490</v>
      </c>
      <c r="I4610">
        <v>0</v>
      </c>
      <c r="J4610">
        <v>0</v>
      </c>
      <c r="K4610">
        <v>0</v>
      </c>
      <c r="L4610">
        <v>0</v>
      </c>
      <c r="M4610">
        <v>0</v>
      </c>
      <c r="N4610">
        <v>30</v>
      </c>
      <c r="O4610">
        <v>0</v>
      </c>
      <c r="P4610">
        <v>0</v>
      </c>
      <c r="Q4610">
        <v>0</v>
      </c>
      <c r="R4610">
        <v>0</v>
      </c>
      <c r="S4610">
        <v>0</v>
      </c>
      <c r="T4610">
        <v>0</v>
      </c>
      <c r="U4610">
        <v>0</v>
      </c>
      <c r="V4610">
        <v>0</v>
      </c>
      <c r="W4610">
        <v>0</v>
      </c>
      <c r="X4610">
        <v>0</v>
      </c>
      <c r="Z4610">
        <v>1</v>
      </c>
      <c r="AA4610">
        <v>0</v>
      </c>
      <c r="AB4610">
        <v>0</v>
      </c>
      <c r="AC4610">
        <v>0</v>
      </c>
      <c r="AD4610" t="s">
        <v>8292</v>
      </c>
    </row>
    <row r="4611" spans="1:30" x14ac:dyDescent="0.25">
      <c r="H4611" t="s">
        <v>8293</v>
      </c>
    </row>
    <row r="4612" spans="1:30" x14ac:dyDescent="0.25">
      <c r="A4612">
        <v>2303</v>
      </c>
      <c r="B4612">
        <v>1007</v>
      </c>
      <c r="C4612" t="s">
        <v>8294</v>
      </c>
      <c r="D4612" t="s">
        <v>7575</v>
      </c>
      <c r="E4612" t="s">
        <v>183</v>
      </c>
      <c r="F4612" t="s">
        <v>8295</v>
      </c>
      <c r="G4612" t="str">
        <f>"00190958"</f>
        <v>00190958</v>
      </c>
      <c r="H4612" t="s">
        <v>1490</v>
      </c>
      <c r="I4612">
        <v>0</v>
      </c>
      <c r="J4612">
        <v>0</v>
      </c>
      <c r="K4612">
        <v>0</v>
      </c>
      <c r="L4612">
        <v>0</v>
      </c>
      <c r="M4612">
        <v>0</v>
      </c>
      <c r="N4612">
        <v>30</v>
      </c>
      <c r="O4612">
        <v>0</v>
      </c>
      <c r="P4612">
        <v>0</v>
      </c>
      <c r="Q4612">
        <v>0</v>
      </c>
      <c r="R4612">
        <v>0</v>
      </c>
      <c r="S4612">
        <v>0</v>
      </c>
      <c r="T4612">
        <v>0</v>
      </c>
      <c r="U4612">
        <v>0</v>
      </c>
      <c r="V4612">
        <v>0</v>
      </c>
      <c r="W4612">
        <v>0</v>
      </c>
      <c r="X4612">
        <v>0</v>
      </c>
      <c r="Z4612">
        <v>0</v>
      </c>
      <c r="AA4612">
        <v>0</v>
      </c>
      <c r="AB4612">
        <v>0</v>
      </c>
      <c r="AC4612">
        <v>0</v>
      </c>
      <c r="AD4612" t="s">
        <v>8292</v>
      </c>
    </row>
    <row r="4613" spans="1:30" x14ac:dyDescent="0.25">
      <c r="H4613" t="s">
        <v>8296</v>
      </c>
    </row>
    <row r="4614" spans="1:30" x14ac:dyDescent="0.25">
      <c r="A4614">
        <v>2304</v>
      </c>
      <c r="B4614">
        <v>4242</v>
      </c>
      <c r="C4614" t="s">
        <v>8297</v>
      </c>
      <c r="D4614" t="s">
        <v>420</v>
      </c>
      <c r="E4614" t="s">
        <v>107</v>
      </c>
      <c r="F4614" t="s">
        <v>8298</v>
      </c>
      <c r="G4614" t="str">
        <f>"00158730"</f>
        <v>00158730</v>
      </c>
      <c r="H4614" t="s">
        <v>388</v>
      </c>
      <c r="I4614">
        <v>0</v>
      </c>
      <c r="J4614">
        <v>0</v>
      </c>
      <c r="K4614">
        <v>0</v>
      </c>
      <c r="L4614">
        <v>0</v>
      </c>
      <c r="M4614">
        <v>0</v>
      </c>
      <c r="N4614">
        <v>0</v>
      </c>
      <c r="O4614">
        <v>0</v>
      </c>
      <c r="P4614">
        <v>0</v>
      </c>
      <c r="Q4614">
        <v>0</v>
      </c>
      <c r="R4614">
        <v>0</v>
      </c>
      <c r="S4614">
        <v>0</v>
      </c>
      <c r="T4614">
        <v>0</v>
      </c>
      <c r="U4614">
        <v>0</v>
      </c>
      <c r="V4614">
        <v>0</v>
      </c>
      <c r="W4614">
        <v>0</v>
      </c>
      <c r="X4614">
        <v>0</v>
      </c>
      <c r="Z4614">
        <v>0</v>
      </c>
      <c r="AA4614">
        <v>0</v>
      </c>
      <c r="AB4614">
        <v>0</v>
      </c>
      <c r="AC4614">
        <v>0</v>
      </c>
      <c r="AD4614" t="s">
        <v>388</v>
      </c>
    </row>
    <row r="4615" spans="1:30" x14ac:dyDescent="0.25">
      <c r="H4615" t="s">
        <v>864</v>
      </c>
    </row>
    <row r="4616" spans="1:30" x14ac:dyDescent="0.25">
      <c r="A4616">
        <v>2305</v>
      </c>
      <c r="B4616">
        <v>928</v>
      </c>
      <c r="C4616" t="s">
        <v>8299</v>
      </c>
      <c r="D4616" t="s">
        <v>526</v>
      </c>
      <c r="E4616" t="s">
        <v>251</v>
      </c>
      <c r="F4616" t="s">
        <v>8300</v>
      </c>
      <c r="G4616" t="str">
        <f>"00017922"</f>
        <v>00017922</v>
      </c>
      <c r="H4616" t="s">
        <v>2313</v>
      </c>
      <c r="I4616">
        <v>0</v>
      </c>
      <c r="J4616">
        <v>0</v>
      </c>
      <c r="K4616">
        <v>0</v>
      </c>
      <c r="L4616">
        <v>0</v>
      </c>
      <c r="M4616">
        <v>0</v>
      </c>
      <c r="N4616">
        <v>0</v>
      </c>
      <c r="O4616">
        <v>0</v>
      </c>
      <c r="P4616">
        <v>0</v>
      </c>
      <c r="Q4616">
        <v>0</v>
      </c>
      <c r="R4616">
        <v>0</v>
      </c>
      <c r="S4616">
        <v>0</v>
      </c>
      <c r="T4616">
        <v>0</v>
      </c>
      <c r="U4616">
        <v>0</v>
      </c>
      <c r="V4616">
        <v>0</v>
      </c>
      <c r="W4616">
        <v>0</v>
      </c>
      <c r="X4616">
        <v>0</v>
      </c>
      <c r="Z4616">
        <v>0</v>
      </c>
      <c r="AA4616">
        <v>0</v>
      </c>
      <c r="AB4616">
        <v>6</v>
      </c>
      <c r="AC4616">
        <v>102</v>
      </c>
      <c r="AD4616" t="s">
        <v>8301</v>
      </c>
    </row>
    <row r="4617" spans="1:30" x14ac:dyDescent="0.25">
      <c r="H4617">
        <v>1247</v>
      </c>
    </row>
    <row r="4618" spans="1:30" x14ac:dyDescent="0.25">
      <c r="A4618">
        <v>2306</v>
      </c>
      <c r="B4618">
        <v>1051</v>
      </c>
      <c r="C4618" t="s">
        <v>8302</v>
      </c>
      <c r="D4618" t="s">
        <v>1359</v>
      </c>
      <c r="E4618" t="s">
        <v>39</v>
      </c>
      <c r="F4618" t="s">
        <v>8303</v>
      </c>
      <c r="G4618" t="str">
        <f>"00300202"</f>
        <v>00300202</v>
      </c>
      <c r="H4618" t="s">
        <v>1235</v>
      </c>
      <c r="I4618">
        <v>0</v>
      </c>
      <c r="J4618">
        <v>0</v>
      </c>
      <c r="K4618">
        <v>0</v>
      </c>
      <c r="L4618">
        <v>0</v>
      </c>
      <c r="M4618">
        <v>0</v>
      </c>
      <c r="N4618">
        <v>30</v>
      </c>
      <c r="O4618">
        <v>0</v>
      </c>
      <c r="P4618">
        <v>0</v>
      </c>
      <c r="Q4618">
        <v>0</v>
      </c>
      <c r="R4618">
        <v>0</v>
      </c>
      <c r="S4618">
        <v>0</v>
      </c>
      <c r="T4618">
        <v>0</v>
      </c>
      <c r="U4618">
        <v>0</v>
      </c>
      <c r="V4618">
        <v>0</v>
      </c>
      <c r="W4618">
        <v>0</v>
      </c>
      <c r="X4618">
        <v>0</v>
      </c>
      <c r="Z4618">
        <v>0</v>
      </c>
      <c r="AA4618">
        <v>0</v>
      </c>
      <c r="AB4618">
        <v>0</v>
      </c>
      <c r="AC4618">
        <v>0</v>
      </c>
      <c r="AD4618" t="s">
        <v>8304</v>
      </c>
    </row>
    <row r="4619" spans="1:30" x14ac:dyDescent="0.25">
      <c r="H4619" t="s">
        <v>8305</v>
      </c>
    </row>
    <row r="4620" spans="1:30" x14ac:dyDescent="0.25">
      <c r="A4620">
        <v>2307</v>
      </c>
      <c r="B4620">
        <v>5632</v>
      </c>
      <c r="C4620" t="s">
        <v>8306</v>
      </c>
      <c r="D4620" t="s">
        <v>251</v>
      </c>
      <c r="E4620" t="s">
        <v>1061</v>
      </c>
      <c r="F4620" t="s">
        <v>8307</v>
      </c>
      <c r="G4620" t="str">
        <f>"00155958"</f>
        <v>00155958</v>
      </c>
      <c r="H4620" t="s">
        <v>1235</v>
      </c>
      <c r="I4620">
        <v>0</v>
      </c>
      <c r="J4620">
        <v>0</v>
      </c>
      <c r="K4620">
        <v>0</v>
      </c>
      <c r="L4620">
        <v>0</v>
      </c>
      <c r="M4620">
        <v>0</v>
      </c>
      <c r="N4620">
        <v>30</v>
      </c>
      <c r="O4620">
        <v>0</v>
      </c>
      <c r="P4620">
        <v>0</v>
      </c>
      <c r="Q4620">
        <v>0</v>
      </c>
      <c r="R4620">
        <v>0</v>
      </c>
      <c r="S4620">
        <v>0</v>
      </c>
      <c r="T4620">
        <v>0</v>
      </c>
      <c r="U4620">
        <v>0</v>
      </c>
      <c r="V4620">
        <v>0</v>
      </c>
      <c r="W4620">
        <v>0</v>
      </c>
      <c r="X4620">
        <v>0</v>
      </c>
      <c r="Z4620">
        <v>0</v>
      </c>
      <c r="AA4620">
        <v>0</v>
      </c>
      <c r="AB4620">
        <v>0</v>
      </c>
      <c r="AC4620">
        <v>0</v>
      </c>
      <c r="AD4620" t="s">
        <v>8304</v>
      </c>
    </row>
    <row r="4621" spans="1:30" x14ac:dyDescent="0.25">
      <c r="H4621" t="s">
        <v>8308</v>
      </c>
    </row>
    <row r="4622" spans="1:30" x14ac:dyDescent="0.25">
      <c r="A4622">
        <v>2308</v>
      </c>
      <c r="B4622">
        <v>3321</v>
      </c>
      <c r="C4622" t="s">
        <v>8309</v>
      </c>
      <c r="D4622" t="s">
        <v>143</v>
      </c>
      <c r="E4622" t="s">
        <v>1215</v>
      </c>
      <c r="F4622" t="s">
        <v>8310</v>
      </c>
      <c r="G4622" t="str">
        <f>"00260983"</f>
        <v>00260983</v>
      </c>
      <c r="H4622" t="s">
        <v>1235</v>
      </c>
      <c r="I4622">
        <v>0</v>
      </c>
      <c r="J4622">
        <v>0</v>
      </c>
      <c r="K4622">
        <v>0</v>
      </c>
      <c r="L4622">
        <v>0</v>
      </c>
      <c r="M4622">
        <v>0</v>
      </c>
      <c r="N4622">
        <v>30</v>
      </c>
      <c r="O4622">
        <v>0</v>
      </c>
      <c r="P4622">
        <v>0</v>
      </c>
      <c r="Q4622">
        <v>0</v>
      </c>
      <c r="R4622">
        <v>0</v>
      </c>
      <c r="S4622">
        <v>0</v>
      </c>
      <c r="T4622">
        <v>0</v>
      </c>
      <c r="U4622">
        <v>0</v>
      </c>
      <c r="V4622">
        <v>0</v>
      </c>
      <c r="W4622">
        <v>0</v>
      </c>
      <c r="X4622">
        <v>0</v>
      </c>
      <c r="Z4622">
        <v>2</v>
      </c>
      <c r="AA4622">
        <v>0</v>
      </c>
      <c r="AB4622">
        <v>0</v>
      </c>
      <c r="AC4622">
        <v>0</v>
      </c>
      <c r="AD4622" t="s">
        <v>8304</v>
      </c>
    </row>
    <row r="4623" spans="1:30" x14ac:dyDescent="0.25">
      <c r="H4623" t="s">
        <v>8311</v>
      </c>
    </row>
    <row r="4624" spans="1:30" x14ac:dyDescent="0.25">
      <c r="A4624">
        <v>2309</v>
      </c>
      <c r="B4624">
        <v>3935</v>
      </c>
      <c r="C4624" t="s">
        <v>8312</v>
      </c>
      <c r="D4624" t="s">
        <v>229</v>
      </c>
      <c r="E4624" t="s">
        <v>239</v>
      </c>
      <c r="F4624" t="s">
        <v>8313</v>
      </c>
      <c r="G4624" t="str">
        <f>"00157283"</f>
        <v>00157283</v>
      </c>
      <c r="H4624" t="s">
        <v>1315</v>
      </c>
      <c r="I4624">
        <v>0</v>
      </c>
      <c r="J4624">
        <v>0</v>
      </c>
      <c r="K4624">
        <v>0</v>
      </c>
      <c r="L4624">
        <v>0</v>
      </c>
      <c r="M4624">
        <v>0</v>
      </c>
      <c r="N4624">
        <v>0</v>
      </c>
      <c r="O4624">
        <v>0</v>
      </c>
      <c r="P4624">
        <v>0</v>
      </c>
      <c r="Q4624">
        <v>0</v>
      </c>
      <c r="R4624">
        <v>0</v>
      </c>
      <c r="S4624">
        <v>0</v>
      </c>
      <c r="T4624">
        <v>0</v>
      </c>
      <c r="U4624">
        <v>0</v>
      </c>
      <c r="V4624">
        <v>0</v>
      </c>
      <c r="W4624">
        <v>0</v>
      </c>
      <c r="X4624">
        <v>0</v>
      </c>
      <c r="Z4624">
        <v>0</v>
      </c>
      <c r="AA4624">
        <v>0</v>
      </c>
      <c r="AB4624">
        <v>0</v>
      </c>
      <c r="AC4624">
        <v>0</v>
      </c>
      <c r="AD4624" t="s">
        <v>1315</v>
      </c>
    </row>
    <row r="4625" spans="1:30" x14ac:dyDescent="0.25">
      <c r="H4625" t="s">
        <v>8314</v>
      </c>
    </row>
    <row r="4626" spans="1:30" x14ac:dyDescent="0.25">
      <c r="A4626">
        <v>2310</v>
      </c>
      <c r="B4626">
        <v>1660</v>
      </c>
      <c r="C4626" t="s">
        <v>8315</v>
      </c>
      <c r="D4626" t="s">
        <v>595</v>
      </c>
      <c r="E4626" t="s">
        <v>40</v>
      </c>
      <c r="F4626" t="s">
        <v>8316</v>
      </c>
      <c r="G4626" t="str">
        <f>"00308414"</f>
        <v>00308414</v>
      </c>
      <c r="H4626" t="s">
        <v>1315</v>
      </c>
      <c r="I4626">
        <v>0</v>
      </c>
      <c r="J4626">
        <v>0</v>
      </c>
      <c r="K4626">
        <v>0</v>
      </c>
      <c r="L4626">
        <v>0</v>
      </c>
      <c r="M4626">
        <v>0</v>
      </c>
      <c r="N4626">
        <v>0</v>
      </c>
      <c r="O4626">
        <v>0</v>
      </c>
      <c r="P4626">
        <v>0</v>
      </c>
      <c r="Q4626">
        <v>0</v>
      </c>
      <c r="R4626">
        <v>0</v>
      </c>
      <c r="S4626">
        <v>0</v>
      </c>
      <c r="T4626">
        <v>0</v>
      </c>
      <c r="U4626">
        <v>0</v>
      </c>
      <c r="V4626">
        <v>0</v>
      </c>
      <c r="W4626">
        <v>0</v>
      </c>
      <c r="X4626">
        <v>0</v>
      </c>
      <c r="Z4626">
        <v>0</v>
      </c>
      <c r="AA4626">
        <v>0</v>
      </c>
      <c r="AB4626">
        <v>0</v>
      </c>
      <c r="AC4626">
        <v>0</v>
      </c>
      <c r="AD4626" t="s">
        <v>1315</v>
      </c>
    </row>
    <row r="4627" spans="1:30" x14ac:dyDescent="0.25">
      <c r="H4627" t="s">
        <v>8317</v>
      </c>
    </row>
    <row r="4628" spans="1:30" x14ac:dyDescent="0.25">
      <c r="A4628">
        <v>2311</v>
      </c>
      <c r="B4628">
        <v>4763</v>
      </c>
      <c r="C4628" t="s">
        <v>8318</v>
      </c>
      <c r="D4628" t="s">
        <v>1081</v>
      </c>
      <c r="E4628" t="s">
        <v>47</v>
      </c>
      <c r="F4628" t="s">
        <v>8319</v>
      </c>
      <c r="G4628" t="str">
        <f>"00365752"</f>
        <v>00365752</v>
      </c>
      <c r="H4628" t="s">
        <v>8320</v>
      </c>
      <c r="I4628">
        <v>0</v>
      </c>
      <c r="J4628">
        <v>0</v>
      </c>
      <c r="K4628">
        <v>0</v>
      </c>
      <c r="L4628">
        <v>0</v>
      </c>
      <c r="M4628">
        <v>0</v>
      </c>
      <c r="N4628">
        <v>30</v>
      </c>
      <c r="O4628">
        <v>0</v>
      </c>
      <c r="P4628">
        <v>0</v>
      </c>
      <c r="Q4628">
        <v>0</v>
      </c>
      <c r="R4628">
        <v>0</v>
      </c>
      <c r="S4628">
        <v>0</v>
      </c>
      <c r="T4628">
        <v>0</v>
      </c>
      <c r="U4628">
        <v>0</v>
      </c>
      <c r="V4628">
        <v>6</v>
      </c>
      <c r="W4628">
        <v>42</v>
      </c>
      <c r="X4628">
        <v>0</v>
      </c>
      <c r="Z4628">
        <v>0</v>
      </c>
      <c r="AA4628">
        <v>0</v>
      </c>
      <c r="AB4628">
        <v>0</v>
      </c>
      <c r="AC4628">
        <v>0</v>
      </c>
      <c r="AD4628" t="s">
        <v>8321</v>
      </c>
    </row>
    <row r="4629" spans="1:30" x14ac:dyDescent="0.25">
      <c r="H4629" t="s">
        <v>8322</v>
      </c>
    </row>
    <row r="4630" spans="1:30" x14ac:dyDescent="0.25">
      <c r="A4630">
        <v>2312</v>
      </c>
      <c r="B4630">
        <v>3242</v>
      </c>
      <c r="C4630" t="s">
        <v>8323</v>
      </c>
      <c r="D4630" t="s">
        <v>223</v>
      </c>
      <c r="E4630" t="s">
        <v>591</v>
      </c>
      <c r="F4630" t="s">
        <v>8324</v>
      </c>
      <c r="G4630" t="str">
        <f>"00368286"</f>
        <v>00368286</v>
      </c>
      <c r="H4630">
        <v>627</v>
      </c>
      <c r="I4630">
        <v>0</v>
      </c>
      <c r="J4630">
        <v>0</v>
      </c>
      <c r="K4630">
        <v>0</v>
      </c>
      <c r="L4630">
        <v>0</v>
      </c>
      <c r="M4630">
        <v>0</v>
      </c>
      <c r="N4630">
        <v>70</v>
      </c>
      <c r="O4630">
        <v>0</v>
      </c>
      <c r="P4630">
        <v>0</v>
      </c>
      <c r="Q4630">
        <v>0</v>
      </c>
      <c r="R4630">
        <v>0</v>
      </c>
      <c r="S4630">
        <v>0</v>
      </c>
      <c r="T4630">
        <v>0</v>
      </c>
      <c r="U4630">
        <v>0</v>
      </c>
      <c r="V4630">
        <v>0</v>
      </c>
      <c r="W4630">
        <v>0</v>
      </c>
      <c r="X4630">
        <v>0</v>
      </c>
      <c r="Z4630">
        <v>2</v>
      </c>
      <c r="AA4630">
        <v>0</v>
      </c>
      <c r="AB4630">
        <v>0</v>
      </c>
      <c r="AC4630">
        <v>0</v>
      </c>
      <c r="AD4630">
        <v>697</v>
      </c>
    </row>
    <row r="4631" spans="1:30" x14ac:dyDescent="0.25">
      <c r="H4631" t="s">
        <v>8325</v>
      </c>
    </row>
    <row r="4632" spans="1:30" x14ac:dyDescent="0.25">
      <c r="A4632">
        <v>2313</v>
      </c>
      <c r="B4632">
        <v>2527</v>
      </c>
      <c r="C4632" t="s">
        <v>8326</v>
      </c>
      <c r="D4632" t="s">
        <v>335</v>
      </c>
      <c r="E4632" t="s">
        <v>509</v>
      </c>
      <c r="F4632" t="s">
        <v>8327</v>
      </c>
      <c r="G4632" t="str">
        <f>"00292962"</f>
        <v>00292962</v>
      </c>
      <c r="H4632" t="s">
        <v>3212</v>
      </c>
      <c r="I4632">
        <v>0</v>
      </c>
      <c r="J4632">
        <v>0</v>
      </c>
      <c r="K4632">
        <v>0</v>
      </c>
      <c r="L4632">
        <v>0</v>
      </c>
      <c r="M4632">
        <v>0</v>
      </c>
      <c r="N4632">
        <v>30</v>
      </c>
      <c r="O4632">
        <v>0</v>
      </c>
      <c r="P4632">
        <v>0</v>
      </c>
      <c r="Q4632">
        <v>0</v>
      </c>
      <c r="R4632">
        <v>0</v>
      </c>
      <c r="S4632">
        <v>0</v>
      </c>
      <c r="T4632">
        <v>0</v>
      </c>
      <c r="U4632">
        <v>0</v>
      </c>
      <c r="V4632">
        <v>0</v>
      </c>
      <c r="W4632">
        <v>0</v>
      </c>
      <c r="X4632">
        <v>0</v>
      </c>
      <c r="Z4632">
        <v>0</v>
      </c>
      <c r="AA4632">
        <v>0</v>
      </c>
      <c r="AB4632">
        <v>0</v>
      </c>
      <c r="AC4632">
        <v>0</v>
      </c>
      <c r="AD4632" t="s">
        <v>8328</v>
      </c>
    </row>
    <row r="4633" spans="1:30" x14ac:dyDescent="0.25">
      <c r="H4633" t="s">
        <v>8329</v>
      </c>
    </row>
    <row r="4634" spans="1:30" x14ac:dyDescent="0.25">
      <c r="A4634">
        <v>2314</v>
      </c>
      <c r="B4634">
        <v>3790</v>
      </c>
      <c r="C4634" t="s">
        <v>8330</v>
      </c>
      <c r="D4634" t="s">
        <v>190</v>
      </c>
      <c r="E4634" t="s">
        <v>40</v>
      </c>
      <c r="F4634" t="s">
        <v>8331</v>
      </c>
      <c r="G4634" t="str">
        <f>"00244744"</f>
        <v>00244744</v>
      </c>
      <c r="H4634" t="s">
        <v>436</v>
      </c>
      <c r="I4634">
        <v>0</v>
      </c>
      <c r="J4634">
        <v>0</v>
      </c>
      <c r="K4634">
        <v>0</v>
      </c>
      <c r="L4634">
        <v>0</v>
      </c>
      <c r="M4634">
        <v>0</v>
      </c>
      <c r="N4634">
        <v>30</v>
      </c>
      <c r="O4634">
        <v>0</v>
      </c>
      <c r="P4634">
        <v>0</v>
      </c>
      <c r="Q4634">
        <v>0</v>
      </c>
      <c r="R4634">
        <v>0</v>
      </c>
      <c r="S4634">
        <v>0</v>
      </c>
      <c r="T4634">
        <v>0</v>
      </c>
      <c r="U4634">
        <v>0</v>
      </c>
      <c r="V4634">
        <v>0</v>
      </c>
      <c r="W4634">
        <v>0</v>
      </c>
      <c r="X4634">
        <v>0</v>
      </c>
      <c r="Z4634">
        <v>1</v>
      </c>
      <c r="AA4634">
        <v>0</v>
      </c>
      <c r="AB4634">
        <v>0</v>
      </c>
      <c r="AC4634">
        <v>0</v>
      </c>
      <c r="AD4634" t="s">
        <v>8332</v>
      </c>
    </row>
    <row r="4635" spans="1:30" x14ac:dyDescent="0.25">
      <c r="H4635" t="s">
        <v>8333</v>
      </c>
    </row>
    <row r="4636" spans="1:30" x14ac:dyDescent="0.25">
      <c r="A4636">
        <v>2315</v>
      </c>
      <c r="B4636">
        <v>117</v>
      </c>
      <c r="C4636" t="s">
        <v>8334</v>
      </c>
      <c r="D4636" t="s">
        <v>238</v>
      </c>
      <c r="E4636" t="s">
        <v>99</v>
      </c>
      <c r="F4636" t="s">
        <v>8335</v>
      </c>
      <c r="G4636" t="str">
        <f>"201412004993"</f>
        <v>201412004993</v>
      </c>
      <c r="H4636" t="s">
        <v>5459</v>
      </c>
      <c r="I4636">
        <v>0</v>
      </c>
      <c r="J4636">
        <v>0</v>
      </c>
      <c r="K4636">
        <v>0</v>
      </c>
      <c r="L4636">
        <v>0</v>
      </c>
      <c r="M4636">
        <v>0</v>
      </c>
      <c r="N4636">
        <v>30</v>
      </c>
      <c r="O4636">
        <v>0</v>
      </c>
      <c r="P4636">
        <v>0</v>
      </c>
      <c r="Q4636">
        <v>0</v>
      </c>
      <c r="R4636">
        <v>0</v>
      </c>
      <c r="S4636">
        <v>0</v>
      </c>
      <c r="T4636">
        <v>0</v>
      </c>
      <c r="U4636">
        <v>0</v>
      </c>
      <c r="V4636">
        <v>5</v>
      </c>
      <c r="W4636">
        <v>35</v>
      </c>
      <c r="X4636">
        <v>0</v>
      </c>
      <c r="Z4636">
        <v>0</v>
      </c>
      <c r="AA4636">
        <v>0</v>
      </c>
      <c r="AB4636">
        <v>0</v>
      </c>
      <c r="AC4636">
        <v>0</v>
      </c>
      <c r="AD4636" t="s">
        <v>8336</v>
      </c>
    </row>
    <row r="4637" spans="1:30" x14ac:dyDescent="0.25">
      <c r="H4637" t="s">
        <v>451</v>
      </c>
    </row>
    <row r="4638" spans="1:30" x14ac:dyDescent="0.25">
      <c r="A4638">
        <v>2316</v>
      </c>
      <c r="B4638">
        <v>5237</v>
      </c>
      <c r="C4638" t="s">
        <v>2885</v>
      </c>
      <c r="D4638" t="s">
        <v>420</v>
      </c>
      <c r="E4638" t="s">
        <v>140</v>
      </c>
      <c r="F4638" t="s">
        <v>8337</v>
      </c>
      <c r="G4638" t="str">
        <f>"00342892"</f>
        <v>00342892</v>
      </c>
      <c r="H4638" t="s">
        <v>1251</v>
      </c>
      <c r="I4638">
        <v>0</v>
      </c>
      <c r="J4638">
        <v>0</v>
      </c>
      <c r="K4638">
        <v>0</v>
      </c>
      <c r="L4638">
        <v>0</v>
      </c>
      <c r="M4638">
        <v>0</v>
      </c>
      <c r="N4638">
        <v>0</v>
      </c>
      <c r="O4638">
        <v>0</v>
      </c>
      <c r="P4638">
        <v>0</v>
      </c>
      <c r="Q4638">
        <v>0</v>
      </c>
      <c r="R4638">
        <v>0</v>
      </c>
      <c r="S4638">
        <v>0</v>
      </c>
      <c r="T4638">
        <v>0</v>
      </c>
      <c r="U4638">
        <v>0</v>
      </c>
      <c r="V4638">
        <v>0</v>
      </c>
      <c r="W4638">
        <v>0</v>
      </c>
      <c r="X4638">
        <v>0</v>
      </c>
      <c r="Z4638">
        <v>0</v>
      </c>
      <c r="AA4638">
        <v>0</v>
      </c>
      <c r="AB4638">
        <v>0</v>
      </c>
      <c r="AC4638">
        <v>0</v>
      </c>
      <c r="AD4638" t="s">
        <v>1251</v>
      </c>
    </row>
    <row r="4639" spans="1:30" x14ac:dyDescent="0.25">
      <c r="H4639" t="s">
        <v>8338</v>
      </c>
    </row>
    <row r="4640" spans="1:30" x14ac:dyDescent="0.25">
      <c r="A4640">
        <v>2317</v>
      </c>
      <c r="B4640">
        <v>512</v>
      </c>
      <c r="C4640" t="s">
        <v>8339</v>
      </c>
      <c r="D4640" t="s">
        <v>98</v>
      </c>
      <c r="E4640" t="s">
        <v>40</v>
      </c>
      <c r="F4640" t="s">
        <v>8340</v>
      </c>
      <c r="G4640" t="str">
        <f>"201511009507"</f>
        <v>201511009507</v>
      </c>
      <c r="H4640" t="s">
        <v>1251</v>
      </c>
      <c r="I4640">
        <v>0</v>
      </c>
      <c r="J4640">
        <v>0</v>
      </c>
      <c r="K4640">
        <v>0</v>
      </c>
      <c r="L4640">
        <v>0</v>
      </c>
      <c r="M4640">
        <v>0</v>
      </c>
      <c r="N4640">
        <v>0</v>
      </c>
      <c r="O4640">
        <v>0</v>
      </c>
      <c r="P4640">
        <v>0</v>
      </c>
      <c r="Q4640">
        <v>0</v>
      </c>
      <c r="R4640">
        <v>0</v>
      </c>
      <c r="S4640">
        <v>0</v>
      </c>
      <c r="T4640">
        <v>0</v>
      </c>
      <c r="U4640">
        <v>0</v>
      </c>
      <c r="V4640">
        <v>0</v>
      </c>
      <c r="W4640">
        <v>0</v>
      </c>
      <c r="X4640">
        <v>0</v>
      </c>
      <c r="Z4640">
        <v>0</v>
      </c>
      <c r="AA4640">
        <v>0</v>
      </c>
      <c r="AB4640">
        <v>0</v>
      </c>
      <c r="AC4640">
        <v>0</v>
      </c>
      <c r="AD4640" t="s">
        <v>1251</v>
      </c>
    </row>
    <row r="4641" spans="1:30" x14ac:dyDescent="0.25">
      <c r="H4641" t="s">
        <v>8341</v>
      </c>
    </row>
    <row r="4642" spans="1:30" x14ac:dyDescent="0.25">
      <c r="A4642">
        <v>2318</v>
      </c>
      <c r="B4642">
        <v>5700</v>
      </c>
      <c r="C4642" t="s">
        <v>6072</v>
      </c>
      <c r="D4642" t="s">
        <v>1857</v>
      </c>
      <c r="E4642" t="s">
        <v>115</v>
      </c>
      <c r="F4642" t="s">
        <v>8342</v>
      </c>
      <c r="G4642" t="str">
        <f>"00159813"</f>
        <v>00159813</v>
      </c>
      <c r="H4642" t="s">
        <v>5946</v>
      </c>
      <c r="I4642">
        <v>0</v>
      </c>
      <c r="J4642">
        <v>0</v>
      </c>
      <c r="K4642">
        <v>0</v>
      </c>
      <c r="L4642">
        <v>0</v>
      </c>
      <c r="M4642">
        <v>0</v>
      </c>
      <c r="N4642">
        <v>30</v>
      </c>
      <c r="O4642">
        <v>0</v>
      </c>
      <c r="P4642">
        <v>0</v>
      </c>
      <c r="Q4642">
        <v>0</v>
      </c>
      <c r="R4642">
        <v>0</v>
      </c>
      <c r="S4642">
        <v>0</v>
      </c>
      <c r="T4642">
        <v>0</v>
      </c>
      <c r="U4642">
        <v>0</v>
      </c>
      <c r="V4642">
        <v>5</v>
      </c>
      <c r="W4642">
        <v>35</v>
      </c>
      <c r="X4642">
        <v>0</v>
      </c>
      <c r="Z4642">
        <v>0</v>
      </c>
      <c r="AA4642">
        <v>0</v>
      </c>
      <c r="AB4642">
        <v>0</v>
      </c>
      <c r="AC4642">
        <v>0</v>
      </c>
      <c r="AD4642" t="s">
        <v>8343</v>
      </c>
    </row>
    <row r="4643" spans="1:30" x14ac:dyDescent="0.25">
      <c r="H4643" t="s">
        <v>8344</v>
      </c>
    </row>
    <row r="4644" spans="1:30" x14ac:dyDescent="0.25">
      <c r="A4644">
        <v>2319</v>
      </c>
      <c r="B4644">
        <v>1135</v>
      </c>
      <c r="C4644" t="s">
        <v>8345</v>
      </c>
      <c r="D4644" t="s">
        <v>223</v>
      </c>
      <c r="E4644" t="s">
        <v>47</v>
      </c>
      <c r="F4644" t="s">
        <v>8346</v>
      </c>
      <c r="G4644" t="str">
        <f>"201410012750"</f>
        <v>201410012750</v>
      </c>
      <c r="H4644" t="s">
        <v>1511</v>
      </c>
      <c r="I4644">
        <v>0</v>
      </c>
      <c r="J4644">
        <v>0</v>
      </c>
      <c r="K4644">
        <v>0</v>
      </c>
      <c r="L4644">
        <v>0</v>
      </c>
      <c r="M4644">
        <v>0</v>
      </c>
      <c r="N4644">
        <v>0</v>
      </c>
      <c r="O4644">
        <v>0</v>
      </c>
      <c r="P4644">
        <v>0</v>
      </c>
      <c r="Q4644">
        <v>0</v>
      </c>
      <c r="R4644">
        <v>0</v>
      </c>
      <c r="S4644">
        <v>0</v>
      </c>
      <c r="T4644">
        <v>0</v>
      </c>
      <c r="U4644">
        <v>0</v>
      </c>
      <c r="V4644">
        <v>0</v>
      </c>
      <c r="W4644">
        <v>0</v>
      </c>
      <c r="X4644">
        <v>0</v>
      </c>
      <c r="Z4644">
        <v>0</v>
      </c>
      <c r="AA4644">
        <v>0</v>
      </c>
      <c r="AB4644">
        <v>0</v>
      </c>
      <c r="AC4644">
        <v>0</v>
      </c>
      <c r="AD4644" t="s">
        <v>1511</v>
      </c>
    </row>
    <row r="4645" spans="1:30" x14ac:dyDescent="0.25">
      <c r="H4645" t="s">
        <v>8347</v>
      </c>
    </row>
    <row r="4646" spans="1:30" x14ac:dyDescent="0.25">
      <c r="A4646">
        <v>2320</v>
      </c>
      <c r="B4646">
        <v>5194</v>
      </c>
      <c r="C4646" t="s">
        <v>8348</v>
      </c>
      <c r="D4646" t="s">
        <v>99</v>
      </c>
      <c r="E4646" t="s">
        <v>39</v>
      </c>
      <c r="F4646" t="s">
        <v>8349</v>
      </c>
      <c r="G4646" t="str">
        <f>"00087276"</f>
        <v>00087276</v>
      </c>
      <c r="H4646" t="s">
        <v>1511</v>
      </c>
      <c r="I4646">
        <v>0</v>
      </c>
      <c r="J4646">
        <v>0</v>
      </c>
      <c r="K4646">
        <v>0</v>
      </c>
      <c r="L4646">
        <v>0</v>
      </c>
      <c r="M4646">
        <v>0</v>
      </c>
      <c r="N4646">
        <v>0</v>
      </c>
      <c r="O4646">
        <v>0</v>
      </c>
      <c r="P4646">
        <v>0</v>
      </c>
      <c r="Q4646">
        <v>0</v>
      </c>
      <c r="R4646">
        <v>0</v>
      </c>
      <c r="S4646">
        <v>0</v>
      </c>
      <c r="T4646">
        <v>0</v>
      </c>
      <c r="U4646">
        <v>0</v>
      </c>
      <c r="V4646">
        <v>0</v>
      </c>
      <c r="W4646">
        <v>0</v>
      </c>
      <c r="X4646">
        <v>0</v>
      </c>
      <c r="Z4646">
        <v>0</v>
      </c>
      <c r="AA4646">
        <v>0</v>
      </c>
      <c r="AB4646">
        <v>0</v>
      </c>
      <c r="AC4646">
        <v>0</v>
      </c>
      <c r="AD4646" t="s">
        <v>1511</v>
      </c>
    </row>
    <row r="4647" spans="1:30" x14ac:dyDescent="0.25">
      <c r="H4647" t="s">
        <v>8350</v>
      </c>
    </row>
    <row r="4648" spans="1:30" x14ac:dyDescent="0.25">
      <c r="A4648">
        <v>2321</v>
      </c>
      <c r="B4648">
        <v>2767</v>
      </c>
      <c r="C4648" t="s">
        <v>3298</v>
      </c>
      <c r="D4648" t="s">
        <v>150</v>
      </c>
      <c r="E4648" t="s">
        <v>107</v>
      </c>
      <c r="F4648" t="s">
        <v>8351</v>
      </c>
      <c r="G4648" t="str">
        <f>"00165737"</f>
        <v>00165737</v>
      </c>
      <c r="H4648">
        <v>693</v>
      </c>
      <c r="I4648">
        <v>0</v>
      </c>
      <c r="J4648">
        <v>0</v>
      </c>
      <c r="K4648">
        <v>0</v>
      </c>
      <c r="L4648">
        <v>0</v>
      </c>
      <c r="M4648">
        <v>0</v>
      </c>
      <c r="N4648">
        <v>0</v>
      </c>
      <c r="O4648">
        <v>0</v>
      </c>
      <c r="P4648">
        <v>0</v>
      </c>
      <c r="Q4648">
        <v>0</v>
      </c>
      <c r="R4648">
        <v>0</v>
      </c>
      <c r="S4648">
        <v>0</v>
      </c>
      <c r="T4648">
        <v>0</v>
      </c>
      <c r="U4648">
        <v>0</v>
      </c>
      <c r="V4648">
        <v>0</v>
      </c>
      <c r="W4648">
        <v>0</v>
      </c>
      <c r="X4648">
        <v>0</v>
      </c>
      <c r="Z4648">
        <v>2</v>
      </c>
      <c r="AA4648">
        <v>0</v>
      </c>
      <c r="AB4648">
        <v>0</v>
      </c>
      <c r="AC4648">
        <v>0</v>
      </c>
      <c r="AD4648">
        <v>693</v>
      </c>
    </row>
    <row r="4649" spans="1:30" x14ac:dyDescent="0.25">
      <c r="H4649" t="s">
        <v>8352</v>
      </c>
    </row>
    <row r="4650" spans="1:30" x14ac:dyDescent="0.25">
      <c r="A4650">
        <v>2322</v>
      </c>
      <c r="B4650">
        <v>682</v>
      </c>
      <c r="C4650" t="s">
        <v>8353</v>
      </c>
      <c r="D4650" t="s">
        <v>162</v>
      </c>
      <c r="E4650" t="s">
        <v>40</v>
      </c>
      <c r="F4650" t="s">
        <v>8354</v>
      </c>
      <c r="G4650" t="str">
        <f>"200801011833"</f>
        <v>200801011833</v>
      </c>
      <c r="H4650">
        <v>693</v>
      </c>
      <c r="I4650">
        <v>0</v>
      </c>
      <c r="J4650">
        <v>0</v>
      </c>
      <c r="K4650">
        <v>0</v>
      </c>
      <c r="L4650">
        <v>0</v>
      </c>
      <c r="M4650">
        <v>0</v>
      </c>
      <c r="N4650">
        <v>0</v>
      </c>
      <c r="O4650">
        <v>0</v>
      </c>
      <c r="P4650">
        <v>0</v>
      </c>
      <c r="Q4650">
        <v>0</v>
      </c>
      <c r="R4650">
        <v>0</v>
      </c>
      <c r="S4650">
        <v>0</v>
      </c>
      <c r="T4650">
        <v>0</v>
      </c>
      <c r="U4650">
        <v>0</v>
      </c>
      <c r="V4650">
        <v>0</v>
      </c>
      <c r="W4650">
        <v>0</v>
      </c>
      <c r="X4650">
        <v>0</v>
      </c>
      <c r="Z4650">
        <v>0</v>
      </c>
      <c r="AA4650">
        <v>0</v>
      </c>
      <c r="AB4650">
        <v>0</v>
      </c>
      <c r="AC4650">
        <v>0</v>
      </c>
      <c r="AD4650">
        <v>693</v>
      </c>
    </row>
    <row r="4651" spans="1:30" x14ac:dyDescent="0.25">
      <c r="H4651">
        <v>1252</v>
      </c>
    </row>
    <row r="4652" spans="1:30" x14ac:dyDescent="0.25">
      <c r="A4652">
        <v>2323</v>
      </c>
      <c r="B4652">
        <v>2338</v>
      </c>
      <c r="C4652" t="s">
        <v>8355</v>
      </c>
      <c r="D4652" t="s">
        <v>183</v>
      </c>
      <c r="E4652" t="s">
        <v>2405</v>
      </c>
      <c r="F4652" t="s">
        <v>8356</v>
      </c>
      <c r="G4652" t="str">
        <f>"00153747"</f>
        <v>00153747</v>
      </c>
      <c r="H4652" t="s">
        <v>3994</v>
      </c>
      <c r="I4652">
        <v>0</v>
      </c>
      <c r="J4652">
        <v>0</v>
      </c>
      <c r="K4652">
        <v>0</v>
      </c>
      <c r="L4652">
        <v>0</v>
      </c>
      <c r="M4652">
        <v>0</v>
      </c>
      <c r="N4652">
        <v>50</v>
      </c>
      <c r="O4652">
        <v>0</v>
      </c>
      <c r="P4652">
        <v>0</v>
      </c>
      <c r="Q4652">
        <v>0</v>
      </c>
      <c r="R4652">
        <v>0</v>
      </c>
      <c r="S4652">
        <v>0</v>
      </c>
      <c r="T4652">
        <v>0</v>
      </c>
      <c r="U4652">
        <v>0</v>
      </c>
      <c r="V4652">
        <v>0</v>
      </c>
      <c r="W4652">
        <v>0</v>
      </c>
      <c r="X4652">
        <v>0</v>
      </c>
      <c r="Z4652">
        <v>0</v>
      </c>
      <c r="AA4652">
        <v>0</v>
      </c>
      <c r="AB4652">
        <v>0</v>
      </c>
      <c r="AC4652">
        <v>0</v>
      </c>
      <c r="AD4652" t="s">
        <v>8357</v>
      </c>
    </row>
    <row r="4653" spans="1:30" x14ac:dyDescent="0.25">
      <c r="H4653" t="s">
        <v>8358</v>
      </c>
    </row>
    <row r="4654" spans="1:30" x14ac:dyDescent="0.25">
      <c r="A4654">
        <v>2324</v>
      </c>
      <c r="B4654">
        <v>4882</v>
      </c>
      <c r="C4654" t="s">
        <v>8359</v>
      </c>
      <c r="D4654" t="s">
        <v>8360</v>
      </c>
      <c r="E4654" t="s">
        <v>107</v>
      </c>
      <c r="F4654" t="s">
        <v>8361</v>
      </c>
      <c r="G4654" t="str">
        <f>"00353612"</f>
        <v>00353612</v>
      </c>
      <c r="H4654" t="s">
        <v>7965</v>
      </c>
      <c r="I4654">
        <v>0</v>
      </c>
      <c r="J4654">
        <v>0</v>
      </c>
      <c r="K4654">
        <v>0</v>
      </c>
      <c r="L4654">
        <v>0</v>
      </c>
      <c r="M4654">
        <v>0</v>
      </c>
      <c r="N4654">
        <v>30</v>
      </c>
      <c r="O4654">
        <v>0</v>
      </c>
      <c r="P4654">
        <v>0</v>
      </c>
      <c r="Q4654">
        <v>0</v>
      </c>
      <c r="R4654">
        <v>0</v>
      </c>
      <c r="S4654">
        <v>0</v>
      </c>
      <c r="T4654">
        <v>0</v>
      </c>
      <c r="U4654">
        <v>0</v>
      </c>
      <c r="V4654">
        <v>6</v>
      </c>
      <c r="W4654">
        <v>42</v>
      </c>
      <c r="X4654">
        <v>0</v>
      </c>
      <c r="Z4654">
        <v>0</v>
      </c>
      <c r="AA4654">
        <v>0</v>
      </c>
      <c r="AB4654">
        <v>0</v>
      </c>
      <c r="AC4654">
        <v>0</v>
      </c>
      <c r="AD4654" t="s">
        <v>8357</v>
      </c>
    </row>
    <row r="4655" spans="1:30" x14ac:dyDescent="0.25">
      <c r="H4655" t="s">
        <v>8362</v>
      </c>
    </row>
    <row r="4656" spans="1:30" x14ac:dyDescent="0.25">
      <c r="A4656">
        <v>2325</v>
      </c>
      <c r="B4656">
        <v>3515</v>
      </c>
      <c r="C4656" t="s">
        <v>8363</v>
      </c>
      <c r="D4656" t="s">
        <v>115</v>
      </c>
      <c r="E4656" t="s">
        <v>162</v>
      </c>
      <c r="F4656" t="s">
        <v>8364</v>
      </c>
      <c r="G4656" t="str">
        <f>"00345297"</f>
        <v>00345297</v>
      </c>
      <c r="H4656" t="s">
        <v>3427</v>
      </c>
      <c r="I4656">
        <v>0</v>
      </c>
      <c r="J4656">
        <v>0</v>
      </c>
      <c r="K4656">
        <v>0</v>
      </c>
      <c r="L4656">
        <v>0</v>
      </c>
      <c r="M4656">
        <v>0</v>
      </c>
      <c r="N4656">
        <v>0</v>
      </c>
      <c r="O4656">
        <v>0</v>
      </c>
      <c r="P4656">
        <v>0</v>
      </c>
      <c r="Q4656">
        <v>0</v>
      </c>
      <c r="R4656">
        <v>0</v>
      </c>
      <c r="S4656">
        <v>0</v>
      </c>
      <c r="T4656">
        <v>0</v>
      </c>
      <c r="U4656">
        <v>0</v>
      </c>
      <c r="V4656">
        <v>0</v>
      </c>
      <c r="W4656">
        <v>0</v>
      </c>
      <c r="X4656">
        <v>0</v>
      </c>
      <c r="Z4656">
        <v>2</v>
      </c>
      <c r="AA4656">
        <v>0</v>
      </c>
      <c r="AB4656">
        <v>0</v>
      </c>
      <c r="AC4656">
        <v>0</v>
      </c>
      <c r="AD4656" t="s">
        <v>3427</v>
      </c>
    </row>
    <row r="4657" spans="1:30" x14ac:dyDescent="0.25">
      <c r="H4657" t="s">
        <v>1585</v>
      </c>
    </row>
    <row r="4658" spans="1:30" x14ac:dyDescent="0.25">
      <c r="A4658">
        <v>2326</v>
      </c>
      <c r="B4658">
        <v>6270</v>
      </c>
      <c r="C4658" t="s">
        <v>8365</v>
      </c>
      <c r="D4658" t="s">
        <v>8366</v>
      </c>
      <c r="E4658" t="s">
        <v>468</v>
      </c>
      <c r="F4658" t="s">
        <v>8367</v>
      </c>
      <c r="G4658" t="str">
        <f>"00322103"</f>
        <v>00322103</v>
      </c>
      <c r="H4658" t="s">
        <v>642</v>
      </c>
      <c r="I4658">
        <v>0</v>
      </c>
      <c r="J4658">
        <v>0</v>
      </c>
      <c r="K4658">
        <v>0</v>
      </c>
      <c r="L4658">
        <v>0</v>
      </c>
      <c r="M4658">
        <v>0</v>
      </c>
      <c r="N4658">
        <v>30</v>
      </c>
      <c r="O4658">
        <v>0</v>
      </c>
      <c r="P4658">
        <v>0</v>
      </c>
      <c r="Q4658">
        <v>0</v>
      </c>
      <c r="R4658">
        <v>0</v>
      </c>
      <c r="S4658">
        <v>0</v>
      </c>
      <c r="T4658">
        <v>0</v>
      </c>
      <c r="U4658">
        <v>0</v>
      </c>
      <c r="V4658">
        <v>0</v>
      </c>
      <c r="W4658">
        <v>0</v>
      </c>
      <c r="X4658">
        <v>0</v>
      </c>
      <c r="Z4658">
        <v>0</v>
      </c>
      <c r="AA4658">
        <v>0</v>
      </c>
      <c r="AB4658">
        <v>0</v>
      </c>
      <c r="AC4658">
        <v>0</v>
      </c>
      <c r="AD4658" t="s">
        <v>8368</v>
      </c>
    </row>
    <row r="4659" spans="1:30" x14ac:dyDescent="0.25">
      <c r="H4659" t="s">
        <v>8369</v>
      </c>
    </row>
    <row r="4660" spans="1:30" x14ac:dyDescent="0.25">
      <c r="A4660">
        <v>2327</v>
      </c>
      <c r="B4660">
        <v>1747</v>
      </c>
      <c r="C4660" t="s">
        <v>1493</v>
      </c>
      <c r="D4660" t="s">
        <v>8370</v>
      </c>
      <c r="E4660" t="s">
        <v>162</v>
      </c>
      <c r="F4660" t="s">
        <v>8371</v>
      </c>
      <c r="G4660" t="str">
        <f>"00318124"</f>
        <v>00318124</v>
      </c>
      <c r="H4660">
        <v>660</v>
      </c>
      <c r="I4660">
        <v>0</v>
      </c>
      <c r="J4660">
        <v>0</v>
      </c>
      <c r="K4660">
        <v>0</v>
      </c>
      <c r="L4660">
        <v>0</v>
      </c>
      <c r="M4660">
        <v>0</v>
      </c>
      <c r="N4660">
        <v>30</v>
      </c>
      <c r="O4660">
        <v>0</v>
      </c>
      <c r="P4660">
        <v>0</v>
      </c>
      <c r="Q4660">
        <v>0</v>
      </c>
      <c r="R4660">
        <v>0</v>
      </c>
      <c r="S4660">
        <v>0</v>
      </c>
      <c r="T4660">
        <v>0</v>
      </c>
      <c r="U4660">
        <v>0</v>
      </c>
      <c r="V4660">
        <v>0</v>
      </c>
      <c r="W4660">
        <v>0</v>
      </c>
      <c r="X4660">
        <v>0</v>
      </c>
      <c r="Z4660">
        <v>0</v>
      </c>
      <c r="AA4660">
        <v>0</v>
      </c>
      <c r="AB4660">
        <v>0</v>
      </c>
      <c r="AC4660">
        <v>0</v>
      </c>
      <c r="AD4660">
        <v>690</v>
      </c>
    </row>
    <row r="4661" spans="1:30" x14ac:dyDescent="0.25">
      <c r="H4661" t="s">
        <v>1697</v>
      </c>
    </row>
    <row r="4662" spans="1:30" x14ac:dyDescent="0.25">
      <c r="A4662">
        <v>2328</v>
      </c>
      <c r="B4662">
        <v>1735</v>
      </c>
      <c r="C4662" t="s">
        <v>8372</v>
      </c>
      <c r="D4662" t="s">
        <v>182</v>
      </c>
      <c r="E4662" t="s">
        <v>47</v>
      </c>
      <c r="F4662" t="s">
        <v>8373</v>
      </c>
      <c r="G4662" t="str">
        <f>"00304103"</f>
        <v>00304103</v>
      </c>
      <c r="H4662" t="s">
        <v>5439</v>
      </c>
      <c r="I4662">
        <v>0</v>
      </c>
      <c r="J4662">
        <v>0</v>
      </c>
      <c r="K4662">
        <v>0</v>
      </c>
      <c r="L4662">
        <v>0</v>
      </c>
      <c r="M4662">
        <v>0</v>
      </c>
      <c r="N4662">
        <v>0</v>
      </c>
      <c r="O4662">
        <v>0</v>
      </c>
      <c r="P4662">
        <v>0</v>
      </c>
      <c r="Q4662">
        <v>0</v>
      </c>
      <c r="R4662">
        <v>0</v>
      </c>
      <c r="S4662">
        <v>0</v>
      </c>
      <c r="T4662">
        <v>0</v>
      </c>
      <c r="U4662">
        <v>0</v>
      </c>
      <c r="V4662">
        <v>6</v>
      </c>
      <c r="W4662">
        <v>42</v>
      </c>
      <c r="X4662">
        <v>0</v>
      </c>
      <c r="Z4662">
        <v>1</v>
      </c>
      <c r="AA4662">
        <v>0</v>
      </c>
      <c r="AB4662">
        <v>0</v>
      </c>
      <c r="AC4662">
        <v>0</v>
      </c>
      <c r="AD4662" t="s">
        <v>8374</v>
      </c>
    </row>
    <row r="4663" spans="1:30" x14ac:dyDescent="0.25">
      <c r="H4663" t="s">
        <v>521</v>
      </c>
    </row>
    <row r="4664" spans="1:30" x14ac:dyDescent="0.25">
      <c r="A4664">
        <v>2329</v>
      </c>
      <c r="B4664">
        <v>3187</v>
      </c>
      <c r="C4664" t="s">
        <v>1179</v>
      </c>
      <c r="D4664" t="s">
        <v>46</v>
      </c>
      <c r="E4664" t="s">
        <v>40</v>
      </c>
      <c r="F4664" t="s">
        <v>8375</v>
      </c>
      <c r="G4664" t="str">
        <f>"201604001776"</f>
        <v>201604001776</v>
      </c>
      <c r="H4664" t="s">
        <v>1294</v>
      </c>
      <c r="I4664">
        <v>0</v>
      </c>
      <c r="J4664">
        <v>0</v>
      </c>
      <c r="K4664">
        <v>0</v>
      </c>
      <c r="L4664">
        <v>0</v>
      </c>
      <c r="M4664">
        <v>0</v>
      </c>
      <c r="N4664">
        <v>0</v>
      </c>
      <c r="O4664">
        <v>0</v>
      </c>
      <c r="P4664">
        <v>0</v>
      </c>
      <c r="Q4664">
        <v>0</v>
      </c>
      <c r="R4664">
        <v>0</v>
      </c>
      <c r="S4664">
        <v>0</v>
      </c>
      <c r="T4664">
        <v>0</v>
      </c>
      <c r="U4664">
        <v>0</v>
      </c>
      <c r="V4664">
        <v>0</v>
      </c>
      <c r="W4664">
        <v>0</v>
      </c>
      <c r="X4664">
        <v>0</v>
      </c>
      <c r="Z4664">
        <v>0</v>
      </c>
      <c r="AA4664">
        <v>0</v>
      </c>
      <c r="AB4664">
        <v>0</v>
      </c>
      <c r="AC4664">
        <v>0</v>
      </c>
      <c r="AD4664" t="s">
        <v>1294</v>
      </c>
    </row>
    <row r="4665" spans="1:30" x14ac:dyDescent="0.25">
      <c r="H4665" t="s">
        <v>8376</v>
      </c>
    </row>
    <row r="4666" spans="1:30" x14ac:dyDescent="0.25">
      <c r="A4666">
        <v>2330</v>
      </c>
      <c r="B4666">
        <v>4841</v>
      </c>
      <c r="C4666" t="s">
        <v>6982</v>
      </c>
      <c r="D4666" t="s">
        <v>830</v>
      </c>
      <c r="E4666" t="s">
        <v>162</v>
      </c>
      <c r="F4666" t="s">
        <v>8377</v>
      </c>
      <c r="G4666" t="str">
        <f>"00358576"</f>
        <v>00358576</v>
      </c>
      <c r="H4666" t="s">
        <v>4706</v>
      </c>
      <c r="I4666">
        <v>0</v>
      </c>
      <c r="J4666">
        <v>0</v>
      </c>
      <c r="K4666">
        <v>0</v>
      </c>
      <c r="L4666">
        <v>0</v>
      </c>
      <c r="M4666">
        <v>0</v>
      </c>
      <c r="N4666">
        <v>50</v>
      </c>
      <c r="O4666">
        <v>0</v>
      </c>
      <c r="P4666">
        <v>0</v>
      </c>
      <c r="Q4666">
        <v>0</v>
      </c>
      <c r="R4666">
        <v>0</v>
      </c>
      <c r="S4666">
        <v>0</v>
      </c>
      <c r="T4666">
        <v>0</v>
      </c>
      <c r="U4666">
        <v>0</v>
      </c>
      <c r="V4666">
        <v>0</v>
      </c>
      <c r="W4666">
        <v>0</v>
      </c>
      <c r="X4666">
        <v>0</v>
      </c>
      <c r="Z4666">
        <v>0</v>
      </c>
      <c r="AA4666">
        <v>0</v>
      </c>
      <c r="AB4666">
        <v>0</v>
      </c>
      <c r="AC4666">
        <v>0</v>
      </c>
      <c r="AD4666" t="s">
        <v>8378</v>
      </c>
    </row>
    <row r="4667" spans="1:30" x14ac:dyDescent="0.25">
      <c r="H4667">
        <v>1250</v>
      </c>
    </row>
    <row r="4668" spans="1:30" x14ac:dyDescent="0.25">
      <c r="A4668">
        <v>2331</v>
      </c>
      <c r="B4668">
        <v>465</v>
      </c>
      <c r="C4668" t="s">
        <v>8379</v>
      </c>
      <c r="D4668" t="s">
        <v>8380</v>
      </c>
      <c r="E4668" t="s">
        <v>8381</v>
      </c>
      <c r="F4668" t="s">
        <v>8382</v>
      </c>
      <c r="G4668" t="str">
        <f>"00152330"</f>
        <v>00152330</v>
      </c>
      <c r="H4668" t="s">
        <v>4718</v>
      </c>
      <c r="I4668">
        <v>0</v>
      </c>
      <c r="J4668">
        <v>0</v>
      </c>
      <c r="K4668">
        <v>0</v>
      </c>
      <c r="L4668">
        <v>0</v>
      </c>
      <c r="M4668">
        <v>0</v>
      </c>
      <c r="N4668">
        <v>30</v>
      </c>
      <c r="O4668">
        <v>0</v>
      </c>
      <c r="P4668">
        <v>0</v>
      </c>
      <c r="Q4668">
        <v>0</v>
      </c>
      <c r="R4668">
        <v>0</v>
      </c>
      <c r="S4668">
        <v>0</v>
      </c>
      <c r="T4668">
        <v>0</v>
      </c>
      <c r="U4668">
        <v>0</v>
      </c>
      <c r="V4668">
        <v>0</v>
      </c>
      <c r="W4668">
        <v>0</v>
      </c>
      <c r="X4668">
        <v>0</v>
      </c>
      <c r="Z4668">
        <v>0</v>
      </c>
      <c r="AA4668">
        <v>0</v>
      </c>
      <c r="AB4668">
        <v>0</v>
      </c>
      <c r="AC4668">
        <v>0</v>
      </c>
      <c r="AD4668" t="s">
        <v>8383</v>
      </c>
    </row>
    <row r="4669" spans="1:30" x14ac:dyDescent="0.25">
      <c r="H4669" t="s">
        <v>8384</v>
      </c>
    </row>
    <row r="4670" spans="1:30" x14ac:dyDescent="0.25">
      <c r="A4670">
        <v>2332</v>
      </c>
      <c r="B4670">
        <v>4992</v>
      </c>
      <c r="C4670" t="s">
        <v>8385</v>
      </c>
      <c r="D4670" t="s">
        <v>526</v>
      </c>
      <c r="E4670" t="s">
        <v>162</v>
      </c>
      <c r="F4670" t="s">
        <v>8386</v>
      </c>
      <c r="G4670" t="str">
        <f>"00269867"</f>
        <v>00269867</v>
      </c>
      <c r="H4670" t="s">
        <v>4718</v>
      </c>
      <c r="I4670">
        <v>0</v>
      </c>
      <c r="J4670">
        <v>0</v>
      </c>
      <c r="K4670">
        <v>0</v>
      </c>
      <c r="L4670">
        <v>0</v>
      </c>
      <c r="M4670">
        <v>0</v>
      </c>
      <c r="N4670">
        <v>30</v>
      </c>
      <c r="O4670">
        <v>0</v>
      </c>
      <c r="P4670">
        <v>0</v>
      </c>
      <c r="Q4670">
        <v>0</v>
      </c>
      <c r="R4670">
        <v>0</v>
      </c>
      <c r="S4670">
        <v>0</v>
      </c>
      <c r="T4670">
        <v>0</v>
      </c>
      <c r="U4670">
        <v>0</v>
      </c>
      <c r="V4670">
        <v>0</v>
      </c>
      <c r="W4670">
        <v>0</v>
      </c>
      <c r="X4670">
        <v>0</v>
      </c>
      <c r="Z4670">
        <v>2</v>
      </c>
      <c r="AA4670">
        <v>0</v>
      </c>
      <c r="AB4670">
        <v>0</v>
      </c>
      <c r="AC4670">
        <v>0</v>
      </c>
      <c r="AD4670" t="s">
        <v>8383</v>
      </c>
    </row>
    <row r="4671" spans="1:30" x14ac:dyDescent="0.25">
      <c r="H4671" t="s">
        <v>8387</v>
      </c>
    </row>
    <row r="4672" spans="1:30" x14ac:dyDescent="0.25">
      <c r="A4672">
        <v>2333</v>
      </c>
      <c r="B4672">
        <v>2599</v>
      </c>
      <c r="C4672" t="s">
        <v>1363</v>
      </c>
      <c r="D4672" t="s">
        <v>46</v>
      </c>
      <c r="E4672" t="s">
        <v>752</v>
      </c>
      <c r="F4672" t="s">
        <v>8388</v>
      </c>
      <c r="G4672" t="str">
        <f>"00150012"</f>
        <v>00150012</v>
      </c>
      <c r="H4672" t="s">
        <v>422</v>
      </c>
      <c r="I4672">
        <v>0</v>
      </c>
      <c r="J4672">
        <v>0</v>
      </c>
      <c r="K4672">
        <v>0</v>
      </c>
      <c r="L4672">
        <v>0</v>
      </c>
      <c r="M4672">
        <v>0</v>
      </c>
      <c r="N4672">
        <v>0</v>
      </c>
      <c r="O4672">
        <v>0</v>
      </c>
      <c r="P4672">
        <v>0</v>
      </c>
      <c r="Q4672">
        <v>0</v>
      </c>
      <c r="R4672">
        <v>0</v>
      </c>
      <c r="S4672">
        <v>0</v>
      </c>
      <c r="T4672">
        <v>0</v>
      </c>
      <c r="U4672">
        <v>0</v>
      </c>
      <c r="V4672">
        <v>0</v>
      </c>
      <c r="W4672">
        <v>0</v>
      </c>
      <c r="X4672">
        <v>0</v>
      </c>
      <c r="Z4672">
        <v>0</v>
      </c>
      <c r="AA4672">
        <v>0</v>
      </c>
      <c r="AB4672">
        <v>0</v>
      </c>
      <c r="AC4672">
        <v>0</v>
      </c>
      <c r="AD4672" t="s">
        <v>422</v>
      </c>
    </row>
    <row r="4673" spans="1:30" x14ac:dyDescent="0.25">
      <c r="H4673" t="s">
        <v>8389</v>
      </c>
    </row>
    <row r="4674" spans="1:30" x14ac:dyDescent="0.25">
      <c r="A4674">
        <v>2334</v>
      </c>
      <c r="B4674">
        <v>4161</v>
      </c>
      <c r="C4674" t="s">
        <v>8390</v>
      </c>
      <c r="D4674" t="s">
        <v>40</v>
      </c>
      <c r="E4674" t="s">
        <v>5756</v>
      </c>
      <c r="F4674" t="s">
        <v>8391</v>
      </c>
      <c r="G4674" t="str">
        <f>"00347561"</f>
        <v>00347561</v>
      </c>
      <c r="H4674">
        <v>638</v>
      </c>
      <c r="I4674">
        <v>0</v>
      </c>
      <c r="J4674">
        <v>0</v>
      </c>
      <c r="K4674">
        <v>0</v>
      </c>
      <c r="L4674">
        <v>0</v>
      </c>
      <c r="M4674">
        <v>0</v>
      </c>
      <c r="N4674">
        <v>50</v>
      </c>
      <c r="O4674">
        <v>0</v>
      </c>
      <c r="P4674">
        <v>0</v>
      </c>
      <c r="Q4674">
        <v>0</v>
      </c>
      <c r="R4674">
        <v>0</v>
      </c>
      <c r="S4674">
        <v>0</v>
      </c>
      <c r="T4674">
        <v>0</v>
      </c>
      <c r="U4674">
        <v>0</v>
      </c>
      <c r="V4674">
        <v>0</v>
      </c>
      <c r="W4674">
        <v>0</v>
      </c>
      <c r="X4674">
        <v>0</v>
      </c>
      <c r="Z4674">
        <v>1</v>
      </c>
      <c r="AA4674">
        <v>0</v>
      </c>
      <c r="AB4674">
        <v>0</v>
      </c>
      <c r="AC4674">
        <v>0</v>
      </c>
      <c r="AD4674">
        <v>688</v>
      </c>
    </row>
    <row r="4675" spans="1:30" x14ac:dyDescent="0.25">
      <c r="H4675" t="s">
        <v>8392</v>
      </c>
    </row>
    <row r="4676" spans="1:30" x14ac:dyDescent="0.25">
      <c r="A4676">
        <v>2335</v>
      </c>
      <c r="B4676">
        <v>6074</v>
      </c>
      <c r="C4676" t="s">
        <v>3174</v>
      </c>
      <c r="D4676" t="s">
        <v>39</v>
      </c>
      <c r="E4676" t="s">
        <v>107</v>
      </c>
      <c r="F4676" t="s">
        <v>8393</v>
      </c>
      <c r="G4676" t="str">
        <f>"00370184"</f>
        <v>00370184</v>
      </c>
      <c r="H4676" t="s">
        <v>1449</v>
      </c>
      <c r="I4676">
        <v>0</v>
      </c>
      <c r="J4676">
        <v>0</v>
      </c>
      <c r="K4676">
        <v>0</v>
      </c>
      <c r="L4676">
        <v>0</v>
      </c>
      <c r="M4676">
        <v>0</v>
      </c>
      <c r="N4676">
        <v>30</v>
      </c>
      <c r="O4676">
        <v>0</v>
      </c>
      <c r="P4676">
        <v>0</v>
      </c>
      <c r="Q4676">
        <v>0</v>
      </c>
      <c r="R4676">
        <v>0</v>
      </c>
      <c r="S4676">
        <v>0</v>
      </c>
      <c r="T4676">
        <v>0</v>
      </c>
      <c r="U4676">
        <v>0</v>
      </c>
      <c r="V4676">
        <v>0</v>
      </c>
      <c r="W4676">
        <v>0</v>
      </c>
      <c r="X4676">
        <v>0</v>
      </c>
      <c r="Z4676">
        <v>0</v>
      </c>
      <c r="AA4676">
        <v>0</v>
      </c>
      <c r="AB4676">
        <v>0</v>
      </c>
      <c r="AC4676">
        <v>0</v>
      </c>
      <c r="AD4676" t="s">
        <v>8394</v>
      </c>
    </row>
    <row r="4677" spans="1:30" x14ac:dyDescent="0.25">
      <c r="H4677" t="s">
        <v>7427</v>
      </c>
    </row>
    <row r="4678" spans="1:30" x14ac:dyDescent="0.25">
      <c r="A4678">
        <v>2336</v>
      </c>
      <c r="B4678">
        <v>310</v>
      </c>
      <c r="C4678" t="s">
        <v>8395</v>
      </c>
      <c r="D4678" t="s">
        <v>420</v>
      </c>
      <c r="E4678" t="s">
        <v>51</v>
      </c>
      <c r="F4678" t="s">
        <v>8396</v>
      </c>
      <c r="G4678" t="str">
        <f>"00153157"</f>
        <v>00153157</v>
      </c>
      <c r="H4678" t="s">
        <v>369</v>
      </c>
      <c r="I4678">
        <v>0</v>
      </c>
      <c r="J4678">
        <v>0</v>
      </c>
      <c r="K4678">
        <v>0</v>
      </c>
      <c r="L4678">
        <v>0</v>
      </c>
      <c r="M4678">
        <v>0</v>
      </c>
      <c r="N4678">
        <v>30</v>
      </c>
      <c r="O4678">
        <v>0</v>
      </c>
      <c r="P4678">
        <v>0</v>
      </c>
      <c r="Q4678">
        <v>0</v>
      </c>
      <c r="R4678">
        <v>0</v>
      </c>
      <c r="S4678">
        <v>0</v>
      </c>
      <c r="T4678">
        <v>0</v>
      </c>
      <c r="U4678">
        <v>0</v>
      </c>
      <c r="V4678">
        <v>0</v>
      </c>
      <c r="W4678">
        <v>0</v>
      </c>
      <c r="X4678">
        <v>0</v>
      </c>
      <c r="Z4678">
        <v>0</v>
      </c>
      <c r="AA4678">
        <v>0</v>
      </c>
      <c r="AB4678">
        <v>0</v>
      </c>
      <c r="AC4678">
        <v>0</v>
      </c>
      <c r="AD4678" t="s">
        <v>8397</v>
      </c>
    </row>
    <row r="4679" spans="1:30" x14ac:dyDescent="0.25">
      <c r="H4679" t="s">
        <v>8398</v>
      </c>
    </row>
    <row r="4680" spans="1:30" x14ac:dyDescent="0.25">
      <c r="A4680">
        <v>2337</v>
      </c>
      <c r="B4680">
        <v>4893</v>
      </c>
      <c r="C4680" t="s">
        <v>8399</v>
      </c>
      <c r="D4680" t="s">
        <v>33</v>
      </c>
      <c r="E4680" t="s">
        <v>8400</v>
      </c>
      <c r="F4680" t="s">
        <v>8401</v>
      </c>
      <c r="G4680" t="str">
        <f>"00156163"</f>
        <v>00156163</v>
      </c>
      <c r="H4680" t="s">
        <v>369</v>
      </c>
      <c r="I4680">
        <v>0</v>
      </c>
      <c r="J4680">
        <v>0</v>
      </c>
      <c r="K4680">
        <v>0</v>
      </c>
      <c r="L4680">
        <v>0</v>
      </c>
      <c r="M4680">
        <v>0</v>
      </c>
      <c r="N4680">
        <v>30</v>
      </c>
      <c r="O4680">
        <v>0</v>
      </c>
      <c r="P4680">
        <v>0</v>
      </c>
      <c r="Q4680">
        <v>0</v>
      </c>
      <c r="R4680">
        <v>0</v>
      </c>
      <c r="S4680">
        <v>0</v>
      </c>
      <c r="T4680">
        <v>0</v>
      </c>
      <c r="U4680">
        <v>0</v>
      </c>
      <c r="V4680">
        <v>0</v>
      </c>
      <c r="W4680">
        <v>0</v>
      </c>
      <c r="X4680">
        <v>0</v>
      </c>
      <c r="Z4680">
        <v>2</v>
      </c>
      <c r="AA4680">
        <v>0</v>
      </c>
      <c r="AB4680">
        <v>0</v>
      </c>
      <c r="AC4680">
        <v>0</v>
      </c>
      <c r="AD4680" t="s">
        <v>8397</v>
      </c>
    </row>
    <row r="4681" spans="1:30" x14ac:dyDescent="0.25">
      <c r="H4681" t="s">
        <v>8402</v>
      </c>
    </row>
    <row r="4682" spans="1:30" x14ac:dyDescent="0.25">
      <c r="A4682">
        <v>2338</v>
      </c>
      <c r="B4682">
        <v>3975</v>
      </c>
      <c r="C4682" t="s">
        <v>8403</v>
      </c>
      <c r="D4682" t="s">
        <v>162</v>
      </c>
      <c r="E4682" t="s">
        <v>33</v>
      </c>
      <c r="F4682" t="s">
        <v>8404</v>
      </c>
      <c r="G4682" t="str">
        <f>"201511039091"</f>
        <v>201511039091</v>
      </c>
      <c r="H4682" t="s">
        <v>2206</v>
      </c>
      <c r="I4682">
        <v>0</v>
      </c>
      <c r="J4682">
        <v>0</v>
      </c>
      <c r="K4682">
        <v>0</v>
      </c>
      <c r="L4682">
        <v>0</v>
      </c>
      <c r="M4682">
        <v>0</v>
      </c>
      <c r="N4682">
        <v>30</v>
      </c>
      <c r="O4682">
        <v>0</v>
      </c>
      <c r="P4682">
        <v>0</v>
      </c>
      <c r="Q4682">
        <v>0</v>
      </c>
      <c r="R4682">
        <v>0</v>
      </c>
      <c r="S4682">
        <v>0</v>
      </c>
      <c r="T4682">
        <v>0</v>
      </c>
      <c r="U4682">
        <v>0</v>
      </c>
      <c r="V4682">
        <v>0</v>
      </c>
      <c r="W4682">
        <v>0</v>
      </c>
      <c r="X4682">
        <v>0</v>
      </c>
      <c r="Z4682">
        <v>0</v>
      </c>
      <c r="AA4682">
        <v>0</v>
      </c>
      <c r="AB4682">
        <v>0</v>
      </c>
      <c r="AC4682">
        <v>0</v>
      </c>
      <c r="AD4682" t="s">
        <v>8405</v>
      </c>
    </row>
    <row r="4683" spans="1:30" x14ac:dyDescent="0.25">
      <c r="H4683" t="s">
        <v>8406</v>
      </c>
    </row>
    <row r="4684" spans="1:30" x14ac:dyDescent="0.25">
      <c r="A4684">
        <v>2339</v>
      </c>
      <c r="B4684">
        <v>5394</v>
      </c>
      <c r="C4684" t="s">
        <v>8407</v>
      </c>
      <c r="D4684" t="s">
        <v>335</v>
      </c>
      <c r="E4684" t="s">
        <v>151</v>
      </c>
      <c r="F4684" t="s">
        <v>8408</v>
      </c>
      <c r="G4684" t="str">
        <f>"201511032358"</f>
        <v>201511032358</v>
      </c>
      <c r="H4684" t="s">
        <v>8409</v>
      </c>
      <c r="I4684">
        <v>0</v>
      </c>
      <c r="J4684">
        <v>0</v>
      </c>
      <c r="K4684">
        <v>0</v>
      </c>
      <c r="L4684">
        <v>0</v>
      </c>
      <c r="M4684">
        <v>0</v>
      </c>
      <c r="N4684">
        <v>0</v>
      </c>
      <c r="O4684">
        <v>0</v>
      </c>
      <c r="P4684">
        <v>0</v>
      </c>
      <c r="Q4684">
        <v>0</v>
      </c>
      <c r="R4684">
        <v>0</v>
      </c>
      <c r="S4684">
        <v>0</v>
      </c>
      <c r="T4684">
        <v>0</v>
      </c>
      <c r="U4684">
        <v>0</v>
      </c>
      <c r="V4684">
        <v>0</v>
      </c>
      <c r="W4684">
        <v>0</v>
      </c>
      <c r="X4684">
        <v>0</v>
      </c>
      <c r="Z4684">
        <v>0</v>
      </c>
      <c r="AA4684">
        <v>0</v>
      </c>
      <c r="AB4684">
        <v>5</v>
      </c>
      <c r="AC4684">
        <v>85</v>
      </c>
      <c r="AD4684" t="s">
        <v>8405</v>
      </c>
    </row>
    <row r="4685" spans="1:30" x14ac:dyDescent="0.25">
      <c r="H4685" t="s">
        <v>8410</v>
      </c>
    </row>
    <row r="4686" spans="1:30" x14ac:dyDescent="0.25">
      <c r="A4686">
        <v>2340</v>
      </c>
      <c r="B4686">
        <v>5252</v>
      </c>
      <c r="C4686" t="s">
        <v>8411</v>
      </c>
      <c r="D4686" t="s">
        <v>346</v>
      </c>
      <c r="E4686" t="s">
        <v>39</v>
      </c>
      <c r="F4686" t="s">
        <v>8412</v>
      </c>
      <c r="G4686" t="str">
        <f>"201405002096"</f>
        <v>201405002096</v>
      </c>
      <c r="H4686" t="s">
        <v>1376</v>
      </c>
      <c r="I4686">
        <v>0</v>
      </c>
      <c r="J4686">
        <v>0</v>
      </c>
      <c r="K4686">
        <v>0</v>
      </c>
      <c r="L4686">
        <v>0</v>
      </c>
      <c r="M4686">
        <v>0</v>
      </c>
      <c r="N4686">
        <v>0</v>
      </c>
      <c r="O4686">
        <v>0</v>
      </c>
      <c r="P4686">
        <v>0</v>
      </c>
      <c r="Q4686">
        <v>0</v>
      </c>
      <c r="R4686">
        <v>0</v>
      </c>
      <c r="S4686">
        <v>0</v>
      </c>
      <c r="T4686">
        <v>0</v>
      </c>
      <c r="U4686">
        <v>0</v>
      </c>
      <c r="V4686">
        <v>5</v>
      </c>
      <c r="W4686">
        <v>35</v>
      </c>
      <c r="X4686">
        <v>0</v>
      </c>
      <c r="Z4686">
        <v>1</v>
      </c>
      <c r="AA4686">
        <v>0</v>
      </c>
      <c r="AB4686">
        <v>0</v>
      </c>
      <c r="AC4686">
        <v>0</v>
      </c>
      <c r="AD4686" t="s">
        <v>8413</v>
      </c>
    </row>
    <row r="4687" spans="1:30" x14ac:dyDescent="0.25">
      <c r="H4687" t="s">
        <v>8414</v>
      </c>
    </row>
    <row r="4688" spans="1:30" x14ac:dyDescent="0.25">
      <c r="A4688">
        <v>2341</v>
      </c>
      <c r="B4688">
        <v>1312</v>
      </c>
      <c r="C4688" t="s">
        <v>8415</v>
      </c>
      <c r="D4688" t="s">
        <v>51</v>
      </c>
      <c r="E4688" t="s">
        <v>40</v>
      </c>
      <c r="F4688" t="s">
        <v>8416</v>
      </c>
      <c r="G4688" t="str">
        <f>"201510002400"</f>
        <v>201510002400</v>
      </c>
      <c r="H4688" t="s">
        <v>3132</v>
      </c>
      <c r="I4688">
        <v>0</v>
      </c>
      <c r="J4688">
        <v>0</v>
      </c>
      <c r="K4688">
        <v>0</v>
      </c>
      <c r="L4688">
        <v>0</v>
      </c>
      <c r="M4688">
        <v>0</v>
      </c>
      <c r="N4688">
        <v>0</v>
      </c>
      <c r="O4688">
        <v>0</v>
      </c>
      <c r="P4688">
        <v>0</v>
      </c>
      <c r="Q4688">
        <v>0</v>
      </c>
      <c r="R4688">
        <v>0</v>
      </c>
      <c r="S4688">
        <v>0</v>
      </c>
      <c r="T4688">
        <v>0</v>
      </c>
      <c r="U4688">
        <v>0</v>
      </c>
      <c r="V4688">
        <v>0</v>
      </c>
      <c r="W4688">
        <v>0</v>
      </c>
      <c r="X4688">
        <v>0</v>
      </c>
      <c r="Z4688">
        <v>2</v>
      </c>
      <c r="AA4688">
        <v>0</v>
      </c>
      <c r="AB4688">
        <v>0</v>
      </c>
      <c r="AC4688">
        <v>0</v>
      </c>
      <c r="AD4688" t="s">
        <v>3132</v>
      </c>
    </row>
    <row r="4689" spans="1:30" x14ac:dyDescent="0.25">
      <c r="H4689" t="s">
        <v>8417</v>
      </c>
    </row>
    <row r="4690" spans="1:30" x14ac:dyDescent="0.25">
      <c r="A4690">
        <v>2342</v>
      </c>
      <c r="B4690">
        <v>985</v>
      </c>
      <c r="C4690" t="s">
        <v>8418</v>
      </c>
      <c r="D4690" t="s">
        <v>190</v>
      </c>
      <c r="E4690" t="s">
        <v>8418</v>
      </c>
      <c r="F4690" t="s">
        <v>8419</v>
      </c>
      <c r="G4690" t="str">
        <f>"00307061"</f>
        <v>00307061</v>
      </c>
      <c r="H4690" t="s">
        <v>3132</v>
      </c>
      <c r="I4690">
        <v>0</v>
      </c>
      <c r="J4690">
        <v>0</v>
      </c>
      <c r="K4690">
        <v>0</v>
      </c>
      <c r="L4690">
        <v>0</v>
      </c>
      <c r="M4690">
        <v>0</v>
      </c>
      <c r="N4690">
        <v>0</v>
      </c>
      <c r="O4690">
        <v>0</v>
      </c>
      <c r="P4690">
        <v>0</v>
      </c>
      <c r="Q4690">
        <v>0</v>
      </c>
      <c r="R4690">
        <v>0</v>
      </c>
      <c r="S4690">
        <v>0</v>
      </c>
      <c r="T4690">
        <v>0</v>
      </c>
      <c r="U4690">
        <v>0</v>
      </c>
      <c r="V4690">
        <v>0</v>
      </c>
      <c r="W4690">
        <v>0</v>
      </c>
      <c r="X4690">
        <v>0</v>
      </c>
      <c r="Z4690">
        <v>2</v>
      </c>
      <c r="AA4690">
        <v>0</v>
      </c>
      <c r="AB4690">
        <v>0</v>
      </c>
      <c r="AC4690">
        <v>0</v>
      </c>
      <c r="AD4690" t="s">
        <v>3132</v>
      </c>
    </row>
    <row r="4691" spans="1:30" x14ac:dyDescent="0.25">
      <c r="H4691" t="s">
        <v>8420</v>
      </c>
    </row>
    <row r="4692" spans="1:30" x14ac:dyDescent="0.25">
      <c r="A4692">
        <v>2343</v>
      </c>
      <c r="B4692">
        <v>997</v>
      </c>
      <c r="C4692" t="s">
        <v>8421</v>
      </c>
      <c r="D4692" t="s">
        <v>8422</v>
      </c>
      <c r="E4692" t="s">
        <v>51</v>
      </c>
      <c r="F4692" t="s">
        <v>8423</v>
      </c>
      <c r="G4692" t="str">
        <f>"00149268"</f>
        <v>00149268</v>
      </c>
      <c r="H4692" t="s">
        <v>562</v>
      </c>
      <c r="I4692">
        <v>0</v>
      </c>
      <c r="J4692">
        <v>0</v>
      </c>
      <c r="K4692">
        <v>0</v>
      </c>
      <c r="L4692">
        <v>0</v>
      </c>
      <c r="M4692">
        <v>0</v>
      </c>
      <c r="N4692">
        <v>0</v>
      </c>
      <c r="O4692">
        <v>0</v>
      </c>
      <c r="P4692">
        <v>0</v>
      </c>
      <c r="Q4692">
        <v>0</v>
      </c>
      <c r="R4692">
        <v>0</v>
      </c>
      <c r="S4692">
        <v>0</v>
      </c>
      <c r="T4692">
        <v>0</v>
      </c>
      <c r="U4692">
        <v>0</v>
      </c>
      <c r="V4692">
        <v>0</v>
      </c>
      <c r="W4692">
        <v>0</v>
      </c>
      <c r="X4692">
        <v>0</v>
      </c>
      <c r="Z4692">
        <v>0</v>
      </c>
      <c r="AA4692">
        <v>0</v>
      </c>
      <c r="AB4692">
        <v>0</v>
      </c>
      <c r="AC4692">
        <v>0</v>
      </c>
      <c r="AD4692" t="s">
        <v>562</v>
      </c>
    </row>
    <row r="4693" spans="1:30" x14ac:dyDescent="0.25">
      <c r="H4693" t="s">
        <v>8424</v>
      </c>
    </row>
    <row r="4694" spans="1:30" x14ac:dyDescent="0.25">
      <c r="A4694">
        <v>2344</v>
      </c>
      <c r="B4694">
        <v>5785</v>
      </c>
      <c r="C4694" t="s">
        <v>8425</v>
      </c>
      <c r="D4694" t="s">
        <v>544</v>
      </c>
      <c r="E4694" t="s">
        <v>290</v>
      </c>
      <c r="F4694" t="s">
        <v>8426</v>
      </c>
      <c r="G4694" t="str">
        <f>"201412006435"</f>
        <v>201412006435</v>
      </c>
      <c r="H4694" t="s">
        <v>2866</v>
      </c>
      <c r="I4694">
        <v>0</v>
      </c>
      <c r="J4694">
        <v>0</v>
      </c>
      <c r="K4694">
        <v>0</v>
      </c>
      <c r="L4694">
        <v>0</v>
      </c>
      <c r="M4694">
        <v>0</v>
      </c>
      <c r="N4694">
        <v>30</v>
      </c>
      <c r="O4694">
        <v>0</v>
      </c>
      <c r="P4694">
        <v>0</v>
      </c>
      <c r="Q4694">
        <v>0</v>
      </c>
      <c r="R4694">
        <v>0</v>
      </c>
      <c r="S4694">
        <v>0</v>
      </c>
      <c r="T4694">
        <v>0</v>
      </c>
      <c r="U4694">
        <v>0</v>
      </c>
      <c r="V4694">
        <v>0</v>
      </c>
      <c r="W4694">
        <v>0</v>
      </c>
      <c r="X4694">
        <v>0</v>
      </c>
      <c r="Z4694">
        <v>1</v>
      </c>
      <c r="AA4694">
        <v>0</v>
      </c>
      <c r="AB4694">
        <v>0</v>
      </c>
      <c r="AC4694">
        <v>0</v>
      </c>
      <c r="AD4694" t="s">
        <v>8427</v>
      </c>
    </row>
    <row r="4695" spans="1:30" x14ac:dyDescent="0.25">
      <c r="H4695" t="s">
        <v>8428</v>
      </c>
    </row>
    <row r="4696" spans="1:30" x14ac:dyDescent="0.25">
      <c r="A4696">
        <v>2345</v>
      </c>
      <c r="B4696">
        <v>6250</v>
      </c>
      <c r="C4696" t="s">
        <v>8429</v>
      </c>
      <c r="D4696" t="s">
        <v>547</v>
      </c>
      <c r="E4696" t="s">
        <v>162</v>
      </c>
      <c r="F4696" t="s">
        <v>8430</v>
      </c>
      <c r="G4696" t="str">
        <f>"00194497"</f>
        <v>00194497</v>
      </c>
      <c r="H4696" t="s">
        <v>2866</v>
      </c>
      <c r="I4696">
        <v>0</v>
      </c>
      <c r="J4696">
        <v>0</v>
      </c>
      <c r="K4696">
        <v>0</v>
      </c>
      <c r="L4696">
        <v>0</v>
      </c>
      <c r="M4696">
        <v>0</v>
      </c>
      <c r="N4696">
        <v>30</v>
      </c>
      <c r="O4696">
        <v>0</v>
      </c>
      <c r="P4696">
        <v>0</v>
      </c>
      <c r="Q4696">
        <v>0</v>
      </c>
      <c r="R4696">
        <v>0</v>
      </c>
      <c r="S4696">
        <v>0</v>
      </c>
      <c r="T4696">
        <v>0</v>
      </c>
      <c r="U4696">
        <v>0</v>
      </c>
      <c r="V4696">
        <v>0</v>
      </c>
      <c r="W4696">
        <v>0</v>
      </c>
      <c r="X4696">
        <v>0</v>
      </c>
      <c r="Z4696">
        <v>0</v>
      </c>
      <c r="AA4696">
        <v>0</v>
      </c>
      <c r="AB4696">
        <v>0</v>
      </c>
      <c r="AC4696">
        <v>0</v>
      </c>
      <c r="AD4696" t="s">
        <v>8427</v>
      </c>
    </row>
    <row r="4697" spans="1:30" x14ac:dyDescent="0.25">
      <c r="H4697" t="s">
        <v>8431</v>
      </c>
    </row>
    <row r="4698" spans="1:30" x14ac:dyDescent="0.25">
      <c r="A4698">
        <v>2346</v>
      </c>
      <c r="B4698">
        <v>2575</v>
      </c>
      <c r="C4698" t="s">
        <v>8432</v>
      </c>
      <c r="D4698" t="s">
        <v>39</v>
      </c>
      <c r="E4698" t="s">
        <v>212</v>
      </c>
      <c r="F4698" t="s">
        <v>8433</v>
      </c>
      <c r="G4698" t="str">
        <f>"00260405"</f>
        <v>00260405</v>
      </c>
      <c r="H4698" t="s">
        <v>1385</v>
      </c>
      <c r="I4698">
        <v>0</v>
      </c>
      <c r="J4698">
        <v>0</v>
      </c>
      <c r="K4698">
        <v>0</v>
      </c>
      <c r="L4698">
        <v>0</v>
      </c>
      <c r="M4698">
        <v>0</v>
      </c>
      <c r="N4698">
        <v>0</v>
      </c>
      <c r="O4698">
        <v>0</v>
      </c>
      <c r="P4698">
        <v>0</v>
      </c>
      <c r="Q4698">
        <v>0</v>
      </c>
      <c r="R4698">
        <v>0</v>
      </c>
      <c r="S4698">
        <v>0</v>
      </c>
      <c r="T4698">
        <v>0</v>
      </c>
      <c r="U4698">
        <v>0</v>
      </c>
      <c r="V4698">
        <v>0</v>
      </c>
      <c r="W4698">
        <v>0</v>
      </c>
      <c r="X4698">
        <v>0</v>
      </c>
      <c r="Z4698">
        <v>0</v>
      </c>
      <c r="AA4698">
        <v>0</v>
      </c>
      <c r="AB4698">
        <v>0</v>
      </c>
      <c r="AC4698">
        <v>0</v>
      </c>
      <c r="AD4698" t="s">
        <v>1385</v>
      </c>
    </row>
    <row r="4699" spans="1:30" x14ac:dyDescent="0.25">
      <c r="H4699" t="s">
        <v>8434</v>
      </c>
    </row>
    <row r="4700" spans="1:30" x14ac:dyDescent="0.25">
      <c r="A4700">
        <v>2347</v>
      </c>
      <c r="B4700">
        <v>5910</v>
      </c>
      <c r="C4700" t="s">
        <v>8435</v>
      </c>
      <c r="D4700" t="s">
        <v>75</v>
      </c>
      <c r="E4700" t="s">
        <v>1039</v>
      </c>
      <c r="F4700" t="s">
        <v>8436</v>
      </c>
      <c r="G4700" t="str">
        <f>"00356345"</f>
        <v>00356345</v>
      </c>
      <c r="H4700" t="s">
        <v>1385</v>
      </c>
      <c r="I4700">
        <v>0</v>
      </c>
      <c r="J4700">
        <v>0</v>
      </c>
      <c r="K4700">
        <v>0</v>
      </c>
      <c r="L4700">
        <v>0</v>
      </c>
      <c r="M4700">
        <v>0</v>
      </c>
      <c r="N4700">
        <v>0</v>
      </c>
      <c r="O4700">
        <v>0</v>
      </c>
      <c r="P4700">
        <v>0</v>
      </c>
      <c r="Q4700">
        <v>0</v>
      </c>
      <c r="R4700">
        <v>0</v>
      </c>
      <c r="S4700">
        <v>0</v>
      </c>
      <c r="T4700">
        <v>0</v>
      </c>
      <c r="U4700">
        <v>0</v>
      </c>
      <c r="V4700">
        <v>0</v>
      </c>
      <c r="W4700">
        <v>0</v>
      </c>
      <c r="X4700">
        <v>0</v>
      </c>
      <c r="Z4700">
        <v>0</v>
      </c>
      <c r="AA4700">
        <v>0</v>
      </c>
      <c r="AB4700">
        <v>0</v>
      </c>
      <c r="AC4700">
        <v>0</v>
      </c>
      <c r="AD4700" t="s">
        <v>1385</v>
      </c>
    </row>
    <row r="4701" spans="1:30" x14ac:dyDescent="0.25">
      <c r="H4701" t="s">
        <v>6795</v>
      </c>
    </row>
    <row r="4702" spans="1:30" x14ac:dyDescent="0.25">
      <c r="A4702">
        <v>2348</v>
      </c>
      <c r="B4702">
        <v>3104</v>
      </c>
      <c r="C4702" t="s">
        <v>8437</v>
      </c>
      <c r="D4702" t="s">
        <v>2092</v>
      </c>
      <c r="E4702" t="s">
        <v>47</v>
      </c>
      <c r="F4702" t="s">
        <v>8438</v>
      </c>
      <c r="G4702" t="str">
        <f>"00144595"</f>
        <v>00144595</v>
      </c>
      <c r="H4702" t="s">
        <v>1385</v>
      </c>
      <c r="I4702">
        <v>0</v>
      </c>
      <c r="J4702">
        <v>0</v>
      </c>
      <c r="K4702">
        <v>0</v>
      </c>
      <c r="L4702">
        <v>0</v>
      </c>
      <c r="M4702">
        <v>0</v>
      </c>
      <c r="N4702">
        <v>0</v>
      </c>
      <c r="O4702">
        <v>0</v>
      </c>
      <c r="P4702">
        <v>0</v>
      </c>
      <c r="Q4702">
        <v>0</v>
      </c>
      <c r="R4702">
        <v>0</v>
      </c>
      <c r="S4702">
        <v>0</v>
      </c>
      <c r="T4702">
        <v>0</v>
      </c>
      <c r="U4702">
        <v>0</v>
      </c>
      <c r="V4702">
        <v>0</v>
      </c>
      <c r="W4702">
        <v>0</v>
      </c>
      <c r="X4702">
        <v>0</v>
      </c>
      <c r="Z4702">
        <v>0</v>
      </c>
      <c r="AA4702">
        <v>0</v>
      </c>
      <c r="AB4702">
        <v>0</v>
      </c>
      <c r="AC4702">
        <v>0</v>
      </c>
      <c r="AD4702" t="s">
        <v>1385</v>
      </c>
    </row>
    <row r="4703" spans="1:30" x14ac:dyDescent="0.25">
      <c r="H4703" t="s">
        <v>8439</v>
      </c>
    </row>
    <row r="4704" spans="1:30" x14ac:dyDescent="0.25">
      <c r="A4704">
        <v>2349</v>
      </c>
      <c r="B4704">
        <v>3236</v>
      </c>
      <c r="C4704" t="s">
        <v>8440</v>
      </c>
      <c r="D4704" t="s">
        <v>212</v>
      </c>
      <c r="E4704" t="s">
        <v>47</v>
      </c>
      <c r="F4704" t="s">
        <v>8441</v>
      </c>
      <c r="G4704" t="str">
        <f>"00328053"</f>
        <v>00328053</v>
      </c>
      <c r="H4704" t="s">
        <v>1385</v>
      </c>
      <c r="I4704">
        <v>0</v>
      </c>
      <c r="J4704">
        <v>0</v>
      </c>
      <c r="K4704">
        <v>0</v>
      </c>
      <c r="L4704">
        <v>0</v>
      </c>
      <c r="M4704">
        <v>0</v>
      </c>
      <c r="N4704">
        <v>0</v>
      </c>
      <c r="O4704">
        <v>0</v>
      </c>
      <c r="P4704">
        <v>0</v>
      </c>
      <c r="Q4704">
        <v>0</v>
      </c>
      <c r="R4704">
        <v>0</v>
      </c>
      <c r="S4704">
        <v>0</v>
      </c>
      <c r="T4704">
        <v>0</v>
      </c>
      <c r="U4704">
        <v>0</v>
      </c>
      <c r="V4704">
        <v>0</v>
      </c>
      <c r="W4704">
        <v>0</v>
      </c>
      <c r="X4704">
        <v>0</v>
      </c>
      <c r="Z4704">
        <v>2</v>
      </c>
      <c r="AA4704">
        <v>0</v>
      </c>
      <c r="AB4704">
        <v>0</v>
      </c>
      <c r="AC4704">
        <v>0</v>
      </c>
      <c r="AD4704" t="s">
        <v>1385</v>
      </c>
    </row>
    <row r="4705" spans="1:30" x14ac:dyDescent="0.25">
      <c r="H4705" t="s">
        <v>8442</v>
      </c>
    </row>
    <row r="4706" spans="1:30" x14ac:dyDescent="0.25">
      <c r="A4706">
        <v>2350</v>
      </c>
      <c r="B4706">
        <v>711</v>
      </c>
      <c r="C4706" t="s">
        <v>8443</v>
      </c>
      <c r="D4706" t="s">
        <v>107</v>
      </c>
      <c r="E4706" t="s">
        <v>39</v>
      </c>
      <c r="F4706" t="s">
        <v>8444</v>
      </c>
      <c r="G4706" t="str">
        <f>"201412005617"</f>
        <v>201412005617</v>
      </c>
      <c r="H4706" t="s">
        <v>5946</v>
      </c>
      <c r="I4706">
        <v>0</v>
      </c>
      <c r="J4706">
        <v>0</v>
      </c>
      <c r="K4706">
        <v>0</v>
      </c>
      <c r="L4706">
        <v>0</v>
      </c>
      <c r="M4706">
        <v>0</v>
      </c>
      <c r="N4706">
        <v>50</v>
      </c>
      <c r="O4706">
        <v>0</v>
      </c>
      <c r="P4706">
        <v>0</v>
      </c>
      <c r="Q4706">
        <v>0</v>
      </c>
      <c r="R4706">
        <v>0</v>
      </c>
      <c r="S4706">
        <v>0</v>
      </c>
      <c r="T4706">
        <v>0</v>
      </c>
      <c r="U4706">
        <v>0</v>
      </c>
      <c r="V4706">
        <v>0</v>
      </c>
      <c r="W4706">
        <v>0</v>
      </c>
      <c r="X4706">
        <v>0</v>
      </c>
      <c r="Z4706">
        <v>2</v>
      </c>
      <c r="AA4706">
        <v>0</v>
      </c>
      <c r="AB4706">
        <v>0</v>
      </c>
      <c r="AC4706">
        <v>0</v>
      </c>
      <c r="AD4706" t="s">
        <v>8445</v>
      </c>
    </row>
    <row r="4707" spans="1:30" x14ac:dyDescent="0.25">
      <c r="H4707">
        <v>1250</v>
      </c>
    </row>
    <row r="4708" spans="1:30" x14ac:dyDescent="0.25">
      <c r="A4708">
        <v>2351</v>
      </c>
      <c r="B4708">
        <v>2840</v>
      </c>
      <c r="C4708" t="s">
        <v>8446</v>
      </c>
      <c r="D4708" t="s">
        <v>151</v>
      </c>
      <c r="E4708" t="s">
        <v>107</v>
      </c>
      <c r="F4708" t="s">
        <v>8447</v>
      </c>
      <c r="G4708" t="str">
        <f>"00154289"</f>
        <v>00154289</v>
      </c>
      <c r="H4708">
        <v>649</v>
      </c>
      <c r="I4708">
        <v>0</v>
      </c>
      <c r="J4708">
        <v>0</v>
      </c>
      <c r="K4708">
        <v>0</v>
      </c>
      <c r="L4708">
        <v>0</v>
      </c>
      <c r="M4708">
        <v>0</v>
      </c>
      <c r="N4708">
        <v>30</v>
      </c>
      <c r="O4708">
        <v>0</v>
      </c>
      <c r="P4708">
        <v>0</v>
      </c>
      <c r="Q4708">
        <v>0</v>
      </c>
      <c r="R4708">
        <v>0</v>
      </c>
      <c r="S4708">
        <v>0</v>
      </c>
      <c r="T4708">
        <v>0</v>
      </c>
      <c r="U4708">
        <v>0</v>
      </c>
      <c r="V4708">
        <v>0</v>
      </c>
      <c r="W4708">
        <v>0</v>
      </c>
      <c r="X4708">
        <v>0</v>
      </c>
      <c r="Z4708">
        <v>0</v>
      </c>
      <c r="AA4708">
        <v>0</v>
      </c>
      <c r="AB4708">
        <v>0</v>
      </c>
      <c r="AC4708">
        <v>0</v>
      </c>
      <c r="AD4708">
        <v>679</v>
      </c>
    </row>
    <row r="4709" spans="1:30" x14ac:dyDescent="0.25">
      <c r="H4709" t="s">
        <v>8448</v>
      </c>
    </row>
    <row r="4710" spans="1:30" x14ac:dyDescent="0.25">
      <c r="A4710">
        <v>2352</v>
      </c>
      <c r="B4710">
        <v>1726</v>
      </c>
      <c r="C4710" t="s">
        <v>8449</v>
      </c>
      <c r="D4710" t="s">
        <v>8450</v>
      </c>
      <c r="E4710" t="s">
        <v>8451</v>
      </c>
      <c r="F4710" t="s">
        <v>8452</v>
      </c>
      <c r="G4710" t="str">
        <f>"00314097"</f>
        <v>00314097</v>
      </c>
      <c r="H4710" t="s">
        <v>2116</v>
      </c>
      <c r="I4710">
        <v>0</v>
      </c>
      <c r="J4710">
        <v>0</v>
      </c>
      <c r="K4710">
        <v>0</v>
      </c>
      <c r="L4710">
        <v>0</v>
      </c>
      <c r="M4710">
        <v>0</v>
      </c>
      <c r="N4710">
        <v>0</v>
      </c>
      <c r="O4710">
        <v>0</v>
      </c>
      <c r="P4710">
        <v>0</v>
      </c>
      <c r="Q4710">
        <v>0</v>
      </c>
      <c r="R4710">
        <v>0</v>
      </c>
      <c r="S4710">
        <v>0</v>
      </c>
      <c r="T4710">
        <v>0</v>
      </c>
      <c r="U4710">
        <v>0</v>
      </c>
      <c r="V4710">
        <v>0</v>
      </c>
      <c r="W4710">
        <v>0</v>
      </c>
      <c r="X4710">
        <v>0</v>
      </c>
      <c r="Z4710">
        <v>2</v>
      </c>
      <c r="AA4710">
        <v>0</v>
      </c>
      <c r="AB4710">
        <v>0</v>
      </c>
      <c r="AC4710">
        <v>0</v>
      </c>
      <c r="AD4710" t="s">
        <v>2116</v>
      </c>
    </row>
    <row r="4711" spans="1:30" x14ac:dyDescent="0.25">
      <c r="H4711" t="s">
        <v>521</v>
      </c>
    </row>
    <row r="4712" spans="1:30" x14ac:dyDescent="0.25">
      <c r="A4712">
        <v>2353</v>
      </c>
      <c r="B4712">
        <v>380</v>
      </c>
      <c r="C4712" t="s">
        <v>394</v>
      </c>
      <c r="D4712" t="s">
        <v>8453</v>
      </c>
      <c r="E4712" t="s">
        <v>449</v>
      </c>
      <c r="F4712" t="s">
        <v>8454</v>
      </c>
      <c r="G4712" t="str">
        <f>"00281047"</f>
        <v>00281047</v>
      </c>
      <c r="H4712" t="s">
        <v>1540</v>
      </c>
      <c r="I4712">
        <v>0</v>
      </c>
      <c r="J4712">
        <v>0</v>
      </c>
      <c r="K4712">
        <v>0</v>
      </c>
      <c r="L4712">
        <v>0</v>
      </c>
      <c r="M4712">
        <v>0</v>
      </c>
      <c r="N4712">
        <v>0</v>
      </c>
      <c r="O4712">
        <v>0</v>
      </c>
      <c r="P4712">
        <v>0</v>
      </c>
      <c r="Q4712">
        <v>0</v>
      </c>
      <c r="R4712">
        <v>0</v>
      </c>
      <c r="S4712">
        <v>0</v>
      </c>
      <c r="T4712">
        <v>0</v>
      </c>
      <c r="U4712">
        <v>0</v>
      </c>
      <c r="V4712">
        <v>0</v>
      </c>
      <c r="W4712">
        <v>0</v>
      </c>
      <c r="X4712">
        <v>0</v>
      </c>
      <c r="Z4712">
        <v>0</v>
      </c>
      <c r="AA4712">
        <v>0</v>
      </c>
      <c r="AB4712">
        <v>0</v>
      </c>
      <c r="AC4712">
        <v>0</v>
      </c>
      <c r="AD4712" t="s">
        <v>1540</v>
      </c>
    </row>
    <row r="4713" spans="1:30" x14ac:dyDescent="0.25">
      <c r="H4713" t="s">
        <v>8455</v>
      </c>
    </row>
    <row r="4714" spans="1:30" x14ac:dyDescent="0.25">
      <c r="A4714">
        <v>2354</v>
      </c>
      <c r="B4714">
        <v>1888</v>
      </c>
      <c r="C4714" t="s">
        <v>7873</v>
      </c>
      <c r="D4714" t="s">
        <v>107</v>
      </c>
      <c r="E4714" t="s">
        <v>162</v>
      </c>
      <c r="F4714" t="s">
        <v>8456</v>
      </c>
      <c r="G4714" t="str">
        <f>"00310663"</f>
        <v>00310663</v>
      </c>
      <c r="H4714" t="s">
        <v>1673</v>
      </c>
      <c r="I4714">
        <v>0</v>
      </c>
      <c r="J4714">
        <v>0</v>
      </c>
      <c r="K4714">
        <v>0</v>
      </c>
      <c r="L4714">
        <v>0</v>
      </c>
      <c r="M4714">
        <v>0</v>
      </c>
      <c r="N4714">
        <v>30</v>
      </c>
      <c r="O4714">
        <v>0</v>
      </c>
      <c r="P4714">
        <v>0</v>
      </c>
      <c r="Q4714">
        <v>0</v>
      </c>
      <c r="R4714">
        <v>0</v>
      </c>
      <c r="S4714">
        <v>0</v>
      </c>
      <c r="T4714">
        <v>0</v>
      </c>
      <c r="U4714">
        <v>0</v>
      </c>
      <c r="V4714">
        <v>0</v>
      </c>
      <c r="W4714">
        <v>0</v>
      </c>
      <c r="X4714">
        <v>0</v>
      </c>
      <c r="Z4714">
        <v>0</v>
      </c>
      <c r="AA4714">
        <v>0</v>
      </c>
      <c r="AB4714">
        <v>0</v>
      </c>
      <c r="AC4714">
        <v>0</v>
      </c>
      <c r="AD4714" t="s">
        <v>8457</v>
      </c>
    </row>
    <row r="4715" spans="1:30" x14ac:dyDescent="0.25">
      <c r="H4715" t="s">
        <v>8458</v>
      </c>
    </row>
    <row r="4716" spans="1:30" x14ac:dyDescent="0.25">
      <c r="A4716">
        <v>2355</v>
      </c>
      <c r="B4716">
        <v>3909</v>
      </c>
      <c r="C4716" t="s">
        <v>8459</v>
      </c>
      <c r="D4716" t="s">
        <v>47</v>
      </c>
      <c r="E4716" t="s">
        <v>40</v>
      </c>
      <c r="F4716" t="s">
        <v>8460</v>
      </c>
      <c r="G4716" t="str">
        <f>"00141973"</f>
        <v>00141973</v>
      </c>
      <c r="H4716" t="s">
        <v>1611</v>
      </c>
      <c r="I4716">
        <v>0</v>
      </c>
      <c r="J4716">
        <v>0</v>
      </c>
      <c r="K4716">
        <v>0</v>
      </c>
      <c r="L4716">
        <v>0</v>
      </c>
      <c r="M4716">
        <v>0</v>
      </c>
      <c r="N4716">
        <v>30</v>
      </c>
      <c r="O4716">
        <v>0</v>
      </c>
      <c r="P4716">
        <v>0</v>
      </c>
      <c r="Q4716">
        <v>0</v>
      </c>
      <c r="R4716">
        <v>0</v>
      </c>
      <c r="S4716">
        <v>0</v>
      </c>
      <c r="T4716">
        <v>0</v>
      </c>
      <c r="U4716">
        <v>0</v>
      </c>
      <c r="V4716">
        <v>0</v>
      </c>
      <c r="W4716">
        <v>0</v>
      </c>
      <c r="X4716">
        <v>0</v>
      </c>
      <c r="Z4716">
        <v>0</v>
      </c>
      <c r="AA4716">
        <v>0</v>
      </c>
      <c r="AB4716">
        <v>0</v>
      </c>
      <c r="AC4716">
        <v>0</v>
      </c>
      <c r="AD4716" t="s">
        <v>8461</v>
      </c>
    </row>
    <row r="4717" spans="1:30" x14ac:dyDescent="0.25">
      <c r="H4717" t="s">
        <v>6693</v>
      </c>
    </row>
    <row r="4718" spans="1:30" x14ac:dyDescent="0.25">
      <c r="A4718">
        <v>2356</v>
      </c>
      <c r="B4718">
        <v>5085</v>
      </c>
      <c r="C4718" t="s">
        <v>8462</v>
      </c>
      <c r="D4718" t="s">
        <v>32</v>
      </c>
      <c r="E4718" t="s">
        <v>140</v>
      </c>
      <c r="F4718" t="s">
        <v>8463</v>
      </c>
      <c r="G4718" t="str">
        <f>"00357929"</f>
        <v>00357929</v>
      </c>
      <c r="H4718" t="s">
        <v>402</v>
      </c>
      <c r="I4718">
        <v>0</v>
      </c>
      <c r="J4718">
        <v>0</v>
      </c>
      <c r="K4718">
        <v>0</v>
      </c>
      <c r="L4718">
        <v>0</v>
      </c>
      <c r="M4718">
        <v>0</v>
      </c>
      <c r="N4718">
        <v>0</v>
      </c>
      <c r="O4718">
        <v>0</v>
      </c>
      <c r="P4718">
        <v>0</v>
      </c>
      <c r="Q4718">
        <v>0</v>
      </c>
      <c r="R4718">
        <v>0</v>
      </c>
      <c r="S4718">
        <v>0</v>
      </c>
      <c r="T4718">
        <v>0</v>
      </c>
      <c r="U4718">
        <v>0</v>
      </c>
      <c r="V4718">
        <v>0</v>
      </c>
      <c r="W4718">
        <v>0</v>
      </c>
      <c r="X4718">
        <v>0</v>
      </c>
      <c r="Z4718">
        <v>0</v>
      </c>
      <c r="AA4718">
        <v>0</v>
      </c>
      <c r="AB4718">
        <v>0</v>
      </c>
      <c r="AC4718">
        <v>0</v>
      </c>
      <c r="AD4718" t="s">
        <v>402</v>
      </c>
    </row>
    <row r="4719" spans="1:30" x14ac:dyDescent="0.25">
      <c r="H4719" t="s">
        <v>8464</v>
      </c>
    </row>
    <row r="4720" spans="1:30" x14ac:dyDescent="0.25">
      <c r="A4720">
        <v>2357</v>
      </c>
      <c r="B4720">
        <v>5736</v>
      </c>
      <c r="C4720" t="s">
        <v>8465</v>
      </c>
      <c r="D4720" t="s">
        <v>140</v>
      </c>
      <c r="E4720" t="s">
        <v>162</v>
      </c>
      <c r="F4720" t="s">
        <v>8466</v>
      </c>
      <c r="G4720" t="str">
        <f>"201511029193"</f>
        <v>201511029193</v>
      </c>
      <c r="H4720" t="s">
        <v>402</v>
      </c>
      <c r="I4720">
        <v>0</v>
      </c>
      <c r="J4720">
        <v>0</v>
      </c>
      <c r="K4720">
        <v>0</v>
      </c>
      <c r="L4720">
        <v>0</v>
      </c>
      <c r="M4720">
        <v>0</v>
      </c>
      <c r="N4720">
        <v>0</v>
      </c>
      <c r="O4720">
        <v>0</v>
      </c>
      <c r="P4720">
        <v>0</v>
      </c>
      <c r="Q4720">
        <v>0</v>
      </c>
      <c r="R4720">
        <v>0</v>
      </c>
      <c r="S4720">
        <v>0</v>
      </c>
      <c r="T4720">
        <v>0</v>
      </c>
      <c r="U4720">
        <v>0</v>
      </c>
      <c r="V4720">
        <v>0</v>
      </c>
      <c r="W4720">
        <v>0</v>
      </c>
      <c r="X4720">
        <v>0</v>
      </c>
      <c r="Z4720">
        <v>0</v>
      </c>
      <c r="AA4720">
        <v>0</v>
      </c>
      <c r="AB4720">
        <v>0</v>
      </c>
      <c r="AC4720">
        <v>0</v>
      </c>
      <c r="AD4720" t="s">
        <v>402</v>
      </c>
    </row>
    <row r="4721" spans="1:30" x14ac:dyDescent="0.25">
      <c r="H4721" t="s">
        <v>8467</v>
      </c>
    </row>
    <row r="4722" spans="1:30" x14ac:dyDescent="0.25">
      <c r="A4722">
        <v>2358</v>
      </c>
      <c r="B4722">
        <v>5848</v>
      </c>
      <c r="C4722" t="s">
        <v>851</v>
      </c>
      <c r="D4722" t="s">
        <v>262</v>
      </c>
      <c r="E4722" t="s">
        <v>140</v>
      </c>
      <c r="F4722" t="s">
        <v>8468</v>
      </c>
      <c r="G4722" t="str">
        <f>"00158302"</f>
        <v>00158302</v>
      </c>
      <c r="H4722" t="s">
        <v>3999</v>
      </c>
      <c r="I4722">
        <v>0</v>
      </c>
      <c r="J4722">
        <v>0</v>
      </c>
      <c r="K4722">
        <v>0</v>
      </c>
      <c r="L4722">
        <v>0</v>
      </c>
      <c r="M4722">
        <v>0</v>
      </c>
      <c r="N4722">
        <v>0</v>
      </c>
      <c r="O4722">
        <v>0</v>
      </c>
      <c r="P4722">
        <v>0</v>
      </c>
      <c r="Q4722">
        <v>0</v>
      </c>
      <c r="R4722">
        <v>0</v>
      </c>
      <c r="S4722">
        <v>0</v>
      </c>
      <c r="T4722">
        <v>0</v>
      </c>
      <c r="U4722">
        <v>0</v>
      </c>
      <c r="V4722">
        <v>0</v>
      </c>
      <c r="W4722">
        <v>0</v>
      </c>
      <c r="X4722">
        <v>0</v>
      </c>
      <c r="Z4722">
        <v>2</v>
      </c>
      <c r="AA4722">
        <v>0</v>
      </c>
      <c r="AB4722">
        <v>0</v>
      </c>
      <c r="AC4722">
        <v>0</v>
      </c>
      <c r="AD4722" t="s">
        <v>3999</v>
      </c>
    </row>
    <row r="4723" spans="1:30" x14ac:dyDescent="0.25">
      <c r="H4723" t="s">
        <v>8091</v>
      </c>
    </row>
    <row r="4724" spans="1:30" x14ac:dyDescent="0.25">
      <c r="A4724">
        <v>2359</v>
      </c>
      <c r="B4724">
        <v>4200</v>
      </c>
      <c r="C4724" t="s">
        <v>8469</v>
      </c>
      <c r="D4724" t="s">
        <v>143</v>
      </c>
      <c r="E4724" t="s">
        <v>107</v>
      </c>
      <c r="F4724" t="s">
        <v>8470</v>
      </c>
      <c r="G4724" t="str">
        <f>"00012815"</f>
        <v>00012815</v>
      </c>
      <c r="H4724" t="s">
        <v>3999</v>
      </c>
      <c r="I4724">
        <v>0</v>
      </c>
      <c r="J4724">
        <v>0</v>
      </c>
      <c r="K4724">
        <v>0</v>
      </c>
      <c r="L4724">
        <v>0</v>
      </c>
      <c r="M4724">
        <v>0</v>
      </c>
      <c r="N4724">
        <v>0</v>
      </c>
      <c r="O4724">
        <v>0</v>
      </c>
      <c r="P4724">
        <v>0</v>
      </c>
      <c r="Q4724">
        <v>0</v>
      </c>
      <c r="R4724">
        <v>0</v>
      </c>
      <c r="S4724">
        <v>0</v>
      </c>
      <c r="T4724">
        <v>0</v>
      </c>
      <c r="U4724">
        <v>0</v>
      </c>
      <c r="V4724">
        <v>0</v>
      </c>
      <c r="W4724">
        <v>0</v>
      </c>
      <c r="X4724">
        <v>0</v>
      </c>
      <c r="Z4724">
        <v>1</v>
      </c>
      <c r="AA4724">
        <v>0</v>
      </c>
      <c r="AB4724">
        <v>0</v>
      </c>
      <c r="AC4724">
        <v>0</v>
      </c>
      <c r="AD4724" t="s">
        <v>3999</v>
      </c>
    </row>
    <row r="4725" spans="1:30" x14ac:dyDescent="0.25">
      <c r="H4725" t="s">
        <v>8471</v>
      </c>
    </row>
    <row r="4726" spans="1:30" x14ac:dyDescent="0.25">
      <c r="A4726">
        <v>2360</v>
      </c>
      <c r="B4726">
        <v>437</v>
      </c>
      <c r="C4726" t="s">
        <v>8472</v>
      </c>
      <c r="D4726" t="s">
        <v>229</v>
      </c>
      <c r="E4726" t="s">
        <v>995</v>
      </c>
      <c r="F4726" t="s">
        <v>8473</v>
      </c>
      <c r="G4726" t="str">
        <f>"00137802"</f>
        <v>00137802</v>
      </c>
      <c r="H4726">
        <v>671</v>
      </c>
      <c r="I4726">
        <v>0</v>
      </c>
      <c r="J4726">
        <v>0</v>
      </c>
      <c r="K4726">
        <v>0</v>
      </c>
      <c r="L4726">
        <v>0</v>
      </c>
      <c r="M4726">
        <v>0</v>
      </c>
      <c r="N4726">
        <v>0</v>
      </c>
      <c r="O4726">
        <v>0</v>
      </c>
      <c r="P4726">
        <v>0</v>
      </c>
      <c r="Q4726">
        <v>0</v>
      </c>
      <c r="R4726">
        <v>0</v>
      </c>
      <c r="S4726">
        <v>0</v>
      </c>
      <c r="T4726">
        <v>0</v>
      </c>
      <c r="U4726">
        <v>0</v>
      </c>
      <c r="V4726">
        <v>0</v>
      </c>
      <c r="W4726">
        <v>0</v>
      </c>
      <c r="X4726">
        <v>0</v>
      </c>
      <c r="Z4726">
        <v>0</v>
      </c>
      <c r="AA4726">
        <v>0</v>
      </c>
      <c r="AB4726">
        <v>0</v>
      </c>
      <c r="AC4726">
        <v>0</v>
      </c>
      <c r="AD4726">
        <v>671</v>
      </c>
    </row>
    <row r="4727" spans="1:30" x14ac:dyDescent="0.25">
      <c r="H4727" t="s">
        <v>2688</v>
      </c>
    </row>
    <row r="4728" spans="1:30" x14ac:dyDescent="0.25">
      <c r="A4728">
        <v>2361</v>
      </c>
      <c r="B4728">
        <v>3204</v>
      </c>
      <c r="C4728" t="s">
        <v>8474</v>
      </c>
      <c r="D4728" t="s">
        <v>661</v>
      </c>
      <c r="E4728" t="s">
        <v>1660</v>
      </c>
      <c r="F4728" t="s">
        <v>8475</v>
      </c>
      <c r="G4728" t="str">
        <f>"00203366"</f>
        <v>00203366</v>
      </c>
      <c r="H4728" t="s">
        <v>1490</v>
      </c>
      <c r="I4728">
        <v>0</v>
      </c>
      <c r="J4728">
        <v>0</v>
      </c>
      <c r="K4728">
        <v>0</v>
      </c>
      <c r="L4728">
        <v>0</v>
      </c>
      <c r="M4728">
        <v>0</v>
      </c>
      <c r="N4728">
        <v>0</v>
      </c>
      <c r="O4728">
        <v>0</v>
      </c>
      <c r="P4728">
        <v>0</v>
      </c>
      <c r="Q4728">
        <v>0</v>
      </c>
      <c r="R4728">
        <v>0</v>
      </c>
      <c r="S4728">
        <v>0</v>
      </c>
      <c r="T4728">
        <v>0</v>
      </c>
      <c r="U4728">
        <v>0</v>
      </c>
      <c r="V4728">
        <v>0</v>
      </c>
      <c r="W4728">
        <v>0</v>
      </c>
      <c r="X4728">
        <v>0</v>
      </c>
      <c r="Z4728">
        <v>0</v>
      </c>
      <c r="AA4728">
        <v>0</v>
      </c>
      <c r="AB4728">
        <v>0</v>
      </c>
      <c r="AC4728">
        <v>0</v>
      </c>
      <c r="AD4728" t="s">
        <v>1490</v>
      </c>
    </row>
    <row r="4729" spans="1:30" x14ac:dyDescent="0.25">
      <c r="H4729" t="s">
        <v>8476</v>
      </c>
    </row>
    <row r="4730" spans="1:30" x14ac:dyDescent="0.25">
      <c r="A4730">
        <v>2362</v>
      </c>
      <c r="B4730">
        <v>5289</v>
      </c>
      <c r="C4730" t="s">
        <v>8477</v>
      </c>
      <c r="D4730" t="s">
        <v>98</v>
      </c>
      <c r="E4730" t="s">
        <v>595</v>
      </c>
      <c r="F4730" t="s">
        <v>8478</v>
      </c>
      <c r="G4730" t="str">
        <f>"201412003321"</f>
        <v>201412003321</v>
      </c>
      <c r="H4730" t="s">
        <v>1490</v>
      </c>
      <c r="I4730">
        <v>0</v>
      </c>
      <c r="J4730">
        <v>0</v>
      </c>
      <c r="K4730">
        <v>0</v>
      </c>
      <c r="L4730">
        <v>0</v>
      </c>
      <c r="M4730">
        <v>0</v>
      </c>
      <c r="N4730">
        <v>0</v>
      </c>
      <c r="O4730">
        <v>0</v>
      </c>
      <c r="P4730">
        <v>0</v>
      </c>
      <c r="Q4730">
        <v>0</v>
      </c>
      <c r="R4730">
        <v>0</v>
      </c>
      <c r="S4730">
        <v>0</v>
      </c>
      <c r="T4730">
        <v>0</v>
      </c>
      <c r="U4730">
        <v>0</v>
      </c>
      <c r="V4730">
        <v>0</v>
      </c>
      <c r="W4730">
        <v>0</v>
      </c>
      <c r="X4730">
        <v>0</v>
      </c>
      <c r="Z4730">
        <v>0</v>
      </c>
      <c r="AA4730">
        <v>0</v>
      </c>
      <c r="AB4730">
        <v>0</v>
      </c>
      <c r="AC4730">
        <v>0</v>
      </c>
      <c r="AD4730" t="s">
        <v>1490</v>
      </c>
    </row>
    <row r="4731" spans="1:30" x14ac:dyDescent="0.25">
      <c r="H4731" t="s">
        <v>8479</v>
      </c>
    </row>
    <row r="4732" spans="1:30" x14ac:dyDescent="0.25">
      <c r="A4732">
        <v>2363</v>
      </c>
      <c r="B4732">
        <v>5716</v>
      </c>
      <c r="C4732" t="s">
        <v>8480</v>
      </c>
      <c r="D4732" t="s">
        <v>183</v>
      </c>
      <c r="E4732" t="s">
        <v>5756</v>
      </c>
      <c r="F4732" t="s">
        <v>8481</v>
      </c>
      <c r="G4732" t="str">
        <f>"00364019"</f>
        <v>00364019</v>
      </c>
      <c r="H4732" t="s">
        <v>1490</v>
      </c>
      <c r="I4732">
        <v>0</v>
      </c>
      <c r="J4732">
        <v>0</v>
      </c>
      <c r="K4732">
        <v>0</v>
      </c>
      <c r="L4732">
        <v>0</v>
      </c>
      <c r="M4732">
        <v>0</v>
      </c>
      <c r="N4732">
        <v>0</v>
      </c>
      <c r="O4732">
        <v>0</v>
      </c>
      <c r="P4732">
        <v>0</v>
      </c>
      <c r="Q4732">
        <v>0</v>
      </c>
      <c r="R4732">
        <v>0</v>
      </c>
      <c r="S4732">
        <v>0</v>
      </c>
      <c r="T4732">
        <v>0</v>
      </c>
      <c r="U4732">
        <v>0</v>
      </c>
      <c r="V4732">
        <v>0</v>
      </c>
      <c r="W4732">
        <v>0</v>
      </c>
      <c r="X4732">
        <v>0</v>
      </c>
      <c r="Z4732">
        <v>0</v>
      </c>
      <c r="AA4732">
        <v>0</v>
      </c>
      <c r="AB4732">
        <v>0</v>
      </c>
      <c r="AC4732">
        <v>0</v>
      </c>
      <c r="AD4732" t="s">
        <v>1490</v>
      </c>
    </row>
    <row r="4733" spans="1:30" x14ac:dyDescent="0.25">
      <c r="H4733" t="s">
        <v>8482</v>
      </c>
    </row>
    <row r="4734" spans="1:30" x14ac:dyDescent="0.25">
      <c r="A4734">
        <v>2364</v>
      </c>
      <c r="B4734">
        <v>29</v>
      </c>
      <c r="C4734" t="s">
        <v>8483</v>
      </c>
      <c r="D4734" t="s">
        <v>3312</v>
      </c>
      <c r="E4734" t="s">
        <v>22</v>
      </c>
      <c r="F4734" t="s">
        <v>8484</v>
      </c>
      <c r="G4734" t="str">
        <f>"00287399"</f>
        <v>00287399</v>
      </c>
      <c r="H4734" t="s">
        <v>4706</v>
      </c>
      <c r="I4734">
        <v>0</v>
      </c>
      <c r="J4734">
        <v>0</v>
      </c>
      <c r="K4734">
        <v>0</v>
      </c>
      <c r="L4734">
        <v>0</v>
      </c>
      <c r="M4734">
        <v>0</v>
      </c>
      <c r="N4734">
        <v>30</v>
      </c>
      <c r="O4734">
        <v>0</v>
      </c>
      <c r="P4734">
        <v>0</v>
      </c>
      <c r="Q4734">
        <v>0</v>
      </c>
      <c r="R4734">
        <v>0</v>
      </c>
      <c r="S4734">
        <v>0</v>
      </c>
      <c r="T4734">
        <v>0</v>
      </c>
      <c r="U4734">
        <v>0</v>
      </c>
      <c r="V4734">
        <v>0</v>
      </c>
      <c r="W4734">
        <v>0</v>
      </c>
      <c r="X4734">
        <v>0</v>
      </c>
      <c r="Z4734">
        <v>0</v>
      </c>
      <c r="AA4734">
        <v>0</v>
      </c>
      <c r="AB4734">
        <v>0</v>
      </c>
      <c r="AC4734">
        <v>0</v>
      </c>
      <c r="AD4734" t="s">
        <v>8485</v>
      </c>
    </row>
    <row r="4735" spans="1:30" x14ac:dyDescent="0.25">
      <c r="H4735" t="s">
        <v>8486</v>
      </c>
    </row>
    <row r="4736" spans="1:30" x14ac:dyDescent="0.25">
      <c r="A4736">
        <v>2365</v>
      </c>
      <c r="B4736">
        <v>5640</v>
      </c>
      <c r="C4736" t="s">
        <v>5677</v>
      </c>
      <c r="D4736" t="s">
        <v>8487</v>
      </c>
      <c r="E4736" t="s">
        <v>3948</v>
      </c>
      <c r="F4736" t="s">
        <v>8488</v>
      </c>
      <c r="G4736" t="str">
        <f>"00142308"</f>
        <v>00142308</v>
      </c>
      <c r="H4736" t="s">
        <v>1235</v>
      </c>
      <c r="I4736">
        <v>0</v>
      </c>
      <c r="J4736">
        <v>0</v>
      </c>
      <c r="K4736">
        <v>0</v>
      </c>
      <c r="L4736">
        <v>0</v>
      </c>
      <c r="M4736">
        <v>0</v>
      </c>
      <c r="N4736">
        <v>0</v>
      </c>
      <c r="O4736">
        <v>0</v>
      </c>
      <c r="P4736">
        <v>0</v>
      </c>
      <c r="Q4736">
        <v>0</v>
      </c>
      <c r="R4736">
        <v>0</v>
      </c>
      <c r="S4736">
        <v>0</v>
      </c>
      <c r="T4736">
        <v>0</v>
      </c>
      <c r="U4736">
        <v>0</v>
      </c>
      <c r="V4736">
        <v>0</v>
      </c>
      <c r="W4736">
        <v>0</v>
      </c>
      <c r="X4736">
        <v>0</v>
      </c>
      <c r="Z4736">
        <v>1</v>
      </c>
      <c r="AA4736">
        <v>0</v>
      </c>
      <c r="AB4736">
        <v>0</v>
      </c>
      <c r="AC4736">
        <v>0</v>
      </c>
      <c r="AD4736" t="s">
        <v>1235</v>
      </c>
    </row>
    <row r="4737" spans="1:30" x14ac:dyDescent="0.25">
      <c r="H4737" t="s">
        <v>8489</v>
      </c>
    </row>
    <row r="4738" spans="1:30" x14ac:dyDescent="0.25">
      <c r="A4738">
        <v>2366</v>
      </c>
      <c r="B4738">
        <v>3079</v>
      </c>
      <c r="C4738" t="s">
        <v>8490</v>
      </c>
      <c r="D4738" t="s">
        <v>47</v>
      </c>
      <c r="E4738" t="s">
        <v>107</v>
      </c>
      <c r="F4738" t="s">
        <v>8491</v>
      </c>
      <c r="G4738" t="str">
        <f>"00367145"</f>
        <v>00367145</v>
      </c>
      <c r="H4738" t="s">
        <v>2577</v>
      </c>
      <c r="I4738">
        <v>0</v>
      </c>
      <c r="J4738">
        <v>0</v>
      </c>
      <c r="K4738">
        <v>0</v>
      </c>
      <c r="L4738">
        <v>0</v>
      </c>
      <c r="M4738">
        <v>0</v>
      </c>
      <c r="N4738">
        <v>0</v>
      </c>
      <c r="O4738">
        <v>0</v>
      </c>
      <c r="P4738">
        <v>0</v>
      </c>
      <c r="Q4738">
        <v>0</v>
      </c>
      <c r="R4738">
        <v>0</v>
      </c>
      <c r="S4738">
        <v>0</v>
      </c>
      <c r="T4738">
        <v>0</v>
      </c>
      <c r="U4738">
        <v>0</v>
      </c>
      <c r="V4738">
        <v>0</v>
      </c>
      <c r="W4738">
        <v>0</v>
      </c>
      <c r="X4738">
        <v>0</v>
      </c>
      <c r="Z4738">
        <v>2</v>
      </c>
      <c r="AA4738">
        <v>0</v>
      </c>
      <c r="AB4738">
        <v>0</v>
      </c>
      <c r="AC4738">
        <v>0</v>
      </c>
      <c r="AD4738" t="s">
        <v>2577</v>
      </c>
    </row>
    <row r="4739" spans="1:30" x14ac:dyDescent="0.25">
      <c r="H4739" t="s">
        <v>712</v>
      </c>
    </row>
    <row r="4740" spans="1:30" x14ac:dyDescent="0.25">
      <c r="A4740">
        <v>2367</v>
      </c>
      <c r="B4740">
        <v>5949</v>
      </c>
      <c r="C4740" t="s">
        <v>8492</v>
      </c>
      <c r="D4740" t="s">
        <v>8493</v>
      </c>
      <c r="E4740" t="s">
        <v>40</v>
      </c>
      <c r="F4740" t="s">
        <v>8494</v>
      </c>
      <c r="G4740" t="str">
        <f>"201511038913"</f>
        <v>201511038913</v>
      </c>
      <c r="H4740" t="s">
        <v>1732</v>
      </c>
      <c r="I4740">
        <v>0</v>
      </c>
      <c r="J4740">
        <v>0</v>
      </c>
      <c r="K4740">
        <v>0</v>
      </c>
      <c r="L4740">
        <v>0</v>
      </c>
      <c r="M4740">
        <v>0</v>
      </c>
      <c r="N4740">
        <v>30</v>
      </c>
      <c r="O4740">
        <v>0</v>
      </c>
      <c r="P4740">
        <v>0</v>
      </c>
      <c r="Q4740">
        <v>0</v>
      </c>
      <c r="R4740">
        <v>0</v>
      </c>
      <c r="S4740">
        <v>0</v>
      </c>
      <c r="T4740">
        <v>0</v>
      </c>
      <c r="U4740">
        <v>0</v>
      </c>
      <c r="V4740">
        <v>0</v>
      </c>
      <c r="W4740">
        <v>0</v>
      </c>
      <c r="X4740">
        <v>0</v>
      </c>
      <c r="Z4740">
        <v>0</v>
      </c>
      <c r="AA4740">
        <v>0</v>
      </c>
      <c r="AB4740">
        <v>0</v>
      </c>
      <c r="AC4740">
        <v>0</v>
      </c>
      <c r="AD4740" t="s">
        <v>8495</v>
      </c>
    </row>
    <row r="4741" spans="1:30" x14ac:dyDescent="0.25">
      <c r="H4741" t="s">
        <v>8496</v>
      </c>
    </row>
    <row r="4742" spans="1:30" x14ac:dyDescent="0.25">
      <c r="A4742">
        <v>2368</v>
      </c>
      <c r="B4742">
        <v>1490</v>
      </c>
      <c r="C4742" t="s">
        <v>8497</v>
      </c>
      <c r="D4742" t="s">
        <v>238</v>
      </c>
      <c r="E4742" t="s">
        <v>1265</v>
      </c>
      <c r="F4742" t="s">
        <v>8498</v>
      </c>
      <c r="G4742" t="str">
        <f>"00305854"</f>
        <v>00305854</v>
      </c>
      <c r="H4742" t="s">
        <v>1732</v>
      </c>
      <c r="I4742">
        <v>0</v>
      </c>
      <c r="J4742">
        <v>0</v>
      </c>
      <c r="K4742">
        <v>0</v>
      </c>
      <c r="L4742">
        <v>0</v>
      </c>
      <c r="M4742">
        <v>0</v>
      </c>
      <c r="N4742">
        <v>30</v>
      </c>
      <c r="O4742">
        <v>0</v>
      </c>
      <c r="P4742">
        <v>0</v>
      </c>
      <c r="Q4742">
        <v>0</v>
      </c>
      <c r="R4742">
        <v>0</v>
      </c>
      <c r="S4742">
        <v>0</v>
      </c>
      <c r="T4742">
        <v>0</v>
      </c>
      <c r="U4742">
        <v>0</v>
      </c>
      <c r="V4742">
        <v>0</v>
      </c>
      <c r="W4742">
        <v>0</v>
      </c>
      <c r="X4742">
        <v>0</v>
      </c>
      <c r="Z4742">
        <v>0</v>
      </c>
      <c r="AA4742">
        <v>0</v>
      </c>
      <c r="AB4742">
        <v>0</v>
      </c>
      <c r="AC4742">
        <v>0</v>
      </c>
      <c r="AD4742" t="s">
        <v>8495</v>
      </c>
    </row>
    <row r="4743" spans="1:30" x14ac:dyDescent="0.25">
      <c r="H4743" t="s">
        <v>8499</v>
      </c>
    </row>
    <row r="4744" spans="1:30" x14ac:dyDescent="0.25">
      <c r="A4744">
        <v>2369</v>
      </c>
      <c r="B4744">
        <v>558</v>
      </c>
      <c r="C4744" t="s">
        <v>8500</v>
      </c>
      <c r="D4744" t="s">
        <v>40</v>
      </c>
      <c r="E4744" t="s">
        <v>7988</v>
      </c>
      <c r="F4744" t="s">
        <v>8501</v>
      </c>
      <c r="G4744" t="str">
        <f>"00295130"</f>
        <v>00295130</v>
      </c>
      <c r="H4744" t="s">
        <v>1732</v>
      </c>
      <c r="I4744">
        <v>0</v>
      </c>
      <c r="J4744">
        <v>0</v>
      </c>
      <c r="K4744">
        <v>0</v>
      </c>
      <c r="L4744">
        <v>0</v>
      </c>
      <c r="M4744">
        <v>0</v>
      </c>
      <c r="N4744">
        <v>30</v>
      </c>
      <c r="O4744">
        <v>0</v>
      </c>
      <c r="P4744">
        <v>0</v>
      </c>
      <c r="Q4744">
        <v>0</v>
      </c>
      <c r="R4744">
        <v>0</v>
      </c>
      <c r="S4744">
        <v>0</v>
      </c>
      <c r="T4744">
        <v>0</v>
      </c>
      <c r="U4744">
        <v>0</v>
      </c>
      <c r="V4744">
        <v>0</v>
      </c>
      <c r="W4744">
        <v>0</v>
      </c>
      <c r="X4744">
        <v>0</v>
      </c>
      <c r="Z4744">
        <v>0</v>
      </c>
      <c r="AA4744">
        <v>0</v>
      </c>
      <c r="AB4744">
        <v>0</v>
      </c>
      <c r="AC4744">
        <v>0</v>
      </c>
      <c r="AD4744" t="s">
        <v>8495</v>
      </c>
    </row>
    <row r="4745" spans="1:30" x14ac:dyDescent="0.25">
      <c r="H4745" t="s">
        <v>8502</v>
      </c>
    </row>
    <row r="4746" spans="1:30" x14ac:dyDescent="0.25">
      <c r="A4746">
        <v>2370</v>
      </c>
      <c r="B4746">
        <v>2384</v>
      </c>
      <c r="C4746" t="s">
        <v>3084</v>
      </c>
      <c r="D4746" t="s">
        <v>166</v>
      </c>
      <c r="E4746" t="s">
        <v>238</v>
      </c>
      <c r="F4746" t="s">
        <v>8503</v>
      </c>
      <c r="G4746" t="str">
        <f>"00160702"</f>
        <v>00160702</v>
      </c>
      <c r="H4746" t="s">
        <v>3212</v>
      </c>
      <c r="I4746">
        <v>0</v>
      </c>
      <c r="J4746">
        <v>0</v>
      </c>
      <c r="K4746">
        <v>0</v>
      </c>
      <c r="L4746">
        <v>0</v>
      </c>
      <c r="M4746">
        <v>0</v>
      </c>
      <c r="N4746">
        <v>0</v>
      </c>
      <c r="O4746">
        <v>0</v>
      </c>
      <c r="P4746">
        <v>0</v>
      </c>
      <c r="Q4746">
        <v>0</v>
      </c>
      <c r="R4746">
        <v>0</v>
      </c>
      <c r="S4746">
        <v>0</v>
      </c>
      <c r="T4746">
        <v>0</v>
      </c>
      <c r="U4746">
        <v>0</v>
      </c>
      <c r="V4746">
        <v>0</v>
      </c>
      <c r="W4746">
        <v>0</v>
      </c>
      <c r="X4746">
        <v>0</v>
      </c>
      <c r="Z4746">
        <v>2</v>
      </c>
      <c r="AA4746">
        <v>0</v>
      </c>
      <c r="AB4746">
        <v>0</v>
      </c>
      <c r="AC4746">
        <v>0</v>
      </c>
      <c r="AD4746" t="s">
        <v>3212</v>
      </c>
    </row>
    <row r="4747" spans="1:30" x14ac:dyDescent="0.25">
      <c r="H4747" t="s">
        <v>8504</v>
      </c>
    </row>
    <row r="4748" spans="1:30" x14ac:dyDescent="0.25">
      <c r="A4748">
        <v>2371</v>
      </c>
      <c r="B4748">
        <v>5744</v>
      </c>
      <c r="C4748" t="s">
        <v>8505</v>
      </c>
      <c r="D4748" t="s">
        <v>46</v>
      </c>
      <c r="E4748" t="s">
        <v>39</v>
      </c>
      <c r="F4748" t="s">
        <v>8506</v>
      </c>
      <c r="G4748" t="str">
        <f>"00004549"</f>
        <v>00004549</v>
      </c>
      <c r="H4748" t="s">
        <v>3212</v>
      </c>
      <c r="I4748">
        <v>0</v>
      </c>
      <c r="J4748">
        <v>0</v>
      </c>
      <c r="K4748">
        <v>0</v>
      </c>
      <c r="L4748">
        <v>0</v>
      </c>
      <c r="M4748">
        <v>0</v>
      </c>
      <c r="N4748">
        <v>0</v>
      </c>
      <c r="O4748">
        <v>0</v>
      </c>
      <c r="P4748">
        <v>0</v>
      </c>
      <c r="Q4748">
        <v>0</v>
      </c>
      <c r="R4748">
        <v>0</v>
      </c>
      <c r="S4748">
        <v>0</v>
      </c>
      <c r="T4748">
        <v>0</v>
      </c>
      <c r="U4748">
        <v>0</v>
      </c>
      <c r="V4748">
        <v>0</v>
      </c>
      <c r="W4748">
        <v>0</v>
      </c>
      <c r="X4748">
        <v>0</v>
      </c>
      <c r="Z4748">
        <v>0</v>
      </c>
      <c r="AA4748">
        <v>0</v>
      </c>
      <c r="AB4748">
        <v>0</v>
      </c>
      <c r="AC4748">
        <v>0</v>
      </c>
      <c r="AD4748" t="s">
        <v>3212</v>
      </c>
    </row>
    <row r="4749" spans="1:30" x14ac:dyDescent="0.25">
      <c r="H4749" t="s">
        <v>8489</v>
      </c>
    </row>
    <row r="4750" spans="1:30" x14ac:dyDescent="0.25">
      <c r="A4750">
        <v>2372</v>
      </c>
      <c r="B4750">
        <v>4943</v>
      </c>
      <c r="C4750" t="s">
        <v>8507</v>
      </c>
      <c r="D4750" t="s">
        <v>8508</v>
      </c>
      <c r="E4750" t="s">
        <v>238</v>
      </c>
      <c r="F4750" t="s">
        <v>8509</v>
      </c>
      <c r="G4750" t="str">
        <f>"00364128"</f>
        <v>00364128</v>
      </c>
      <c r="H4750" t="s">
        <v>1471</v>
      </c>
      <c r="I4750">
        <v>0</v>
      </c>
      <c r="J4750">
        <v>0</v>
      </c>
      <c r="K4750">
        <v>0</v>
      </c>
      <c r="L4750">
        <v>0</v>
      </c>
      <c r="M4750">
        <v>0</v>
      </c>
      <c r="N4750">
        <v>30</v>
      </c>
      <c r="O4750">
        <v>0</v>
      </c>
      <c r="P4750">
        <v>0</v>
      </c>
      <c r="Q4750">
        <v>0</v>
      </c>
      <c r="R4750">
        <v>0</v>
      </c>
      <c r="S4750">
        <v>0</v>
      </c>
      <c r="T4750">
        <v>0</v>
      </c>
      <c r="U4750">
        <v>0</v>
      </c>
      <c r="V4750">
        <v>0</v>
      </c>
      <c r="W4750">
        <v>0</v>
      </c>
      <c r="X4750">
        <v>0</v>
      </c>
      <c r="Z4750">
        <v>0</v>
      </c>
      <c r="AA4750">
        <v>0</v>
      </c>
      <c r="AB4750">
        <v>0</v>
      </c>
      <c r="AC4750">
        <v>0</v>
      </c>
      <c r="AD4750" t="s">
        <v>8510</v>
      </c>
    </row>
    <row r="4751" spans="1:30" x14ac:dyDescent="0.25">
      <c r="H4751" t="s">
        <v>8511</v>
      </c>
    </row>
    <row r="4752" spans="1:30" x14ac:dyDescent="0.25">
      <c r="A4752">
        <v>2373</v>
      </c>
      <c r="B4752">
        <v>6159</v>
      </c>
      <c r="C4752" t="s">
        <v>2235</v>
      </c>
      <c r="D4752" t="s">
        <v>335</v>
      </c>
      <c r="E4752" t="s">
        <v>107</v>
      </c>
      <c r="F4752" t="s">
        <v>8512</v>
      </c>
      <c r="G4752" t="str">
        <f>"00241301"</f>
        <v>00241301</v>
      </c>
      <c r="H4752" t="s">
        <v>1261</v>
      </c>
      <c r="I4752">
        <v>0</v>
      </c>
      <c r="J4752">
        <v>0</v>
      </c>
      <c r="K4752">
        <v>0</v>
      </c>
      <c r="L4752">
        <v>0</v>
      </c>
      <c r="M4752">
        <v>0</v>
      </c>
      <c r="N4752">
        <v>0</v>
      </c>
      <c r="O4752">
        <v>0</v>
      </c>
      <c r="P4752">
        <v>0</v>
      </c>
      <c r="Q4752">
        <v>0</v>
      </c>
      <c r="R4752">
        <v>0</v>
      </c>
      <c r="S4752">
        <v>0</v>
      </c>
      <c r="T4752">
        <v>0</v>
      </c>
      <c r="U4752">
        <v>0</v>
      </c>
      <c r="V4752">
        <v>0</v>
      </c>
      <c r="W4752">
        <v>0</v>
      </c>
      <c r="X4752">
        <v>0</v>
      </c>
      <c r="Z4752">
        <v>0</v>
      </c>
      <c r="AA4752">
        <v>0</v>
      </c>
      <c r="AB4752">
        <v>0</v>
      </c>
      <c r="AC4752">
        <v>0</v>
      </c>
      <c r="AD4752" t="s">
        <v>1261</v>
      </c>
    </row>
    <row r="4753" spans="1:30" x14ac:dyDescent="0.25">
      <c r="H4753" t="s">
        <v>8513</v>
      </c>
    </row>
    <row r="4754" spans="1:30" x14ac:dyDescent="0.25">
      <c r="A4754">
        <v>2374</v>
      </c>
      <c r="B4754">
        <v>2293</v>
      </c>
      <c r="C4754" t="s">
        <v>8514</v>
      </c>
      <c r="D4754" t="s">
        <v>40</v>
      </c>
      <c r="E4754" t="s">
        <v>39</v>
      </c>
      <c r="F4754" t="s">
        <v>8515</v>
      </c>
      <c r="G4754" t="str">
        <f>"00295704"</f>
        <v>00295704</v>
      </c>
      <c r="H4754" t="s">
        <v>7190</v>
      </c>
      <c r="I4754">
        <v>0</v>
      </c>
      <c r="J4754">
        <v>0</v>
      </c>
      <c r="K4754">
        <v>0</v>
      </c>
      <c r="L4754">
        <v>0</v>
      </c>
      <c r="M4754">
        <v>0</v>
      </c>
      <c r="N4754">
        <v>0</v>
      </c>
      <c r="O4754">
        <v>0</v>
      </c>
      <c r="P4754">
        <v>0</v>
      </c>
      <c r="Q4754">
        <v>0</v>
      </c>
      <c r="R4754">
        <v>0</v>
      </c>
      <c r="S4754">
        <v>0</v>
      </c>
      <c r="T4754">
        <v>0</v>
      </c>
      <c r="U4754">
        <v>0</v>
      </c>
      <c r="V4754">
        <v>0</v>
      </c>
      <c r="W4754">
        <v>0</v>
      </c>
      <c r="X4754">
        <v>0</v>
      </c>
      <c r="Z4754">
        <v>0</v>
      </c>
      <c r="AA4754">
        <v>0</v>
      </c>
      <c r="AB4754">
        <v>0</v>
      </c>
      <c r="AC4754">
        <v>0</v>
      </c>
      <c r="AD4754" t="s">
        <v>7190</v>
      </c>
    </row>
    <row r="4755" spans="1:30" x14ac:dyDescent="0.25">
      <c r="H4755" t="s">
        <v>8516</v>
      </c>
    </row>
    <row r="4756" spans="1:30" x14ac:dyDescent="0.25">
      <c r="A4756">
        <v>2375</v>
      </c>
      <c r="B4756">
        <v>354</v>
      </c>
      <c r="C4756" t="s">
        <v>8517</v>
      </c>
      <c r="D4756" t="s">
        <v>40</v>
      </c>
      <c r="E4756" t="s">
        <v>80</v>
      </c>
      <c r="F4756" t="s">
        <v>8518</v>
      </c>
      <c r="G4756" t="str">
        <f>"00226060"</f>
        <v>00226060</v>
      </c>
      <c r="H4756" t="s">
        <v>8519</v>
      </c>
      <c r="I4756">
        <v>0</v>
      </c>
      <c r="J4756">
        <v>0</v>
      </c>
      <c r="K4756">
        <v>0</v>
      </c>
      <c r="L4756">
        <v>0</v>
      </c>
      <c r="M4756">
        <v>0</v>
      </c>
      <c r="N4756">
        <v>30</v>
      </c>
      <c r="O4756">
        <v>0</v>
      </c>
      <c r="P4756">
        <v>0</v>
      </c>
      <c r="Q4756">
        <v>0</v>
      </c>
      <c r="R4756">
        <v>0</v>
      </c>
      <c r="S4756">
        <v>0</v>
      </c>
      <c r="T4756">
        <v>0</v>
      </c>
      <c r="U4756">
        <v>0</v>
      </c>
      <c r="V4756">
        <v>0</v>
      </c>
      <c r="W4756">
        <v>0</v>
      </c>
      <c r="X4756">
        <v>0</v>
      </c>
      <c r="Z4756">
        <v>0</v>
      </c>
      <c r="AA4756">
        <v>0</v>
      </c>
      <c r="AB4756">
        <v>0</v>
      </c>
      <c r="AC4756">
        <v>0</v>
      </c>
      <c r="AD4756" t="s">
        <v>8520</v>
      </c>
    </row>
    <row r="4757" spans="1:30" x14ac:dyDescent="0.25">
      <c r="H4757" t="s">
        <v>8521</v>
      </c>
    </row>
    <row r="4758" spans="1:30" x14ac:dyDescent="0.25">
      <c r="A4758">
        <v>2376</v>
      </c>
      <c r="B4758">
        <v>4122</v>
      </c>
      <c r="C4758" t="s">
        <v>694</v>
      </c>
      <c r="D4758" t="s">
        <v>8522</v>
      </c>
      <c r="E4758" t="s">
        <v>162</v>
      </c>
      <c r="F4758" t="s">
        <v>8523</v>
      </c>
      <c r="G4758" t="str">
        <f>"00362937"</f>
        <v>00362937</v>
      </c>
      <c r="H4758" t="s">
        <v>3906</v>
      </c>
      <c r="I4758">
        <v>0</v>
      </c>
      <c r="J4758">
        <v>0</v>
      </c>
      <c r="K4758">
        <v>0</v>
      </c>
      <c r="L4758">
        <v>0</v>
      </c>
      <c r="M4758">
        <v>0</v>
      </c>
      <c r="N4758">
        <v>0</v>
      </c>
      <c r="O4758">
        <v>0</v>
      </c>
      <c r="P4758">
        <v>0</v>
      </c>
      <c r="Q4758">
        <v>0</v>
      </c>
      <c r="R4758">
        <v>0</v>
      </c>
      <c r="S4758">
        <v>0</v>
      </c>
      <c r="T4758">
        <v>0</v>
      </c>
      <c r="U4758">
        <v>0</v>
      </c>
      <c r="V4758">
        <v>4</v>
      </c>
      <c r="W4758">
        <v>28</v>
      </c>
      <c r="X4758">
        <v>0</v>
      </c>
      <c r="Z4758">
        <v>0</v>
      </c>
      <c r="AA4758">
        <v>0</v>
      </c>
      <c r="AB4758">
        <v>0</v>
      </c>
      <c r="AC4758">
        <v>0</v>
      </c>
      <c r="AD4758" t="s">
        <v>8524</v>
      </c>
    </row>
    <row r="4759" spans="1:30" x14ac:dyDescent="0.25">
      <c r="H4759" t="s">
        <v>8525</v>
      </c>
    </row>
    <row r="4760" spans="1:30" x14ac:dyDescent="0.25">
      <c r="A4760">
        <v>2377</v>
      </c>
      <c r="B4760">
        <v>2107</v>
      </c>
      <c r="C4760" t="s">
        <v>8526</v>
      </c>
      <c r="D4760" t="s">
        <v>685</v>
      </c>
      <c r="E4760" t="s">
        <v>183</v>
      </c>
      <c r="F4760" t="s">
        <v>8527</v>
      </c>
      <c r="G4760" t="str">
        <f>"00146564"</f>
        <v>00146564</v>
      </c>
      <c r="H4760" t="s">
        <v>5459</v>
      </c>
      <c r="I4760">
        <v>0</v>
      </c>
      <c r="J4760">
        <v>0</v>
      </c>
      <c r="K4760">
        <v>0</v>
      </c>
      <c r="L4760">
        <v>0</v>
      </c>
      <c r="M4760">
        <v>0</v>
      </c>
      <c r="N4760">
        <v>30</v>
      </c>
      <c r="O4760">
        <v>0</v>
      </c>
      <c r="P4760">
        <v>0</v>
      </c>
      <c r="Q4760">
        <v>0</v>
      </c>
      <c r="R4760">
        <v>0</v>
      </c>
      <c r="S4760">
        <v>0</v>
      </c>
      <c r="T4760">
        <v>0</v>
      </c>
      <c r="U4760">
        <v>0</v>
      </c>
      <c r="V4760">
        <v>0</v>
      </c>
      <c r="W4760">
        <v>0</v>
      </c>
      <c r="X4760">
        <v>0</v>
      </c>
      <c r="Z4760">
        <v>0</v>
      </c>
      <c r="AA4760">
        <v>0</v>
      </c>
      <c r="AB4760">
        <v>0</v>
      </c>
      <c r="AC4760">
        <v>0</v>
      </c>
      <c r="AD4760" t="s">
        <v>8528</v>
      </c>
    </row>
    <row r="4761" spans="1:30" x14ac:dyDescent="0.25">
      <c r="H4761" t="s">
        <v>8529</v>
      </c>
    </row>
    <row r="4762" spans="1:30" x14ac:dyDescent="0.25">
      <c r="A4762">
        <v>2378</v>
      </c>
      <c r="B4762">
        <v>3047</v>
      </c>
      <c r="C4762" t="s">
        <v>8530</v>
      </c>
      <c r="D4762" t="s">
        <v>114</v>
      </c>
      <c r="E4762" t="s">
        <v>239</v>
      </c>
      <c r="F4762" t="s">
        <v>8531</v>
      </c>
      <c r="G4762" t="str">
        <f>"201604001740"</f>
        <v>201604001740</v>
      </c>
      <c r="H4762">
        <v>660</v>
      </c>
      <c r="I4762">
        <v>0</v>
      </c>
      <c r="J4762">
        <v>0</v>
      </c>
      <c r="K4762">
        <v>0</v>
      </c>
      <c r="L4762">
        <v>0</v>
      </c>
      <c r="M4762">
        <v>0</v>
      </c>
      <c r="N4762">
        <v>0</v>
      </c>
      <c r="O4762">
        <v>0</v>
      </c>
      <c r="P4762">
        <v>0</v>
      </c>
      <c r="Q4762">
        <v>0</v>
      </c>
      <c r="R4762">
        <v>0</v>
      </c>
      <c r="S4762">
        <v>0</v>
      </c>
      <c r="T4762">
        <v>0</v>
      </c>
      <c r="U4762">
        <v>0</v>
      </c>
      <c r="V4762">
        <v>0</v>
      </c>
      <c r="W4762">
        <v>0</v>
      </c>
      <c r="X4762">
        <v>0</v>
      </c>
      <c r="Z4762">
        <v>0</v>
      </c>
      <c r="AA4762">
        <v>0</v>
      </c>
      <c r="AB4762">
        <v>0</v>
      </c>
      <c r="AC4762">
        <v>0</v>
      </c>
      <c r="AD4762">
        <v>660</v>
      </c>
    </row>
    <row r="4763" spans="1:30" x14ac:dyDescent="0.25">
      <c r="H4763" t="s">
        <v>3046</v>
      </c>
    </row>
    <row r="4764" spans="1:30" x14ac:dyDescent="0.25">
      <c r="A4764">
        <v>2379</v>
      </c>
      <c r="B4764">
        <v>787</v>
      </c>
      <c r="C4764" t="s">
        <v>8532</v>
      </c>
      <c r="D4764" t="s">
        <v>3522</v>
      </c>
      <c r="E4764" t="s">
        <v>8533</v>
      </c>
      <c r="F4764" t="s">
        <v>8534</v>
      </c>
      <c r="G4764" t="str">
        <f>"00308606"</f>
        <v>00308606</v>
      </c>
      <c r="H4764">
        <v>660</v>
      </c>
      <c r="I4764">
        <v>0</v>
      </c>
      <c r="J4764">
        <v>0</v>
      </c>
      <c r="K4764">
        <v>0</v>
      </c>
      <c r="L4764">
        <v>0</v>
      </c>
      <c r="M4764">
        <v>0</v>
      </c>
      <c r="N4764">
        <v>0</v>
      </c>
      <c r="O4764">
        <v>0</v>
      </c>
      <c r="P4764">
        <v>0</v>
      </c>
      <c r="Q4764">
        <v>0</v>
      </c>
      <c r="R4764">
        <v>0</v>
      </c>
      <c r="S4764">
        <v>0</v>
      </c>
      <c r="T4764">
        <v>0</v>
      </c>
      <c r="U4764">
        <v>0</v>
      </c>
      <c r="V4764">
        <v>0</v>
      </c>
      <c r="W4764">
        <v>0</v>
      </c>
      <c r="X4764">
        <v>0</v>
      </c>
      <c r="Z4764">
        <v>0</v>
      </c>
      <c r="AA4764">
        <v>0</v>
      </c>
      <c r="AB4764">
        <v>0</v>
      </c>
      <c r="AC4764">
        <v>0</v>
      </c>
      <c r="AD4764">
        <v>660</v>
      </c>
    </row>
    <row r="4765" spans="1:30" x14ac:dyDescent="0.25">
      <c r="H4765" t="s">
        <v>6032</v>
      </c>
    </row>
    <row r="4766" spans="1:30" x14ac:dyDescent="0.25">
      <c r="A4766">
        <v>2380</v>
      </c>
      <c r="B4766">
        <v>3727</v>
      </c>
      <c r="C4766" t="s">
        <v>8535</v>
      </c>
      <c r="D4766" t="s">
        <v>8536</v>
      </c>
      <c r="E4766" t="s">
        <v>91</v>
      </c>
      <c r="F4766" t="s">
        <v>8537</v>
      </c>
      <c r="G4766" t="str">
        <f>"00362989"</f>
        <v>00362989</v>
      </c>
      <c r="H4766">
        <v>660</v>
      </c>
      <c r="I4766">
        <v>0</v>
      </c>
      <c r="J4766">
        <v>0</v>
      </c>
      <c r="K4766">
        <v>0</v>
      </c>
      <c r="L4766">
        <v>0</v>
      </c>
      <c r="M4766">
        <v>0</v>
      </c>
      <c r="N4766">
        <v>0</v>
      </c>
      <c r="O4766">
        <v>0</v>
      </c>
      <c r="P4766">
        <v>0</v>
      </c>
      <c r="Q4766">
        <v>0</v>
      </c>
      <c r="R4766">
        <v>0</v>
      </c>
      <c r="S4766">
        <v>0</v>
      </c>
      <c r="T4766">
        <v>0</v>
      </c>
      <c r="U4766">
        <v>0</v>
      </c>
      <c r="V4766">
        <v>0</v>
      </c>
      <c r="W4766">
        <v>0</v>
      </c>
      <c r="X4766">
        <v>0</v>
      </c>
      <c r="Z4766">
        <v>0</v>
      </c>
      <c r="AA4766">
        <v>0</v>
      </c>
      <c r="AB4766">
        <v>0</v>
      </c>
      <c r="AC4766">
        <v>0</v>
      </c>
      <c r="AD4766">
        <v>660</v>
      </c>
    </row>
    <row r="4767" spans="1:30" x14ac:dyDescent="0.25">
      <c r="H4767" t="s">
        <v>8538</v>
      </c>
    </row>
    <row r="4768" spans="1:30" x14ac:dyDescent="0.25">
      <c r="A4768">
        <v>2381</v>
      </c>
      <c r="B4768">
        <v>2613</v>
      </c>
      <c r="C4768" t="s">
        <v>8539</v>
      </c>
      <c r="D4768" t="s">
        <v>32</v>
      </c>
      <c r="E4768" t="s">
        <v>47</v>
      </c>
      <c r="F4768" t="s">
        <v>8540</v>
      </c>
      <c r="G4768" t="str">
        <f>"00333325"</f>
        <v>00333325</v>
      </c>
      <c r="H4768">
        <v>660</v>
      </c>
      <c r="I4768">
        <v>0</v>
      </c>
      <c r="J4768">
        <v>0</v>
      </c>
      <c r="K4768">
        <v>0</v>
      </c>
      <c r="L4768">
        <v>0</v>
      </c>
      <c r="M4768">
        <v>0</v>
      </c>
      <c r="N4768">
        <v>0</v>
      </c>
      <c r="O4768">
        <v>0</v>
      </c>
      <c r="P4768">
        <v>0</v>
      </c>
      <c r="Q4768">
        <v>0</v>
      </c>
      <c r="R4768">
        <v>0</v>
      </c>
      <c r="S4768">
        <v>0</v>
      </c>
      <c r="T4768">
        <v>0</v>
      </c>
      <c r="U4768">
        <v>0</v>
      </c>
      <c r="V4768">
        <v>0</v>
      </c>
      <c r="W4768">
        <v>0</v>
      </c>
      <c r="X4768">
        <v>0</v>
      </c>
      <c r="Z4768">
        <v>0</v>
      </c>
      <c r="AA4768">
        <v>0</v>
      </c>
      <c r="AB4768">
        <v>0</v>
      </c>
      <c r="AC4768">
        <v>0</v>
      </c>
      <c r="AD4768">
        <v>660</v>
      </c>
    </row>
    <row r="4769" spans="1:30" x14ac:dyDescent="0.25">
      <c r="H4769" t="s">
        <v>2017</v>
      </c>
    </row>
    <row r="4770" spans="1:30" x14ac:dyDescent="0.25">
      <c r="A4770">
        <v>2382</v>
      </c>
      <c r="B4770">
        <v>4928</v>
      </c>
      <c r="C4770" t="s">
        <v>8541</v>
      </c>
      <c r="D4770" t="s">
        <v>39</v>
      </c>
      <c r="E4770" t="s">
        <v>183</v>
      </c>
      <c r="F4770" t="s">
        <v>8542</v>
      </c>
      <c r="G4770" t="str">
        <f>"00352263"</f>
        <v>00352263</v>
      </c>
      <c r="H4770">
        <v>660</v>
      </c>
      <c r="I4770">
        <v>0</v>
      </c>
      <c r="J4770">
        <v>0</v>
      </c>
      <c r="K4770">
        <v>0</v>
      </c>
      <c r="L4770">
        <v>0</v>
      </c>
      <c r="M4770">
        <v>0</v>
      </c>
      <c r="N4770">
        <v>0</v>
      </c>
      <c r="O4770">
        <v>0</v>
      </c>
      <c r="P4770">
        <v>0</v>
      </c>
      <c r="Q4770">
        <v>0</v>
      </c>
      <c r="R4770">
        <v>0</v>
      </c>
      <c r="S4770">
        <v>0</v>
      </c>
      <c r="T4770">
        <v>0</v>
      </c>
      <c r="U4770">
        <v>0</v>
      </c>
      <c r="V4770">
        <v>0</v>
      </c>
      <c r="W4770">
        <v>0</v>
      </c>
      <c r="X4770">
        <v>0</v>
      </c>
      <c r="Z4770">
        <v>0</v>
      </c>
      <c r="AA4770">
        <v>0</v>
      </c>
      <c r="AB4770">
        <v>0</v>
      </c>
      <c r="AC4770">
        <v>0</v>
      </c>
      <c r="AD4770">
        <v>660</v>
      </c>
    </row>
    <row r="4771" spans="1:30" x14ac:dyDescent="0.25">
      <c r="H4771" t="s">
        <v>8543</v>
      </c>
    </row>
    <row r="4772" spans="1:30" x14ac:dyDescent="0.25">
      <c r="A4772">
        <v>2383</v>
      </c>
      <c r="B4772">
        <v>1475</v>
      </c>
      <c r="C4772" t="s">
        <v>8544</v>
      </c>
      <c r="D4772" t="s">
        <v>51</v>
      </c>
      <c r="E4772" t="s">
        <v>595</v>
      </c>
      <c r="F4772" t="s">
        <v>8545</v>
      </c>
      <c r="G4772" t="str">
        <f>"201511031457"</f>
        <v>201511031457</v>
      </c>
      <c r="H4772" t="s">
        <v>4718</v>
      </c>
      <c r="I4772">
        <v>0</v>
      </c>
      <c r="J4772">
        <v>0</v>
      </c>
      <c r="K4772">
        <v>0</v>
      </c>
      <c r="L4772">
        <v>0</v>
      </c>
      <c r="M4772">
        <v>0</v>
      </c>
      <c r="N4772">
        <v>0</v>
      </c>
      <c r="O4772">
        <v>0</v>
      </c>
      <c r="P4772">
        <v>0</v>
      </c>
      <c r="Q4772">
        <v>0</v>
      </c>
      <c r="R4772">
        <v>0</v>
      </c>
      <c r="S4772">
        <v>0</v>
      </c>
      <c r="T4772">
        <v>0</v>
      </c>
      <c r="U4772">
        <v>0</v>
      </c>
      <c r="V4772">
        <v>0</v>
      </c>
      <c r="W4772">
        <v>0</v>
      </c>
      <c r="X4772">
        <v>0</v>
      </c>
      <c r="Z4772">
        <v>0</v>
      </c>
      <c r="AA4772">
        <v>0</v>
      </c>
      <c r="AB4772">
        <v>0</v>
      </c>
      <c r="AC4772">
        <v>0</v>
      </c>
      <c r="AD4772" t="s">
        <v>4718</v>
      </c>
    </row>
    <row r="4773" spans="1:30" x14ac:dyDescent="0.25">
      <c r="H4773" t="s">
        <v>3046</v>
      </c>
    </row>
    <row r="4774" spans="1:30" x14ac:dyDescent="0.25">
      <c r="A4774">
        <v>2384</v>
      </c>
      <c r="B4774">
        <v>2249</v>
      </c>
      <c r="C4774" t="s">
        <v>5228</v>
      </c>
      <c r="D4774" t="s">
        <v>3598</v>
      </c>
      <c r="E4774" t="s">
        <v>495</v>
      </c>
      <c r="F4774" t="s">
        <v>8546</v>
      </c>
      <c r="G4774" t="str">
        <f>"00320056"</f>
        <v>00320056</v>
      </c>
      <c r="H4774" t="s">
        <v>4718</v>
      </c>
      <c r="I4774">
        <v>0</v>
      </c>
      <c r="J4774">
        <v>0</v>
      </c>
      <c r="K4774">
        <v>0</v>
      </c>
      <c r="L4774">
        <v>0</v>
      </c>
      <c r="M4774">
        <v>0</v>
      </c>
      <c r="N4774">
        <v>0</v>
      </c>
      <c r="O4774">
        <v>0</v>
      </c>
      <c r="P4774">
        <v>0</v>
      </c>
      <c r="Q4774">
        <v>0</v>
      </c>
      <c r="R4774">
        <v>0</v>
      </c>
      <c r="S4774">
        <v>0</v>
      </c>
      <c r="T4774">
        <v>0</v>
      </c>
      <c r="U4774">
        <v>0</v>
      </c>
      <c r="V4774">
        <v>0</v>
      </c>
      <c r="W4774">
        <v>0</v>
      </c>
      <c r="X4774">
        <v>0</v>
      </c>
      <c r="Z4774">
        <v>0</v>
      </c>
      <c r="AA4774">
        <v>0</v>
      </c>
      <c r="AB4774">
        <v>0</v>
      </c>
      <c r="AC4774">
        <v>0</v>
      </c>
      <c r="AD4774" t="s">
        <v>4718</v>
      </c>
    </row>
    <row r="4775" spans="1:30" x14ac:dyDescent="0.25">
      <c r="H4775" t="s">
        <v>8547</v>
      </c>
    </row>
    <row r="4776" spans="1:30" x14ac:dyDescent="0.25">
      <c r="A4776">
        <v>2385</v>
      </c>
      <c r="B4776">
        <v>2153</v>
      </c>
      <c r="C4776" t="s">
        <v>1264</v>
      </c>
      <c r="D4776" t="s">
        <v>182</v>
      </c>
      <c r="E4776" t="s">
        <v>107</v>
      </c>
      <c r="F4776" t="s">
        <v>8548</v>
      </c>
      <c r="G4776" t="str">
        <f>"00027894"</f>
        <v>00027894</v>
      </c>
      <c r="H4776">
        <v>627</v>
      </c>
      <c r="I4776">
        <v>0</v>
      </c>
      <c r="J4776">
        <v>0</v>
      </c>
      <c r="K4776">
        <v>0</v>
      </c>
      <c r="L4776">
        <v>0</v>
      </c>
      <c r="M4776">
        <v>0</v>
      </c>
      <c r="N4776">
        <v>30</v>
      </c>
      <c r="O4776">
        <v>0</v>
      </c>
      <c r="P4776">
        <v>0</v>
      </c>
      <c r="Q4776">
        <v>0</v>
      </c>
      <c r="R4776">
        <v>0</v>
      </c>
      <c r="S4776">
        <v>0</v>
      </c>
      <c r="T4776">
        <v>0</v>
      </c>
      <c r="U4776">
        <v>0</v>
      </c>
      <c r="V4776">
        <v>0</v>
      </c>
      <c r="W4776">
        <v>0</v>
      </c>
      <c r="X4776">
        <v>0</v>
      </c>
      <c r="Z4776">
        <v>0</v>
      </c>
      <c r="AA4776">
        <v>0</v>
      </c>
      <c r="AB4776">
        <v>0</v>
      </c>
      <c r="AC4776">
        <v>0</v>
      </c>
      <c r="AD4776">
        <v>657</v>
      </c>
    </row>
    <row r="4777" spans="1:30" x14ac:dyDescent="0.25">
      <c r="H4777" t="s">
        <v>8549</v>
      </c>
    </row>
    <row r="4778" spans="1:30" x14ac:dyDescent="0.25">
      <c r="A4778">
        <v>2386</v>
      </c>
      <c r="B4778">
        <v>2250</v>
      </c>
      <c r="C4778" t="s">
        <v>1104</v>
      </c>
      <c r="D4778" t="s">
        <v>665</v>
      </c>
      <c r="E4778" t="s">
        <v>40</v>
      </c>
      <c r="F4778" t="s">
        <v>8550</v>
      </c>
      <c r="G4778" t="str">
        <f>"00302938"</f>
        <v>00302938</v>
      </c>
      <c r="H4778">
        <v>627</v>
      </c>
      <c r="I4778">
        <v>0</v>
      </c>
      <c r="J4778">
        <v>0</v>
      </c>
      <c r="K4778">
        <v>0</v>
      </c>
      <c r="L4778">
        <v>0</v>
      </c>
      <c r="M4778">
        <v>0</v>
      </c>
      <c r="N4778">
        <v>30</v>
      </c>
      <c r="O4778">
        <v>0</v>
      </c>
      <c r="P4778">
        <v>0</v>
      </c>
      <c r="Q4778">
        <v>0</v>
      </c>
      <c r="R4778">
        <v>0</v>
      </c>
      <c r="S4778">
        <v>0</v>
      </c>
      <c r="T4778">
        <v>0</v>
      </c>
      <c r="U4778">
        <v>0</v>
      </c>
      <c r="V4778">
        <v>0</v>
      </c>
      <c r="W4778">
        <v>0</v>
      </c>
      <c r="X4778">
        <v>0</v>
      </c>
      <c r="Z4778">
        <v>2</v>
      </c>
      <c r="AA4778">
        <v>0</v>
      </c>
      <c r="AB4778">
        <v>0</v>
      </c>
      <c r="AC4778">
        <v>0</v>
      </c>
      <c r="AD4778">
        <v>657</v>
      </c>
    </row>
    <row r="4779" spans="1:30" x14ac:dyDescent="0.25">
      <c r="H4779" t="s">
        <v>8551</v>
      </c>
    </row>
    <row r="4780" spans="1:30" x14ac:dyDescent="0.25">
      <c r="A4780">
        <v>2387</v>
      </c>
      <c r="B4780">
        <v>1672</v>
      </c>
      <c r="C4780" t="s">
        <v>8552</v>
      </c>
      <c r="D4780" t="s">
        <v>2353</v>
      </c>
      <c r="E4780" t="s">
        <v>449</v>
      </c>
      <c r="F4780" t="s">
        <v>8553</v>
      </c>
      <c r="G4780" t="str">
        <f>"00298567"</f>
        <v>00298567</v>
      </c>
      <c r="H4780">
        <v>627</v>
      </c>
      <c r="I4780">
        <v>0</v>
      </c>
      <c r="J4780">
        <v>0</v>
      </c>
      <c r="K4780">
        <v>0</v>
      </c>
      <c r="L4780">
        <v>0</v>
      </c>
      <c r="M4780">
        <v>0</v>
      </c>
      <c r="N4780">
        <v>30</v>
      </c>
      <c r="O4780">
        <v>0</v>
      </c>
      <c r="P4780">
        <v>0</v>
      </c>
      <c r="Q4780">
        <v>0</v>
      </c>
      <c r="R4780">
        <v>0</v>
      </c>
      <c r="S4780">
        <v>0</v>
      </c>
      <c r="T4780">
        <v>0</v>
      </c>
      <c r="U4780">
        <v>0</v>
      </c>
      <c r="V4780">
        <v>0</v>
      </c>
      <c r="W4780">
        <v>0</v>
      </c>
      <c r="X4780">
        <v>0</v>
      </c>
      <c r="Z4780">
        <v>0</v>
      </c>
      <c r="AA4780">
        <v>0</v>
      </c>
      <c r="AB4780">
        <v>0</v>
      </c>
      <c r="AC4780">
        <v>0</v>
      </c>
      <c r="AD4780">
        <v>657</v>
      </c>
    </row>
    <row r="4781" spans="1:30" x14ac:dyDescent="0.25">
      <c r="H4781" t="s">
        <v>8554</v>
      </c>
    </row>
    <row r="4782" spans="1:30" x14ac:dyDescent="0.25">
      <c r="A4782">
        <v>2388</v>
      </c>
      <c r="B4782">
        <v>250</v>
      </c>
      <c r="C4782" t="s">
        <v>8555</v>
      </c>
      <c r="D4782" t="s">
        <v>8556</v>
      </c>
      <c r="E4782" t="s">
        <v>6021</v>
      </c>
      <c r="F4782" t="s">
        <v>8557</v>
      </c>
      <c r="G4782" t="str">
        <f>"00295322"</f>
        <v>00295322</v>
      </c>
      <c r="H4782" t="s">
        <v>369</v>
      </c>
      <c r="I4782">
        <v>0</v>
      </c>
      <c r="J4782">
        <v>0</v>
      </c>
      <c r="K4782">
        <v>0</v>
      </c>
      <c r="L4782">
        <v>0</v>
      </c>
      <c r="M4782">
        <v>0</v>
      </c>
      <c r="N4782">
        <v>0</v>
      </c>
      <c r="O4782">
        <v>0</v>
      </c>
      <c r="P4782">
        <v>0</v>
      </c>
      <c r="Q4782">
        <v>0</v>
      </c>
      <c r="R4782">
        <v>0</v>
      </c>
      <c r="S4782">
        <v>0</v>
      </c>
      <c r="T4782">
        <v>0</v>
      </c>
      <c r="U4782">
        <v>0</v>
      </c>
      <c r="V4782">
        <v>0</v>
      </c>
      <c r="W4782">
        <v>0</v>
      </c>
      <c r="X4782">
        <v>0</v>
      </c>
      <c r="Z4782">
        <v>0</v>
      </c>
      <c r="AA4782">
        <v>0</v>
      </c>
      <c r="AB4782">
        <v>0</v>
      </c>
      <c r="AC4782">
        <v>0</v>
      </c>
      <c r="AD4782" t="s">
        <v>369</v>
      </c>
    </row>
    <row r="4783" spans="1:30" x14ac:dyDescent="0.25">
      <c r="H4783" t="s">
        <v>1758</v>
      </c>
    </row>
    <row r="4784" spans="1:30" x14ac:dyDescent="0.25">
      <c r="A4784">
        <v>2389</v>
      </c>
      <c r="B4784">
        <v>5671</v>
      </c>
      <c r="C4784" t="s">
        <v>8558</v>
      </c>
      <c r="D4784" t="s">
        <v>32</v>
      </c>
      <c r="E4784" t="s">
        <v>107</v>
      </c>
      <c r="F4784" t="s">
        <v>8559</v>
      </c>
      <c r="G4784" t="str">
        <f>"201412006088"</f>
        <v>201412006088</v>
      </c>
      <c r="H4784" t="s">
        <v>2206</v>
      </c>
      <c r="I4784">
        <v>0</v>
      </c>
      <c r="J4784">
        <v>0</v>
      </c>
      <c r="K4784">
        <v>0</v>
      </c>
      <c r="L4784">
        <v>0</v>
      </c>
      <c r="M4784">
        <v>0</v>
      </c>
      <c r="N4784">
        <v>0</v>
      </c>
      <c r="O4784">
        <v>0</v>
      </c>
      <c r="P4784">
        <v>0</v>
      </c>
      <c r="Q4784">
        <v>0</v>
      </c>
      <c r="R4784">
        <v>0</v>
      </c>
      <c r="S4784">
        <v>0</v>
      </c>
      <c r="T4784">
        <v>0</v>
      </c>
      <c r="U4784">
        <v>0</v>
      </c>
      <c r="V4784">
        <v>0</v>
      </c>
      <c r="W4784">
        <v>0</v>
      </c>
      <c r="X4784">
        <v>0</v>
      </c>
      <c r="Z4784">
        <v>0</v>
      </c>
      <c r="AA4784">
        <v>0</v>
      </c>
      <c r="AB4784">
        <v>0</v>
      </c>
      <c r="AC4784">
        <v>0</v>
      </c>
      <c r="AD4784" t="s">
        <v>2206</v>
      </c>
    </row>
    <row r="4785" spans="1:30" x14ac:dyDescent="0.25">
      <c r="H4785" t="s">
        <v>8560</v>
      </c>
    </row>
    <row r="4786" spans="1:30" x14ac:dyDescent="0.25">
      <c r="A4786">
        <v>2390</v>
      </c>
      <c r="B4786">
        <v>4412</v>
      </c>
      <c r="C4786" t="s">
        <v>8561</v>
      </c>
      <c r="D4786" t="s">
        <v>190</v>
      </c>
      <c r="E4786" t="s">
        <v>99</v>
      </c>
      <c r="F4786" t="s">
        <v>8562</v>
      </c>
      <c r="G4786" t="str">
        <f>"00357008"</f>
        <v>00357008</v>
      </c>
      <c r="H4786" t="s">
        <v>2451</v>
      </c>
      <c r="I4786">
        <v>0</v>
      </c>
      <c r="J4786">
        <v>0</v>
      </c>
      <c r="K4786">
        <v>0</v>
      </c>
      <c r="L4786">
        <v>0</v>
      </c>
      <c r="M4786">
        <v>0</v>
      </c>
      <c r="N4786">
        <v>0</v>
      </c>
      <c r="O4786">
        <v>0</v>
      </c>
      <c r="P4786">
        <v>0</v>
      </c>
      <c r="Q4786">
        <v>0</v>
      </c>
      <c r="R4786">
        <v>0</v>
      </c>
      <c r="S4786">
        <v>0</v>
      </c>
      <c r="T4786">
        <v>0</v>
      </c>
      <c r="U4786">
        <v>0</v>
      </c>
      <c r="V4786">
        <v>0</v>
      </c>
      <c r="W4786">
        <v>0</v>
      </c>
      <c r="X4786">
        <v>0</v>
      </c>
      <c r="Z4786">
        <v>0</v>
      </c>
      <c r="AA4786">
        <v>0</v>
      </c>
      <c r="AB4786">
        <v>0</v>
      </c>
      <c r="AC4786">
        <v>0</v>
      </c>
      <c r="AD4786" t="s">
        <v>2451</v>
      </c>
    </row>
    <row r="4787" spans="1:30" x14ac:dyDescent="0.25">
      <c r="H4787" t="s">
        <v>8563</v>
      </c>
    </row>
    <row r="4788" spans="1:30" x14ac:dyDescent="0.25">
      <c r="A4788">
        <v>2391</v>
      </c>
      <c r="B4788">
        <v>3688</v>
      </c>
      <c r="C4788" t="s">
        <v>6277</v>
      </c>
      <c r="D4788" t="s">
        <v>1507</v>
      </c>
      <c r="E4788" t="s">
        <v>40</v>
      </c>
      <c r="F4788" t="s">
        <v>6278</v>
      </c>
      <c r="G4788" t="str">
        <f>"00366507"</f>
        <v>00366507</v>
      </c>
      <c r="H4788" t="s">
        <v>2451</v>
      </c>
      <c r="I4788">
        <v>0</v>
      </c>
      <c r="J4788">
        <v>0</v>
      </c>
      <c r="K4788">
        <v>0</v>
      </c>
      <c r="L4788">
        <v>0</v>
      </c>
      <c r="M4788">
        <v>0</v>
      </c>
      <c r="N4788">
        <v>0</v>
      </c>
      <c r="O4788">
        <v>0</v>
      </c>
      <c r="P4788">
        <v>0</v>
      </c>
      <c r="Q4788">
        <v>0</v>
      </c>
      <c r="R4788">
        <v>0</v>
      </c>
      <c r="S4788">
        <v>0</v>
      </c>
      <c r="T4788">
        <v>0</v>
      </c>
      <c r="U4788">
        <v>0</v>
      </c>
      <c r="V4788">
        <v>0</v>
      </c>
      <c r="W4788">
        <v>0</v>
      </c>
      <c r="X4788">
        <v>0</v>
      </c>
      <c r="Z4788">
        <v>0</v>
      </c>
      <c r="AA4788">
        <v>0</v>
      </c>
      <c r="AB4788">
        <v>0</v>
      </c>
      <c r="AC4788">
        <v>0</v>
      </c>
      <c r="AD4788" t="s">
        <v>2451</v>
      </c>
    </row>
    <row r="4789" spans="1:30" x14ac:dyDescent="0.25">
      <c r="H4789" t="s">
        <v>6280</v>
      </c>
    </row>
    <row r="4790" spans="1:30" x14ac:dyDescent="0.25">
      <c r="A4790">
        <v>2392</v>
      </c>
      <c r="B4790">
        <v>4818</v>
      </c>
      <c r="C4790" t="s">
        <v>4548</v>
      </c>
      <c r="D4790" t="s">
        <v>183</v>
      </c>
      <c r="E4790" t="s">
        <v>107</v>
      </c>
      <c r="F4790" t="s">
        <v>8564</v>
      </c>
      <c r="G4790" t="str">
        <f>"00366234"</f>
        <v>00366234</v>
      </c>
      <c r="H4790" t="s">
        <v>1376</v>
      </c>
      <c r="I4790">
        <v>0</v>
      </c>
      <c r="J4790">
        <v>0</v>
      </c>
      <c r="K4790">
        <v>0</v>
      </c>
      <c r="L4790">
        <v>0</v>
      </c>
      <c r="M4790">
        <v>0</v>
      </c>
      <c r="N4790">
        <v>0</v>
      </c>
      <c r="O4790">
        <v>0</v>
      </c>
      <c r="P4790">
        <v>0</v>
      </c>
      <c r="Q4790">
        <v>0</v>
      </c>
      <c r="R4790">
        <v>0</v>
      </c>
      <c r="S4790">
        <v>0</v>
      </c>
      <c r="T4790">
        <v>0</v>
      </c>
      <c r="U4790">
        <v>0</v>
      </c>
      <c r="V4790">
        <v>0</v>
      </c>
      <c r="W4790">
        <v>0</v>
      </c>
      <c r="X4790">
        <v>0</v>
      </c>
      <c r="Z4790">
        <v>0</v>
      </c>
      <c r="AA4790">
        <v>0</v>
      </c>
      <c r="AB4790">
        <v>0</v>
      </c>
      <c r="AC4790">
        <v>0</v>
      </c>
      <c r="AD4790" t="s">
        <v>1376</v>
      </c>
    </row>
    <row r="4791" spans="1:30" x14ac:dyDescent="0.25">
      <c r="H4791" t="s">
        <v>8565</v>
      </c>
    </row>
    <row r="4792" spans="1:30" x14ac:dyDescent="0.25">
      <c r="A4792">
        <v>2393</v>
      </c>
      <c r="B4792">
        <v>1067</v>
      </c>
      <c r="C4792" t="s">
        <v>899</v>
      </c>
      <c r="D4792" t="s">
        <v>46</v>
      </c>
      <c r="E4792" t="s">
        <v>51</v>
      </c>
      <c r="F4792" t="s">
        <v>8566</v>
      </c>
      <c r="G4792" t="str">
        <f>"00252728"</f>
        <v>00252728</v>
      </c>
      <c r="H4792">
        <v>649</v>
      </c>
      <c r="I4792">
        <v>0</v>
      </c>
      <c r="J4792">
        <v>0</v>
      </c>
      <c r="K4792">
        <v>0</v>
      </c>
      <c r="L4792">
        <v>0</v>
      </c>
      <c r="M4792">
        <v>0</v>
      </c>
      <c r="N4792">
        <v>0</v>
      </c>
      <c r="O4792">
        <v>0</v>
      </c>
      <c r="P4792">
        <v>0</v>
      </c>
      <c r="Q4792">
        <v>0</v>
      </c>
      <c r="R4792">
        <v>0</v>
      </c>
      <c r="S4792">
        <v>0</v>
      </c>
      <c r="T4792">
        <v>0</v>
      </c>
      <c r="U4792">
        <v>0</v>
      </c>
      <c r="V4792">
        <v>0</v>
      </c>
      <c r="W4792">
        <v>0</v>
      </c>
      <c r="X4792">
        <v>0</v>
      </c>
      <c r="Z4792">
        <v>0</v>
      </c>
      <c r="AA4792">
        <v>0</v>
      </c>
      <c r="AB4792">
        <v>0</v>
      </c>
      <c r="AC4792">
        <v>0</v>
      </c>
      <c r="AD4792">
        <v>649</v>
      </c>
    </row>
    <row r="4793" spans="1:30" x14ac:dyDescent="0.25">
      <c r="H4793" t="s">
        <v>8567</v>
      </c>
    </row>
    <row r="4794" spans="1:30" x14ac:dyDescent="0.25">
      <c r="A4794">
        <v>2394</v>
      </c>
      <c r="B4794">
        <v>346</v>
      </c>
      <c r="C4794" t="s">
        <v>8568</v>
      </c>
      <c r="D4794" t="s">
        <v>8569</v>
      </c>
      <c r="E4794" t="s">
        <v>183</v>
      </c>
      <c r="F4794" t="s">
        <v>8570</v>
      </c>
      <c r="G4794" t="str">
        <f>"201412002455"</f>
        <v>201412002455</v>
      </c>
      <c r="H4794" t="s">
        <v>1595</v>
      </c>
      <c r="I4794">
        <v>0</v>
      </c>
      <c r="J4794">
        <v>0</v>
      </c>
      <c r="K4794">
        <v>0</v>
      </c>
      <c r="L4794">
        <v>0</v>
      </c>
      <c r="M4794">
        <v>0</v>
      </c>
      <c r="N4794">
        <v>30</v>
      </c>
      <c r="O4794">
        <v>0</v>
      </c>
      <c r="P4794">
        <v>0</v>
      </c>
      <c r="Q4794">
        <v>0</v>
      </c>
      <c r="R4794">
        <v>0</v>
      </c>
      <c r="S4794">
        <v>0</v>
      </c>
      <c r="T4794">
        <v>0</v>
      </c>
      <c r="U4794">
        <v>0</v>
      </c>
      <c r="V4794">
        <v>0</v>
      </c>
      <c r="W4794">
        <v>0</v>
      </c>
      <c r="X4794">
        <v>0</v>
      </c>
      <c r="Z4794">
        <v>2</v>
      </c>
      <c r="AA4794">
        <v>0</v>
      </c>
      <c r="AB4794">
        <v>0</v>
      </c>
      <c r="AC4794">
        <v>0</v>
      </c>
      <c r="AD4794" t="s">
        <v>8571</v>
      </c>
    </row>
    <row r="4795" spans="1:30" x14ac:dyDescent="0.25">
      <c r="H4795" t="s">
        <v>8572</v>
      </c>
    </row>
    <row r="4796" spans="1:30" x14ac:dyDescent="0.25">
      <c r="A4796">
        <v>2395</v>
      </c>
      <c r="B4796">
        <v>4667</v>
      </c>
      <c r="C4796" t="s">
        <v>8573</v>
      </c>
      <c r="D4796" t="s">
        <v>107</v>
      </c>
      <c r="E4796" t="s">
        <v>40</v>
      </c>
      <c r="F4796" t="s">
        <v>8574</v>
      </c>
      <c r="G4796" t="str">
        <f>"00217606"</f>
        <v>00217606</v>
      </c>
      <c r="H4796" t="s">
        <v>1595</v>
      </c>
      <c r="I4796">
        <v>0</v>
      </c>
      <c r="J4796">
        <v>0</v>
      </c>
      <c r="K4796">
        <v>0</v>
      </c>
      <c r="L4796">
        <v>0</v>
      </c>
      <c r="M4796">
        <v>0</v>
      </c>
      <c r="N4796">
        <v>30</v>
      </c>
      <c r="O4796">
        <v>0</v>
      </c>
      <c r="P4796">
        <v>0</v>
      </c>
      <c r="Q4796">
        <v>0</v>
      </c>
      <c r="R4796">
        <v>0</v>
      </c>
      <c r="S4796">
        <v>0</v>
      </c>
      <c r="T4796">
        <v>0</v>
      </c>
      <c r="U4796">
        <v>0</v>
      </c>
      <c r="V4796">
        <v>0</v>
      </c>
      <c r="W4796">
        <v>0</v>
      </c>
      <c r="X4796">
        <v>0</v>
      </c>
      <c r="Z4796">
        <v>2</v>
      </c>
      <c r="AA4796">
        <v>0</v>
      </c>
      <c r="AB4796">
        <v>0</v>
      </c>
      <c r="AC4796">
        <v>0</v>
      </c>
      <c r="AD4796" t="s">
        <v>8571</v>
      </c>
    </row>
    <row r="4797" spans="1:30" x14ac:dyDescent="0.25">
      <c r="H4797" t="s">
        <v>8575</v>
      </c>
    </row>
    <row r="4798" spans="1:30" x14ac:dyDescent="0.25">
      <c r="A4798">
        <v>2396</v>
      </c>
      <c r="B4798">
        <v>2762</v>
      </c>
      <c r="C4798" t="s">
        <v>8576</v>
      </c>
      <c r="D4798" t="s">
        <v>8577</v>
      </c>
      <c r="E4798" t="s">
        <v>8578</v>
      </c>
      <c r="F4798" t="s">
        <v>8579</v>
      </c>
      <c r="G4798" t="str">
        <f>"00225058"</f>
        <v>00225058</v>
      </c>
      <c r="H4798" t="s">
        <v>1611</v>
      </c>
      <c r="I4798">
        <v>0</v>
      </c>
      <c r="J4798">
        <v>0</v>
      </c>
      <c r="K4798">
        <v>0</v>
      </c>
      <c r="L4798">
        <v>0</v>
      </c>
      <c r="M4798">
        <v>0</v>
      </c>
      <c r="N4798">
        <v>0</v>
      </c>
      <c r="O4798">
        <v>0</v>
      </c>
      <c r="P4798">
        <v>0</v>
      </c>
      <c r="Q4798">
        <v>0</v>
      </c>
      <c r="R4798">
        <v>0</v>
      </c>
      <c r="S4798">
        <v>0</v>
      </c>
      <c r="T4798">
        <v>0</v>
      </c>
      <c r="U4798">
        <v>0</v>
      </c>
      <c r="V4798">
        <v>0</v>
      </c>
      <c r="W4798">
        <v>0</v>
      </c>
      <c r="X4798">
        <v>0</v>
      </c>
      <c r="Z4798">
        <v>0</v>
      </c>
      <c r="AA4798">
        <v>0</v>
      </c>
      <c r="AB4798">
        <v>0</v>
      </c>
      <c r="AC4798">
        <v>0</v>
      </c>
      <c r="AD4798" t="s">
        <v>1611</v>
      </c>
    </row>
    <row r="4799" spans="1:30" x14ac:dyDescent="0.25">
      <c r="H4799" t="s">
        <v>8580</v>
      </c>
    </row>
    <row r="4800" spans="1:30" x14ac:dyDescent="0.25">
      <c r="A4800">
        <v>2397</v>
      </c>
      <c r="B4800">
        <v>5160</v>
      </c>
      <c r="C4800" t="s">
        <v>8581</v>
      </c>
      <c r="D4800" t="s">
        <v>8582</v>
      </c>
      <c r="E4800" t="s">
        <v>7149</v>
      </c>
      <c r="F4800" t="s">
        <v>8583</v>
      </c>
      <c r="G4800" t="str">
        <f>"00217499"</f>
        <v>00217499</v>
      </c>
      <c r="H4800" t="s">
        <v>3893</v>
      </c>
      <c r="I4800">
        <v>0</v>
      </c>
      <c r="J4800">
        <v>0</v>
      </c>
      <c r="K4800">
        <v>0</v>
      </c>
      <c r="L4800">
        <v>0</v>
      </c>
      <c r="M4800">
        <v>0</v>
      </c>
      <c r="N4800">
        <v>30</v>
      </c>
      <c r="O4800">
        <v>0</v>
      </c>
      <c r="P4800">
        <v>0</v>
      </c>
      <c r="Q4800">
        <v>0</v>
      </c>
      <c r="R4800">
        <v>0</v>
      </c>
      <c r="S4800">
        <v>0</v>
      </c>
      <c r="T4800">
        <v>0</v>
      </c>
      <c r="U4800">
        <v>0</v>
      </c>
      <c r="V4800">
        <v>0</v>
      </c>
      <c r="W4800">
        <v>0</v>
      </c>
      <c r="X4800">
        <v>0</v>
      </c>
      <c r="Z4800">
        <v>0</v>
      </c>
      <c r="AA4800">
        <v>0</v>
      </c>
      <c r="AB4800">
        <v>0</v>
      </c>
      <c r="AC4800">
        <v>0</v>
      </c>
      <c r="AD4800" t="s">
        <v>8584</v>
      </c>
    </row>
    <row r="4801" spans="1:30" x14ac:dyDescent="0.25">
      <c r="H4801" t="s">
        <v>8585</v>
      </c>
    </row>
    <row r="4802" spans="1:30" x14ac:dyDescent="0.25">
      <c r="A4802">
        <v>2398</v>
      </c>
      <c r="B4802">
        <v>3166</v>
      </c>
      <c r="C4802" t="s">
        <v>8586</v>
      </c>
      <c r="D4802" t="s">
        <v>15</v>
      </c>
      <c r="E4802" t="s">
        <v>8587</v>
      </c>
      <c r="F4802" t="s">
        <v>8588</v>
      </c>
      <c r="G4802" t="str">
        <f>"00338523"</f>
        <v>00338523</v>
      </c>
      <c r="H4802" t="s">
        <v>3893</v>
      </c>
      <c r="I4802">
        <v>0</v>
      </c>
      <c r="J4802">
        <v>0</v>
      </c>
      <c r="K4802">
        <v>0</v>
      </c>
      <c r="L4802">
        <v>0</v>
      </c>
      <c r="M4802">
        <v>0</v>
      </c>
      <c r="N4802">
        <v>30</v>
      </c>
      <c r="O4802">
        <v>0</v>
      </c>
      <c r="P4802">
        <v>0</v>
      </c>
      <c r="Q4802">
        <v>0</v>
      </c>
      <c r="R4802">
        <v>0</v>
      </c>
      <c r="S4802">
        <v>0</v>
      </c>
      <c r="T4802">
        <v>0</v>
      </c>
      <c r="U4802">
        <v>0</v>
      </c>
      <c r="V4802">
        <v>0</v>
      </c>
      <c r="W4802">
        <v>0</v>
      </c>
      <c r="X4802">
        <v>0</v>
      </c>
      <c r="Z4802">
        <v>2</v>
      </c>
      <c r="AA4802">
        <v>0</v>
      </c>
      <c r="AB4802">
        <v>0</v>
      </c>
      <c r="AC4802">
        <v>0</v>
      </c>
      <c r="AD4802" t="s">
        <v>8584</v>
      </c>
    </row>
    <row r="4803" spans="1:30" x14ac:dyDescent="0.25">
      <c r="H4803" t="s">
        <v>8589</v>
      </c>
    </row>
    <row r="4804" spans="1:30" x14ac:dyDescent="0.25">
      <c r="A4804">
        <v>2399</v>
      </c>
      <c r="B4804">
        <v>5836</v>
      </c>
      <c r="C4804" t="s">
        <v>8474</v>
      </c>
      <c r="D4804" t="s">
        <v>335</v>
      </c>
      <c r="E4804" t="s">
        <v>1660</v>
      </c>
      <c r="F4804" t="s">
        <v>8590</v>
      </c>
      <c r="G4804" t="str">
        <f>"00205881"</f>
        <v>00205881</v>
      </c>
      <c r="H4804" t="s">
        <v>1695</v>
      </c>
      <c r="I4804">
        <v>0</v>
      </c>
      <c r="J4804">
        <v>0</v>
      </c>
      <c r="K4804">
        <v>0</v>
      </c>
      <c r="L4804">
        <v>0</v>
      </c>
      <c r="M4804">
        <v>0</v>
      </c>
      <c r="N4804">
        <v>0</v>
      </c>
      <c r="O4804">
        <v>0</v>
      </c>
      <c r="P4804">
        <v>0</v>
      </c>
      <c r="Q4804">
        <v>0</v>
      </c>
      <c r="R4804">
        <v>0</v>
      </c>
      <c r="S4804">
        <v>0</v>
      </c>
      <c r="T4804">
        <v>0</v>
      </c>
      <c r="U4804">
        <v>0</v>
      </c>
      <c r="V4804">
        <v>0</v>
      </c>
      <c r="W4804">
        <v>0</v>
      </c>
      <c r="X4804">
        <v>0</v>
      </c>
      <c r="Z4804">
        <v>0</v>
      </c>
      <c r="AA4804">
        <v>0</v>
      </c>
      <c r="AB4804">
        <v>0</v>
      </c>
      <c r="AC4804">
        <v>0</v>
      </c>
      <c r="AD4804" t="s">
        <v>1695</v>
      </c>
    </row>
    <row r="4805" spans="1:30" x14ac:dyDescent="0.25">
      <c r="H4805" t="s">
        <v>8591</v>
      </c>
    </row>
    <row r="4806" spans="1:30" x14ac:dyDescent="0.25">
      <c r="A4806">
        <v>2400</v>
      </c>
      <c r="B4806">
        <v>214</v>
      </c>
      <c r="C4806" t="s">
        <v>2737</v>
      </c>
      <c r="D4806" t="s">
        <v>51</v>
      </c>
      <c r="E4806" t="s">
        <v>40</v>
      </c>
      <c r="F4806" t="s">
        <v>8592</v>
      </c>
      <c r="G4806" t="str">
        <f>"00243355"</f>
        <v>00243355</v>
      </c>
      <c r="H4806" t="s">
        <v>1695</v>
      </c>
      <c r="I4806">
        <v>0</v>
      </c>
      <c r="J4806">
        <v>0</v>
      </c>
      <c r="K4806">
        <v>0</v>
      </c>
      <c r="L4806">
        <v>0</v>
      </c>
      <c r="M4806">
        <v>0</v>
      </c>
      <c r="N4806">
        <v>0</v>
      </c>
      <c r="O4806">
        <v>0</v>
      </c>
      <c r="P4806">
        <v>0</v>
      </c>
      <c r="Q4806">
        <v>0</v>
      </c>
      <c r="R4806">
        <v>0</v>
      </c>
      <c r="S4806">
        <v>0</v>
      </c>
      <c r="T4806">
        <v>0</v>
      </c>
      <c r="U4806">
        <v>0</v>
      </c>
      <c r="V4806">
        <v>0</v>
      </c>
      <c r="W4806">
        <v>0</v>
      </c>
      <c r="X4806">
        <v>0</v>
      </c>
      <c r="Z4806">
        <v>0</v>
      </c>
      <c r="AA4806">
        <v>0</v>
      </c>
      <c r="AB4806">
        <v>0</v>
      </c>
      <c r="AC4806">
        <v>0</v>
      </c>
      <c r="AD4806" t="s">
        <v>1695</v>
      </c>
    </row>
    <row r="4807" spans="1:30" x14ac:dyDescent="0.25">
      <c r="H4807" t="s">
        <v>8593</v>
      </c>
    </row>
    <row r="4808" spans="1:30" x14ac:dyDescent="0.25">
      <c r="A4808">
        <v>2401</v>
      </c>
      <c r="B4808">
        <v>4630</v>
      </c>
      <c r="C4808" t="s">
        <v>2114</v>
      </c>
      <c r="D4808" t="s">
        <v>869</v>
      </c>
      <c r="E4808" t="s">
        <v>1292</v>
      </c>
      <c r="F4808" t="s">
        <v>8594</v>
      </c>
      <c r="G4808" t="str">
        <f>"00351056"</f>
        <v>00351056</v>
      </c>
      <c r="H4808" t="s">
        <v>5317</v>
      </c>
      <c r="I4808">
        <v>0</v>
      </c>
      <c r="J4808">
        <v>0</v>
      </c>
      <c r="K4808">
        <v>0</v>
      </c>
      <c r="L4808">
        <v>0</v>
      </c>
      <c r="M4808">
        <v>0</v>
      </c>
      <c r="N4808">
        <v>0</v>
      </c>
      <c r="O4808">
        <v>0</v>
      </c>
      <c r="P4808">
        <v>0</v>
      </c>
      <c r="Q4808">
        <v>0</v>
      </c>
      <c r="R4808">
        <v>0</v>
      </c>
      <c r="S4808">
        <v>0</v>
      </c>
      <c r="T4808">
        <v>0</v>
      </c>
      <c r="U4808">
        <v>0</v>
      </c>
      <c r="V4808">
        <v>0</v>
      </c>
      <c r="W4808">
        <v>0</v>
      </c>
      <c r="X4808">
        <v>0</v>
      </c>
      <c r="Z4808">
        <v>1</v>
      </c>
      <c r="AA4808">
        <v>0</v>
      </c>
      <c r="AB4808">
        <v>0</v>
      </c>
      <c r="AC4808">
        <v>0</v>
      </c>
      <c r="AD4808" t="s">
        <v>5317</v>
      </c>
    </row>
    <row r="4809" spans="1:30" x14ac:dyDescent="0.25">
      <c r="H4809" t="s">
        <v>8595</v>
      </c>
    </row>
    <row r="4810" spans="1:30" x14ac:dyDescent="0.25">
      <c r="A4810">
        <v>2402</v>
      </c>
      <c r="B4810">
        <v>3637</v>
      </c>
      <c r="C4810" t="s">
        <v>8596</v>
      </c>
      <c r="D4810" t="s">
        <v>2088</v>
      </c>
      <c r="E4810" t="s">
        <v>39</v>
      </c>
      <c r="F4810" t="s">
        <v>8597</v>
      </c>
      <c r="G4810" t="str">
        <f>"00030260"</f>
        <v>00030260</v>
      </c>
      <c r="H4810" t="s">
        <v>4706</v>
      </c>
      <c r="I4810">
        <v>0</v>
      </c>
      <c r="J4810">
        <v>0</v>
      </c>
      <c r="K4810">
        <v>0</v>
      </c>
      <c r="L4810">
        <v>0</v>
      </c>
      <c r="M4810">
        <v>0</v>
      </c>
      <c r="N4810">
        <v>0</v>
      </c>
      <c r="O4810">
        <v>0</v>
      </c>
      <c r="P4810">
        <v>0</v>
      </c>
      <c r="Q4810">
        <v>0</v>
      </c>
      <c r="R4810">
        <v>0</v>
      </c>
      <c r="S4810">
        <v>0</v>
      </c>
      <c r="T4810">
        <v>0</v>
      </c>
      <c r="U4810">
        <v>0</v>
      </c>
      <c r="V4810">
        <v>0</v>
      </c>
      <c r="W4810">
        <v>0</v>
      </c>
      <c r="X4810">
        <v>0</v>
      </c>
      <c r="Z4810">
        <v>0</v>
      </c>
      <c r="AA4810">
        <v>0</v>
      </c>
      <c r="AB4810">
        <v>0</v>
      </c>
      <c r="AC4810">
        <v>0</v>
      </c>
      <c r="AD4810" t="s">
        <v>4706</v>
      </c>
    </row>
    <row r="4811" spans="1:30" x14ac:dyDescent="0.25">
      <c r="H4811" t="s">
        <v>8598</v>
      </c>
    </row>
    <row r="4812" spans="1:30" x14ac:dyDescent="0.25">
      <c r="A4812">
        <v>2403</v>
      </c>
      <c r="B4812">
        <v>5500</v>
      </c>
      <c r="C4812" t="s">
        <v>7630</v>
      </c>
      <c r="D4812" t="s">
        <v>176</v>
      </c>
      <c r="E4812" t="s">
        <v>39</v>
      </c>
      <c r="F4812" t="s">
        <v>8599</v>
      </c>
      <c r="G4812" t="str">
        <f>"201601000551"</f>
        <v>201601000551</v>
      </c>
      <c r="H4812" t="s">
        <v>4706</v>
      </c>
      <c r="I4812">
        <v>0</v>
      </c>
      <c r="J4812">
        <v>0</v>
      </c>
      <c r="K4812">
        <v>0</v>
      </c>
      <c r="L4812">
        <v>0</v>
      </c>
      <c r="M4812">
        <v>0</v>
      </c>
      <c r="N4812">
        <v>0</v>
      </c>
      <c r="O4812">
        <v>0</v>
      </c>
      <c r="P4812">
        <v>0</v>
      </c>
      <c r="Q4812">
        <v>0</v>
      </c>
      <c r="R4812">
        <v>0</v>
      </c>
      <c r="S4812">
        <v>0</v>
      </c>
      <c r="T4812">
        <v>0</v>
      </c>
      <c r="U4812">
        <v>0</v>
      </c>
      <c r="V4812">
        <v>0</v>
      </c>
      <c r="W4812">
        <v>0</v>
      </c>
      <c r="X4812">
        <v>0</v>
      </c>
      <c r="Z4812">
        <v>0</v>
      </c>
      <c r="AA4812">
        <v>0</v>
      </c>
      <c r="AB4812">
        <v>0</v>
      </c>
      <c r="AC4812">
        <v>0</v>
      </c>
      <c r="AD4812" t="s">
        <v>4706</v>
      </c>
    </row>
    <row r="4813" spans="1:30" x14ac:dyDescent="0.25">
      <c r="H4813" t="s">
        <v>8600</v>
      </c>
    </row>
    <row r="4814" spans="1:30" x14ac:dyDescent="0.25">
      <c r="A4814">
        <v>2404</v>
      </c>
      <c r="B4814">
        <v>4010</v>
      </c>
      <c r="C4814" t="s">
        <v>8601</v>
      </c>
      <c r="D4814" t="s">
        <v>429</v>
      </c>
      <c r="E4814" t="s">
        <v>2653</v>
      </c>
      <c r="F4814" t="s">
        <v>8602</v>
      </c>
      <c r="G4814" t="str">
        <f>"00227731"</f>
        <v>00227731</v>
      </c>
      <c r="H4814">
        <v>638</v>
      </c>
      <c r="I4814">
        <v>0</v>
      </c>
      <c r="J4814">
        <v>0</v>
      </c>
      <c r="K4814">
        <v>0</v>
      </c>
      <c r="L4814">
        <v>0</v>
      </c>
      <c r="M4814">
        <v>0</v>
      </c>
      <c r="N4814">
        <v>0</v>
      </c>
      <c r="O4814">
        <v>0</v>
      </c>
      <c r="P4814">
        <v>0</v>
      </c>
      <c r="Q4814">
        <v>0</v>
      </c>
      <c r="R4814">
        <v>0</v>
      </c>
      <c r="S4814">
        <v>0</v>
      </c>
      <c r="T4814">
        <v>0</v>
      </c>
      <c r="U4814">
        <v>0</v>
      </c>
      <c r="V4814">
        <v>0</v>
      </c>
      <c r="W4814">
        <v>0</v>
      </c>
      <c r="X4814">
        <v>0</v>
      </c>
      <c r="Z4814">
        <v>0</v>
      </c>
      <c r="AA4814">
        <v>0</v>
      </c>
      <c r="AB4814">
        <v>0</v>
      </c>
      <c r="AC4814">
        <v>0</v>
      </c>
      <c r="AD4814">
        <v>638</v>
      </c>
    </row>
    <row r="4815" spans="1:30" x14ac:dyDescent="0.25">
      <c r="H4815" t="s">
        <v>8603</v>
      </c>
    </row>
    <row r="4816" spans="1:30" x14ac:dyDescent="0.25">
      <c r="A4816">
        <v>2405</v>
      </c>
      <c r="B4816">
        <v>2859</v>
      </c>
      <c r="C4816" t="s">
        <v>5051</v>
      </c>
      <c r="D4816" t="s">
        <v>547</v>
      </c>
      <c r="E4816" t="s">
        <v>39</v>
      </c>
      <c r="F4816" t="s">
        <v>8604</v>
      </c>
      <c r="G4816" t="str">
        <f>"00278581"</f>
        <v>00278581</v>
      </c>
      <c r="H4816" t="s">
        <v>4091</v>
      </c>
      <c r="I4816">
        <v>0</v>
      </c>
      <c r="J4816">
        <v>0</v>
      </c>
      <c r="K4816">
        <v>0</v>
      </c>
      <c r="L4816">
        <v>0</v>
      </c>
      <c r="M4816">
        <v>0</v>
      </c>
      <c r="N4816">
        <v>0</v>
      </c>
      <c r="O4816">
        <v>0</v>
      </c>
      <c r="P4816">
        <v>0</v>
      </c>
      <c r="Q4816">
        <v>0</v>
      </c>
      <c r="R4816">
        <v>0</v>
      </c>
      <c r="S4816">
        <v>0</v>
      </c>
      <c r="T4816">
        <v>0</v>
      </c>
      <c r="U4816">
        <v>0</v>
      </c>
      <c r="V4816">
        <v>0</v>
      </c>
      <c r="W4816">
        <v>0</v>
      </c>
      <c r="X4816">
        <v>0</v>
      </c>
      <c r="Z4816">
        <v>0</v>
      </c>
      <c r="AA4816">
        <v>0</v>
      </c>
      <c r="AB4816">
        <v>0</v>
      </c>
      <c r="AC4816">
        <v>0</v>
      </c>
      <c r="AD4816" t="s">
        <v>4091</v>
      </c>
    </row>
    <row r="4817" spans="1:30" x14ac:dyDescent="0.25">
      <c r="H4817" t="s">
        <v>8605</v>
      </c>
    </row>
    <row r="4818" spans="1:30" x14ac:dyDescent="0.25">
      <c r="A4818">
        <v>2406</v>
      </c>
      <c r="B4818">
        <v>5793</v>
      </c>
      <c r="C4818" t="s">
        <v>3879</v>
      </c>
      <c r="D4818" t="s">
        <v>290</v>
      </c>
      <c r="E4818" t="s">
        <v>107</v>
      </c>
      <c r="F4818" t="s">
        <v>8606</v>
      </c>
      <c r="G4818" t="str">
        <f>"201511040350"</f>
        <v>201511040350</v>
      </c>
      <c r="H4818" t="s">
        <v>2534</v>
      </c>
      <c r="I4818">
        <v>0</v>
      </c>
      <c r="J4818">
        <v>0</v>
      </c>
      <c r="K4818">
        <v>0</v>
      </c>
      <c r="L4818">
        <v>0</v>
      </c>
      <c r="M4818">
        <v>0</v>
      </c>
      <c r="N4818">
        <v>0</v>
      </c>
      <c r="O4818">
        <v>0</v>
      </c>
      <c r="P4818">
        <v>0</v>
      </c>
      <c r="Q4818">
        <v>0</v>
      </c>
      <c r="R4818">
        <v>0</v>
      </c>
      <c r="S4818">
        <v>0</v>
      </c>
      <c r="T4818">
        <v>0</v>
      </c>
      <c r="U4818">
        <v>0</v>
      </c>
      <c r="V4818">
        <v>0</v>
      </c>
      <c r="W4818">
        <v>0</v>
      </c>
      <c r="X4818">
        <v>0</v>
      </c>
      <c r="Z4818">
        <v>1</v>
      </c>
      <c r="AA4818">
        <v>0</v>
      </c>
      <c r="AB4818">
        <v>0</v>
      </c>
      <c r="AC4818">
        <v>0</v>
      </c>
      <c r="AD4818" t="s">
        <v>2534</v>
      </c>
    </row>
    <row r="4819" spans="1:30" x14ac:dyDescent="0.25">
      <c r="H4819" t="s">
        <v>8607</v>
      </c>
    </row>
    <row r="4820" spans="1:30" x14ac:dyDescent="0.25">
      <c r="A4820">
        <v>2407</v>
      </c>
      <c r="B4820">
        <v>4629</v>
      </c>
      <c r="C4820" t="s">
        <v>8608</v>
      </c>
      <c r="D4820" t="s">
        <v>1039</v>
      </c>
      <c r="E4820" t="s">
        <v>495</v>
      </c>
      <c r="F4820" t="s">
        <v>8609</v>
      </c>
      <c r="G4820" t="str">
        <f>"00163258"</f>
        <v>00163258</v>
      </c>
      <c r="H4820" t="s">
        <v>1527</v>
      </c>
      <c r="I4820">
        <v>0</v>
      </c>
      <c r="J4820">
        <v>0</v>
      </c>
      <c r="K4820">
        <v>0</v>
      </c>
      <c r="L4820">
        <v>0</v>
      </c>
      <c r="M4820">
        <v>0</v>
      </c>
      <c r="N4820">
        <v>0</v>
      </c>
      <c r="O4820">
        <v>0</v>
      </c>
      <c r="P4820">
        <v>0</v>
      </c>
      <c r="Q4820">
        <v>0</v>
      </c>
      <c r="R4820">
        <v>0</v>
      </c>
      <c r="S4820">
        <v>0</v>
      </c>
      <c r="T4820">
        <v>0</v>
      </c>
      <c r="U4820">
        <v>0</v>
      </c>
      <c r="V4820">
        <v>0</v>
      </c>
      <c r="W4820">
        <v>0</v>
      </c>
      <c r="X4820">
        <v>0</v>
      </c>
      <c r="Z4820">
        <v>1</v>
      </c>
      <c r="AA4820">
        <v>0</v>
      </c>
      <c r="AB4820">
        <v>0</v>
      </c>
      <c r="AC4820">
        <v>0</v>
      </c>
      <c r="AD4820" t="s">
        <v>1527</v>
      </c>
    </row>
    <row r="4821" spans="1:30" x14ac:dyDescent="0.25">
      <c r="H4821" t="s">
        <v>8610</v>
      </c>
    </row>
    <row r="4822" spans="1:30" x14ac:dyDescent="0.25">
      <c r="A4822">
        <v>2408</v>
      </c>
      <c r="B4822">
        <v>1142</v>
      </c>
      <c r="C4822" t="s">
        <v>8611</v>
      </c>
      <c r="D4822" t="s">
        <v>8612</v>
      </c>
      <c r="E4822" t="s">
        <v>8613</v>
      </c>
      <c r="F4822" t="s">
        <v>8614</v>
      </c>
      <c r="G4822" t="str">
        <f>"00297915"</f>
        <v>00297915</v>
      </c>
      <c r="H4822" t="s">
        <v>2937</v>
      </c>
      <c r="I4822">
        <v>0</v>
      </c>
      <c r="J4822">
        <v>0</v>
      </c>
      <c r="K4822">
        <v>0</v>
      </c>
      <c r="L4822">
        <v>0</v>
      </c>
      <c r="M4822">
        <v>0</v>
      </c>
      <c r="N4822">
        <v>0</v>
      </c>
      <c r="O4822">
        <v>0</v>
      </c>
      <c r="P4822">
        <v>0</v>
      </c>
      <c r="Q4822">
        <v>0</v>
      </c>
      <c r="R4822">
        <v>0</v>
      </c>
      <c r="S4822">
        <v>0</v>
      </c>
      <c r="T4822">
        <v>0</v>
      </c>
      <c r="U4822">
        <v>0</v>
      </c>
      <c r="V4822">
        <v>0</v>
      </c>
      <c r="W4822">
        <v>0</v>
      </c>
      <c r="X4822">
        <v>0</v>
      </c>
      <c r="Z4822">
        <v>0</v>
      </c>
      <c r="AA4822">
        <v>0</v>
      </c>
      <c r="AB4822">
        <v>0</v>
      </c>
      <c r="AC4822">
        <v>0</v>
      </c>
      <c r="AD4822" t="s">
        <v>2937</v>
      </c>
    </row>
    <row r="4823" spans="1:30" x14ac:dyDescent="0.25">
      <c r="H4823" t="s">
        <v>3337</v>
      </c>
    </row>
    <row r="4824" spans="1:30" x14ac:dyDescent="0.25">
      <c r="A4824">
        <v>2409</v>
      </c>
      <c r="B4824">
        <v>595</v>
      </c>
      <c r="C4824" t="s">
        <v>8615</v>
      </c>
      <c r="D4824" t="s">
        <v>39</v>
      </c>
      <c r="E4824" t="s">
        <v>1972</v>
      </c>
      <c r="F4824" t="s">
        <v>8616</v>
      </c>
      <c r="G4824" t="str">
        <f>"201402003738"</f>
        <v>201402003738</v>
      </c>
      <c r="H4824" t="s">
        <v>298</v>
      </c>
      <c r="I4824">
        <v>0</v>
      </c>
      <c r="J4824">
        <v>0</v>
      </c>
      <c r="K4824">
        <v>0</v>
      </c>
      <c r="L4824">
        <v>0</v>
      </c>
      <c r="M4824">
        <v>0</v>
      </c>
      <c r="N4824">
        <v>0</v>
      </c>
      <c r="O4824">
        <v>0</v>
      </c>
      <c r="P4824">
        <v>0</v>
      </c>
      <c r="Q4824">
        <v>0</v>
      </c>
      <c r="R4824">
        <v>0</v>
      </c>
      <c r="S4824">
        <v>0</v>
      </c>
      <c r="T4824">
        <v>0</v>
      </c>
      <c r="U4824">
        <v>0</v>
      </c>
      <c r="V4824">
        <v>0</v>
      </c>
      <c r="W4824">
        <v>0</v>
      </c>
      <c r="X4824">
        <v>0</v>
      </c>
      <c r="Z4824">
        <v>0</v>
      </c>
      <c r="AA4824">
        <v>0</v>
      </c>
      <c r="AB4824">
        <v>0</v>
      </c>
      <c r="AC4824">
        <v>0</v>
      </c>
      <c r="AD4824" t="s">
        <v>298</v>
      </c>
    </row>
    <row r="4825" spans="1:30" x14ac:dyDescent="0.25">
      <c r="H4825" t="s">
        <v>8617</v>
      </c>
    </row>
    <row r="4826" spans="1:30" x14ac:dyDescent="0.25">
      <c r="A4826">
        <v>2410</v>
      </c>
      <c r="B4826">
        <v>6005</v>
      </c>
      <c r="C4826" t="s">
        <v>8618</v>
      </c>
      <c r="D4826" t="s">
        <v>535</v>
      </c>
      <c r="E4826" t="s">
        <v>162</v>
      </c>
      <c r="F4826" t="s">
        <v>8619</v>
      </c>
      <c r="G4826" t="str">
        <f>"00366219"</f>
        <v>00366219</v>
      </c>
      <c r="H4826" t="s">
        <v>8620</v>
      </c>
      <c r="I4826">
        <v>0</v>
      </c>
      <c r="J4826">
        <v>0</v>
      </c>
      <c r="K4826">
        <v>0</v>
      </c>
      <c r="L4826">
        <v>0</v>
      </c>
      <c r="M4826">
        <v>0</v>
      </c>
      <c r="N4826">
        <v>0</v>
      </c>
      <c r="O4826">
        <v>0</v>
      </c>
      <c r="P4826">
        <v>0</v>
      </c>
      <c r="Q4826">
        <v>0</v>
      </c>
      <c r="R4826">
        <v>0</v>
      </c>
      <c r="S4826">
        <v>0</v>
      </c>
      <c r="T4826">
        <v>0</v>
      </c>
      <c r="U4826">
        <v>0</v>
      </c>
      <c r="V4826">
        <v>0</v>
      </c>
      <c r="W4826">
        <v>0</v>
      </c>
      <c r="X4826">
        <v>0</v>
      </c>
      <c r="Z4826">
        <v>0</v>
      </c>
      <c r="AA4826">
        <v>0</v>
      </c>
      <c r="AB4826">
        <v>0</v>
      </c>
      <c r="AC4826">
        <v>0</v>
      </c>
      <c r="AD4826" t="s">
        <v>8620</v>
      </c>
    </row>
    <row r="4827" spans="1:30" x14ac:dyDescent="0.25">
      <c r="H4827" t="s">
        <v>8621</v>
      </c>
    </row>
    <row r="4829" spans="1:30" x14ac:dyDescent="0.25">
      <c r="A4829" t="s">
        <v>8622</v>
      </c>
    </row>
    <row r="4830" spans="1:30" x14ac:dyDescent="0.25">
      <c r="A4830" t="s">
        <v>8623</v>
      </c>
    </row>
    <row r="4831" spans="1:30" x14ac:dyDescent="0.25">
      <c r="A4831" t="s">
        <v>8624</v>
      </c>
    </row>
    <row r="4832" spans="1:30" x14ac:dyDescent="0.25">
      <c r="A4832" t="s">
        <v>8625</v>
      </c>
    </row>
    <row r="4833" spans="1:1" x14ac:dyDescent="0.25">
      <c r="A4833" t="s">
        <v>8626</v>
      </c>
    </row>
    <row r="4834" spans="1:1" x14ac:dyDescent="0.25">
      <c r="A4834" t="s">
        <v>8627</v>
      </c>
    </row>
    <row r="4835" spans="1:1" x14ac:dyDescent="0.25">
      <c r="A4835" t="s">
        <v>8628</v>
      </c>
    </row>
    <row r="4836" spans="1:1" x14ac:dyDescent="0.25">
      <c r="A4836" t="s">
        <v>8629</v>
      </c>
    </row>
    <row r="4837" spans="1:1" x14ac:dyDescent="0.25">
      <c r="A4837" t="s">
        <v>8630</v>
      </c>
    </row>
    <row r="4838" spans="1:1" x14ac:dyDescent="0.25">
      <c r="A4838" t="s">
        <v>8631</v>
      </c>
    </row>
    <row r="4839" spans="1:1" x14ac:dyDescent="0.25">
      <c r="A4839" t="s">
        <v>8632</v>
      </c>
    </row>
    <row r="4840" spans="1:1" x14ac:dyDescent="0.25">
      <c r="A4840" t="s">
        <v>8633</v>
      </c>
    </row>
    <row r="4841" spans="1:1" x14ac:dyDescent="0.25">
      <c r="A4841" t="s">
        <v>8634</v>
      </c>
    </row>
    <row r="4842" spans="1:1" x14ac:dyDescent="0.25">
      <c r="A4842" t="s">
        <v>8635</v>
      </c>
    </row>
    <row r="4843" spans="1:1" x14ac:dyDescent="0.25">
      <c r="A4843" t="s">
        <v>8636</v>
      </c>
    </row>
    <row r="4844" spans="1:1" x14ac:dyDescent="0.25">
      <c r="A4844" t="s">
        <v>8637</v>
      </c>
    </row>
    <row r="4845" spans="1:1" x14ac:dyDescent="0.25">
      <c r="A4845" t="s">
        <v>8638</v>
      </c>
    </row>
    <row r="4846" spans="1:1" x14ac:dyDescent="0.25">
      <c r="A4846" t="s">
        <v>8639</v>
      </c>
    </row>
    <row r="4847" spans="1:1" x14ac:dyDescent="0.25">
      <c r="A4847" t="s">
        <v>8640</v>
      </c>
    </row>
    <row r="4848" spans="1:1" x14ac:dyDescent="0.25">
      <c r="A4848" t="s">
        <v>8641</v>
      </c>
    </row>
    <row r="4849" spans="1:1" x14ac:dyDescent="0.25">
      <c r="A4849" t="s">
        <v>8642</v>
      </c>
    </row>
    <row r="4850" spans="1:1" x14ac:dyDescent="0.25">
      <c r="A4850" t="s">
        <v>8643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2018-03-28T09:33:08Z</dcterms:created>
  <dcterms:modified xsi:type="dcterms:W3CDTF">2018-03-28T09:33:31Z</dcterms:modified>
</cp:coreProperties>
</file>