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3202" i="1" l="1"/>
  <c r="G3200" i="1"/>
  <c r="G3198" i="1"/>
  <c r="G3196" i="1"/>
  <c r="G3194" i="1"/>
  <c r="G3192" i="1"/>
  <c r="G3190" i="1"/>
  <c r="G3188" i="1"/>
  <c r="G3186" i="1"/>
  <c r="G3184" i="1"/>
  <c r="G3182" i="1"/>
  <c r="G3180" i="1"/>
  <c r="G3178" i="1"/>
  <c r="G3176" i="1"/>
  <c r="G3174" i="1"/>
  <c r="G3172" i="1"/>
  <c r="G3170" i="1"/>
  <c r="G3168" i="1"/>
  <c r="G3166" i="1"/>
  <c r="G3164" i="1"/>
  <c r="G3162" i="1"/>
  <c r="G3160" i="1"/>
  <c r="G3158" i="1"/>
  <c r="G3156" i="1"/>
  <c r="G3154" i="1"/>
  <c r="G3152" i="1"/>
  <c r="G3150" i="1"/>
  <c r="G3148" i="1"/>
  <c r="G3146" i="1"/>
  <c r="G3144" i="1"/>
  <c r="G3142" i="1"/>
  <c r="G3140" i="1"/>
  <c r="G3138" i="1"/>
  <c r="G3136" i="1"/>
  <c r="G3134" i="1"/>
  <c r="G3132" i="1"/>
  <c r="G3130" i="1"/>
  <c r="G3128" i="1"/>
  <c r="G3126" i="1"/>
  <c r="G3124" i="1"/>
  <c r="G3122" i="1"/>
  <c r="G3120" i="1"/>
  <c r="G3118" i="1"/>
  <c r="G3116" i="1"/>
  <c r="G3114" i="1"/>
  <c r="G3112" i="1"/>
  <c r="G3110" i="1"/>
  <c r="G3108" i="1"/>
  <c r="G3106" i="1"/>
  <c r="G3104" i="1"/>
  <c r="G3102" i="1"/>
  <c r="G3100" i="1"/>
  <c r="G3098" i="1"/>
  <c r="G3096" i="1"/>
  <c r="G3094" i="1"/>
  <c r="G3092" i="1"/>
  <c r="G3090" i="1"/>
  <c r="G3088" i="1"/>
  <c r="G3086" i="1"/>
  <c r="G3084" i="1"/>
  <c r="G3082" i="1"/>
  <c r="G3080" i="1"/>
  <c r="G3078" i="1"/>
  <c r="G3076" i="1"/>
  <c r="G3074" i="1"/>
  <c r="G3072" i="1"/>
  <c r="G3070" i="1"/>
  <c r="G3068" i="1"/>
  <c r="G3066" i="1"/>
  <c r="G3064" i="1"/>
  <c r="G3062" i="1"/>
  <c r="G3060" i="1"/>
  <c r="G3058" i="1"/>
  <c r="G3056" i="1"/>
  <c r="G3054" i="1"/>
  <c r="G3052" i="1"/>
  <c r="G3050" i="1"/>
  <c r="G3048" i="1"/>
  <c r="G3046" i="1"/>
  <c r="G3044" i="1"/>
  <c r="G3042" i="1"/>
  <c r="G3040" i="1"/>
  <c r="G3038" i="1"/>
  <c r="G3036" i="1"/>
  <c r="G3034" i="1"/>
  <c r="G3032" i="1"/>
  <c r="G3030" i="1"/>
  <c r="G3028" i="1"/>
  <c r="G3026" i="1"/>
  <c r="G3024" i="1"/>
  <c r="G3022" i="1"/>
  <c r="G3020" i="1"/>
  <c r="G3018" i="1"/>
  <c r="G3016" i="1"/>
  <c r="G3014" i="1"/>
  <c r="G3012" i="1"/>
  <c r="G3010" i="1"/>
  <c r="G3008" i="1"/>
  <c r="G3006" i="1"/>
  <c r="G3004" i="1"/>
  <c r="G3002" i="1"/>
  <c r="G3000" i="1"/>
  <c r="G2998" i="1"/>
  <c r="G2996" i="1"/>
  <c r="G2994" i="1"/>
  <c r="G2992" i="1"/>
  <c r="G2990" i="1"/>
  <c r="G2988" i="1"/>
  <c r="G2986" i="1"/>
  <c r="G2984" i="1"/>
  <c r="G2982" i="1"/>
  <c r="G2980" i="1"/>
  <c r="G2978" i="1"/>
  <c r="G2976" i="1"/>
  <c r="G2974" i="1"/>
  <c r="G2972" i="1"/>
  <c r="G2970" i="1"/>
  <c r="G2968" i="1"/>
  <c r="G2966" i="1"/>
  <c r="G2964" i="1"/>
  <c r="G2962" i="1"/>
  <c r="G2960" i="1"/>
  <c r="G2958" i="1"/>
  <c r="G2956" i="1"/>
  <c r="G2954" i="1"/>
  <c r="G2952" i="1"/>
  <c r="G2950" i="1"/>
  <c r="G2948" i="1"/>
  <c r="G2946" i="1"/>
  <c r="G2944" i="1"/>
  <c r="G2942" i="1"/>
  <c r="G2940" i="1"/>
  <c r="G2938" i="1"/>
  <c r="G2936" i="1"/>
  <c r="G2934" i="1"/>
  <c r="G2932" i="1"/>
  <c r="G2930" i="1"/>
  <c r="G2928" i="1"/>
  <c r="G2926" i="1"/>
  <c r="G2924" i="1"/>
  <c r="G2922" i="1"/>
  <c r="G2920" i="1"/>
  <c r="G2918" i="1"/>
  <c r="G2916" i="1"/>
  <c r="G2914" i="1"/>
  <c r="G2912" i="1"/>
  <c r="G2910" i="1"/>
  <c r="G2908" i="1"/>
  <c r="G2906" i="1"/>
  <c r="G2904" i="1"/>
  <c r="G2902" i="1"/>
  <c r="G2900" i="1"/>
  <c r="G2898" i="1"/>
  <c r="G2896" i="1"/>
  <c r="G2894" i="1"/>
  <c r="G2892" i="1"/>
  <c r="G2890" i="1"/>
  <c r="G2888" i="1"/>
  <c r="G2886" i="1"/>
  <c r="G2884" i="1"/>
  <c r="G2882" i="1"/>
  <c r="G2880" i="1"/>
  <c r="G2878" i="1"/>
  <c r="G2876" i="1"/>
  <c r="G2874" i="1"/>
  <c r="G2872" i="1"/>
  <c r="G2870" i="1"/>
  <c r="G2868" i="1"/>
  <c r="G2866" i="1"/>
  <c r="G2864" i="1"/>
  <c r="G2862" i="1"/>
  <c r="G2860" i="1"/>
  <c r="G2858" i="1"/>
  <c r="G2856" i="1"/>
  <c r="G2854" i="1"/>
  <c r="G2852" i="1"/>
  <c r="G2850" i="1"/>
  <c r="G2848" i="1"/>
  <c r="G2846" i="1"/>
  <c r="G2844" i="1"/>
  <c r="G2842" i="1"/>
  <c r="G2840" i="1"/>
  <c r="G2838" i="1"/>
  <c r="G2836" i="1"/>
  <c r="G2834" i="1"/>
  <c r="G2832" i="1"/>
  <c r="G2830" i="1"/>
  <c r="G2828" i="1"/>
  <c r="G2826" i="1"/>
  <c r="G2824" i="1"/>
  <c r="G2822" i="1"/>
  <c r="G2820" i="1"/>
  <c r="G2818" i="1"/>
  <c r="G2816" i="1"/>
  <c r="G2814" i="1"/>
  <c r="G2812" i="1"/>
  <c r="G2810" i="1"/>
  <c r="G2808" i="1"/>
  <c r="G2806" i="1"/>
  <c r="G2804" i="1"/>
  <c r="G2802" i="1"/>
  <c r="G2800" i="1"/>
  <c r="G2798" i="1"/>
  <c r="G2796" i="1"/>
  <c r="G2794" i="1"/>
  <c r="G2792" i="1"/>
  <c r="G2790" i="1"/>
  <c r="G2788" i="1"/>
  <c r="G2786" i="1"/>
  <c r="G2784" i="1"/>
  <c r="G2782" i="1"/>
  <c r="G2780" i="1"/>
  <c r="G2778" i="1"/>
  <c r="G2776" i="1"/>
  <c r="G2774" i="1"/>
  <c r="G2772" i="1"/>
  <c r="G2770" i="1"/>
  <c r="G2768" i="1"/>
  <c r="G2766" i="1"/>
  <c r="G2764" i="1"/>
  <c r="G2762" i="1"/>
  <c r="G2760" i="1"/>
  <c r="G2758" i="1"/>
  <c r="G2756" i="1"/>
  <c r="G2754" i="1"/>
  <c r="G2752" i="1"/>
  <c r="G2750" i="1"/>
  <c r="G2748" i="1"/>
  <c r="G2746" i="1"/>
  <c r="G2744" i="1"/>
  <c r="G2742" i="1"/>
  <c r="G2740" i="1"/>
  <c r="G2738" i="1"/>
  <c r="G2736" i="1"/>
  <c r="G2734" i="1"/>
  <c r="G2732" i="1"/>
  <c r="G2730" i="1"/>
  <c r="G2728" i="1"/>
  <c r="G2726" i="1"/>
  <c r="G2724" i="1"/>
  <c r="G2722" i="1"/>
  <c r="G2720" i="1"/>
  <c r="G2718" i="1"/>
  <c r="G2716" i="1"/>
  <c r="G2714" i="1"/>
  <c r="G2712" i="1"/>
  <c r="G2710" i="1"/>
  <c r="G2708" i="1"/>
  <c r="G2706" i="1"/>
  <c r="G2704" i="1"/>
  <c r="G2702" i="1"/>
  <c r="G2700" i="1"/>
  <c r="G2698" i="1"/>
  <c r="G2696" i="1"/>
  <c r="G2694" i="1"/>
  <c r="G2692" i="1"/>
  <c r="G2690" i="1"/>
  <c r="G2688" i="1"/>
  <c r="G2686" i="1"/>
  <c r="G2684" i="1"/>
  <c r="G2682" i="1"/>
  <c r="G2680" i="1"/>
  <c r="G2678" i="1"/>
  <c r="G2676" i="1"/>
  <c r="G2674" i="1"/>
  <c r="G2672" i="1"/>
  <c r="G2670" i="1"/>
  <c r="G2668" i="1"/>
  <c r="G2666" i="1"/>
  <c r="G2664" i="1"/>
  <c r="G2662" i="1"/>
  <c r="G2660" i="1"/>
  <c r="G2658" i="1"/>
  <c r="G2656" i="1"/>
  <c r="G2654" i="1"/>
  <c r="G2652" i="1"/>
  <c r="G2650" i="1"/>
  <c r="G2648" i="1"/>
  <c r="G2646" i="1"/>
  <c r="G2644" i="1"/>
  <c r="G2642" i="1"/>
  <c r="G2640" i="1"/>
  <c r="G2638" i="1"/>
  <c r="G2636" i="1"/>
  <c r="G2634" i="1"/>
  <c r="G2632" i="1"/>
  <c r="G2630" i="1"/>
  <c r="G2628" i="1"/>
  <c r="G2626" i="1"/>
  <c r="G2624" i="1"/>
  <c r="G2622" i="1"/>
  <c r="G2620" i="1"/>
  <c r="G2618" i="1"/>
  <c r="G2616" i="1"/>
  <c r="G2614" i="1"/>
  <c r="G2612" i="1"/>
  <c r="G2610" i="1"/>
  <c r="G2608" i="1"/>
  <c r="G2606" i="1"/>
  <c r="G2604" i="1"/>
  <c r="G2602" i="1"/>
  <c r="G2600" i="1"/>
  <c r="G2598" i="1"/>
  <c r="G2596" i="1"/>
  <c r="G2594" i="1"/>
  <c r="G2592" i="1"/>
  <c r="G2590" i="1"/>
  <c r="G2588" i="1"/>
  <c r="G2586" i="1"/>
  <c r="G2584" i="1"/>
  <c r="G2582" i="1"/>
  <c r="G2580" i="1"/>
  <c r="G2578" i="1"/>
  <c r="G2576" i="1"/>
  <c r="G2574" i="1"/>
  <c r="G2572" i="1"/>
  <c r="G2570" i="1"/>
  <c r="G2568" i="1"/>
  <c r="G2566" i="1"/>
  <c r="G2564" i="1"/>
  <c r="G2562" i="1"/>
  <c r="G2560" i="1"/>
  <c r="G2558" i="1"/>
  <c r="G2556" i="1"/>
  <c r="G2554" i="1"/>
  <c r="G2552" i="1"/>
  <c r="G2550" i="1"/>
  <c r="G2548" i="1"/>
  <c r="G2546" i="1"/>
  <c r="G2544" i="1"/>
  <c r="G2542" i="1"/>
  <c r="G2540" i="1"/>
  <c r="G2538" i="1"/>
  <c r="G2536" i="1"/>
  <c r="G2534" i="1"/>
  <c r="G2532" i="1"/>
  <c r="G2530" i="1"/>
  <c r="G2528" i="1"/>
  <c r="G2526" i="1"/>
  <c r="G2524" i="1"/>
  <c r="G2522" i="1"/>
  <c r="G2520" i="1"/>
  <c r="G2518" i="1"/>
  <c r="G2516" i="1"/>
  <c r="G2514" i="1"/>
  <c r="G2512" i="1"/>
  <c r="G2510" i="1"/>
  <c r="G2508" i="1"/>
  <c r="G2506" i="1"/>
  <c r="G2504" i="1"/>
  <c r="G2502" i="1"/>
  <c r="G2500" i="1"/>
  <c r="G2498" i="1"/>
  <c r="G2496" i="1"/>
  <c r="G2494" i="1"/>
  <c r="G2492" i="1"/>
  <c r="G2490" i="1"/>
  <c r="G2488" i="1"/>
  <c r="G2486" i="1"/>
  <c r="G2484" i="1"/>
  <c r="G2482" i="1"/>
  <c r="G2480" i="1"/>
  <c r="G2478" i="1"/>
  <c r="G2476" i="1"/>
  <c r="G2474" i="1"/>
  <c r="G2472" i="1"/>
  <c r="G2470" i="1"/>
  <c r="G2468" i="1"/>
  <c r="G2466" i="1"/>
  <c r="G2464" i="1"/>
  <c r="G2462" i="1"/>
  <c r="G2460" i="1"/>
  <c r="G2458" i="1"/>
  <c r="G2456" i="1"/>
  <c r="G2454" i="1"/>
  <c r="G2452" i="1"/>
  <c r="G2450" i="1"/>
  <c r="G2448" i="1"/>
  <c r="G2446" i="1"/>
  <c r="G2444" i="1"/>
  <c r="G2442" i="1"/>
  <c r="G2440" i="1"/>
  <c r="G2438" i="1"/>
  <c r="G2436" i="1"/>
  <c r="G2434" i="1"/>
  <c r="G2432" i="1"/>
  <c r="G2430" i="1"/>
  <c r="G2428" i="1"/>
  <c r="G2426" i="1"/>
  <c r="G2424" i="1"/>
  <c r="G2422" i="1"/>
  <c r="G2420" i="1"/>
  <c r="G2418" i="1"/>
  <c r="G2416" i="1"/>
  <c r="G2414" i="1"/>
  <c r="G2412" i="1"/>
  <c r="G2410" i="1"/>
  <c r="G2408" i="1"/>
  <c r="G2406" i="1"/>
  <c r="G2404" i="1"/>
  <c r="G2402" i="1"/>
  <c r="G2400" i="1"/>
  <c r="G2398" i="1"/>
  <c r="G2396" i="1"/>
  <c r="G2394" i="1"/>
  <c r="G2392" i="1"/>
  <c r="G2390" i="1"/>
  <c r="G2388" i="1"/>
  <c r="G2386" i="1"/>
  <c r="G2384" i="1"/>
  <c r="G2382" i="1"/>
  <c r="G2380" i="1"/>
  <c r="G2378" i="1"/>
  <c r="G2376" i="1"/>
  <c r="G2374" i="1"/>
  <c r="G2372" i="1"/>
  <c r="G2370" i="1"/>
  <c r="G2368" i="1"/>
  <c r="G2366" i="1"/>
  <c r="G2364" i="1"/>
  <c r="G2362" i="1"/>
  <c r="G2360" i="1"/>
  <c r="G2358" i="1"/>
  <c r="G2356" i="1"/>
  <c r="G2354" i="1"/>
  <c r="G2352" i="1"/>
  <c r="G2350" i="1"/>
  <c r="G2348" i="1"/>
  <c r="G2346" i="1"/>
  <c r="G2344" i="1"/>
  <c r="G2342" i="1"/>
  <c r="G2340" i="1"/>
  <c r="G2338" i="1"/>
  <c r="G2336" i="1"/>
  <c r="G2334" i="1"/>
  <c r="G2332" i="1"/>
  <c r="G2330" i="1"/>
  <c r="G2328" i="1"/>
  <c r="G2326" i="1"/>
  <c r="G2324" i="1"/>
  <c r="G2322" i="1"/>
  <c r="G2320" i="1"/>
  <c r="G2318" i="1"/>
  <c r="G2316" i="1"/>
  <c r="G2314" i="1"/>
  <c r="G2312" i="1"/>
  <c r="G2310" i="1"/>
  <c r="G2308" i="1"/>
  <c r="G2306" i="1"/>
  <c r="G2304" i="1"/>
  <c r="G2302" i="1"/>
  <c r="G2300" i="1"/>
  <c r="G2298" i="1"/>
  <c r="G2296" i="1"/>
  <c r="G2294" i="1"/>
  <c r="G2292" i="1"/>
  <c r="G2290" i="1"/>
  <c r="G2288" i="1"/>
  <c r="G2286" i="1"/>
  <c r="G2284" i="1"/>
  <c r="G2282" i="1"/>
  <c r="G2280" i="1"/>
  <c r="G2278" i="1"/>
  <c r="G2276" i="1"/>
  <c r="G2274" i="1"/>
  <c r="G2272" i="1"/>
  <c r="G2270" i="1"/>
  <c r="G2268" i="1"/>
  <c r="G2266" i="1"/>
  <c r="G2264" i="1"/>
  <c r="G2262" i="1"/>
  <c r="G2260" i="1"/>
  <c r="G2258" i="1"/>
  <c r="G2256" i="1"/>
  <c r="G2254" i="1"/>
  <c r="G2252" i="1"/>
  <c r="G2250" i="1"/>
  <c r="G2248" i="1"/>
  <c r="G2246" i="1"/>
  <c r="G2244" i="1"/>
  <c r="G2242" i="1"/>
  <c r="G2240" i="1"/>
  <c r="G2238" i="1"/>
  <c r="G2236" i="1"/>
  <c r="G2234" i="1"/>
  <c r="G2232" i="1"/>
  <c r="G2230" i="1"/>
  <c r="G2228" i="1"/>
  <c r="G2226" i="1"/>
  <c r="G2224" i="1"/>
  <c r="G2222" i="1"/>
  <c r="G2220" i="1"/>
  <c r="G2218" i="1"/>
  <c r="G2216" i="1"/>
  <c r="G2214" i="1"/>
  <c r="G2212" i="1"/>
  <c r="G2210" i="1"/>
  <c r="G2208" i="1"/>
  <c r="G2206" i="1"/>
  <c r="G2204" i="1"/>
  <c r="G2202" i="1"/>
  <c r="G2200" i="1"/>
  <c r="G2198" i="1"/>
  <c r="G2196" i="1"/>
  <c r="G2194" i="1"/>
  <c r="G2192" i="1"/>
  <c r="G2190" i="1"/>
  <c r="G2188" i="1"/>
  <c r="G2186" i="1"/>
  <c r="G2184" i="1"/>
  <c r="G2182" i="1"/>
  <c r="G2180" i="1"/>
  <c r="G2178" i="1"/>
  <c r="G2176" i="1"/>
  <c r="G2174" i="1"/>
  <c r="G2172" i="1"/>
  <c r="G2170" i="1"/>
  <c r="G2168" i="1"/>
  <c r="G2166" i="1"/>
  <c r="G2164" i="1"/>
  <c r="G2162" i="1"/>
  <c r="G2160" i="1"/>
  <c r="G2158" i="1"/>
  <c r="G2156" i="1"/>
  <c r="G2154" i="1"/>
  <c r="G2152" i="1"/>
  <c r="G2150" i="1"/>
  <c r="G2148" i="1"/>
  <c r="G2146" i="1"/>
  <c r="G2144" i="1"/>
  <c r="G2142" i="1"/>
  <c r="G2140" i="1"/>
  <c r="G2138" i="1"/>
  <c r="G2136" i="1"/>
  <c r="G2134" i="1"/>
  <c r="G2132" i="1"/>
  <c r="G2130" i="1"/>
  <c r="G2128" i="1"/>
  <c r="G2126" i="1"/>
  <c r="G2124" i="1"/>
  <c r="G2122" i="1"/>
  <c r="G2120" i="1"/>
  <c r="G2118" i="1"/>
  <c r="G2116" i="1"/>
  <c r="G2114" i="1"/>
  <c r="G2112" i="1"/>
  <c r="G2110" i="1"/>
  <c r="G2108" i="1"/>
  <c r="G2106" i="1"/>
  <c r="G2104" i="1"/>
  <c r="G2102" i="1"/>
  <c r="G2100" i="1"/>
  <c r="G2098" i="1"/>
  <c r="G2096" i="1"/>
  <c r="G2094" i="1"/>
  <c r="G2092" i="1"/>
  <c r="G2090" i="1"/>
  <c r="G2088" i="1"/>
  <c r="G2086" i="1"/>
  <c r="G2084" i="1"/>
  <c r="G2082" i="1"/>
  <c r="G2080" i="1"/>
  <c r="G2078" i="1"/>
  <c r="G2076" i="1"/>
  <c r="G2074" i="1"/>
  <c r="G2072" i="1"/>
  <c r="G2070" i="1"/>
  <c r="G2068" i="1"/>
  <c r="G2066" i="1"/>
  <c r="G2064" i="1"/>
  <c r="G2062" i="1"/>
  <c r="G2060" i="1"/>
  <c r="G2058" i="1"/>
  <c r="G2056" i="1"/>
  <c r="G2054" i="1"/>
  <c r="G2052" i="1"/>
  <c r="G2050" i="1"/>
  <c r="G2048" i="1"/>
  <c r="G2046" i="1"/>
  <c r="G2044" i="1"/>
  <c r="G2042" i="1"/>
  <c r="G2040" i="1"/>
  <c r="G2038" i="1"/>
  <c r="G2036" i="1"/>
  <c r="G2034" i="1"/>
  <c r="G2032" i="1"/>
  <c r="G2030" i="1"/>
  <c r="G2028" i="1"/>
  <c r="G2026" i="1"/>
  <c r="G2024" i="1"/>
  <c r="G2022" i="1"/>
  <c r="G2020" i="1"/>
  <c r="G2018" i="1"/>
  <c r="G2016" i="1"/>
  <c r="G2014" i="1"/>
  <c r="G2012" i="1"/>
  <c r="G2010" i="1"/>
  <c r="G2008" i="1"/>
  <c r="G2006" i="1"/>
  <c r="G2004" i="1"/>
  <c r="G2002" i="1"/>
  <c r="G2000" i="1"/>
  <c r="G1998" i="1"/>
  <c r="G1996" i="1"/>
  <c r="G1994" i="1"/>
  <c r="G1992" i="1"/>
  <c r="G1990" i="1"/>
  <c r="G1988" i="1"/>
  <c r="G1986" i="1"/>
  <c r="G1984" i="1"/>
  <c r="G1982" i="1"/>
  <c r="G1980" i="1"/>
  <c r="G1978" i="1"/>
  <c r="G1976" i="1"/>
  <c r="G1974" i="1"/>
  <c r="G1972" i="1"/>
  <c r="G1970" i="1"/>
  <c r="G1968" i="1"/>
  <c r="G1966" i="1"/>
  <c r="G1964" i="1"/>
  <c r="G1962" i="1"/>
  <c r="G1960" i="1"/>
  <c r="G1958" i="1"/>
  <c r="G1956" i="1"/>
  <c r="G1954" i="1"/>
  <c r="G1952" i="1"/>
  <c r="G1950" i="1"/>
  <c r="G1948" i="1"/>
  <c r="G1946" i="1"/>
  <c r="G1944" i="1"/>
  <c r="G1942" i="1"/>
  <c r="G1940" i="1"/>
  <c r="G1938" i="1"/>
  <c r="G1936" i="1"/>
  <c r="G1934" i="1"/>
  <c r="G1932" i="1"/>
  <c r="G1930" i="1"/>
  <c r="G1928" i="1"/>
  <c r="G1926" i="1"/>
  <c r="G1924" i="1"/>
  <c r="G1922" i="1"/>
  <c r="G1920" i="1"/>
  <c r="G1918" i="1"/>
  <c r="G1916" i="1"/>
  <c r="G1914" i="1"/>
  <c r="G1912" i="1"/>
  <c r="G1910" i="1"/>
  <c r="G1908" i="1"/>
  <c r="G1906" i="1"/>
  <c r="G1904" i="1"/>
  <c r="G1902" i="1"/>
  <c r="G1900" i="1"/>
  <c r="G1898" i="1"/>
  <c r="G1896" i="1"/>
  <c r="G1894" i="1"/>
  <c r="G1892" i="1"/>
  <c r="G1890" i="1"/>
  <c r="G1888" i="1"/>
  <c r="G1886" i="1"/>
  <c r="G1884" i="1"/>
  <c r="G1882" i="1"/>
  <c r="G1880" i="1"/>
  <c r="G1878" i="1"/>
  <c r="G1876" i="1"/>
  <c r="G1874" i="1"/>
  <c r="G1872" i="1"/>
  <c r="G1870" i="1"/>
  <c r="G1868" i="1"/>
  <c r="G1866" i="1"/>
  <c r="G1864" i="1"/>
  <c r="G1862" i="1"/>
  <c r="G1860" i="1"/>
  <c r="G1858" i="1"/>
  <c r="G1856" i="1"/>
  <c r="G1854" i="1"/>
  <c r="G1852" i="1"/>
  <c r="G1850" i="1"/>
  <c r="G1848" i="1"/>
  <c r="G1846" i="1"/>
  <c r="G1844" i="1"/>
  <c r="G1842" i="1"/>
  <c r="G1840" i="1"/>
  <c r="G1838" i="1"/>
  <c r="G1836" i="1"/>
  <c r="G1834" i="1"/>
  <c r="G1832" i="1"/>
  <c r="G1830" i="1"/>
  <c r="G1828" i="1"/>
  <c r="G1826" i="1"/>
  <c r="G1824" i="1"/>
  <c r="G1822" i="1"/>
  <c r="G1820" i="1"/>
  <c r="G1818" i="1"/>
  <c r="G1816" i="1"/>
  <c r="G1814" i="1"/>
  <c r="G1812" i="1"/>
  <c r="G1810" i="1"/>
  <c r="G1808" i="1"/>
  <c r="G1806" i="1"/>
  <c r="G1804" i="1"/>
  <c r="G1802" i="1"/>
  <c r="G1800" i="1"/>
  <c r="G1798" i="1"/>
  <c r="G1796" i="1"/>
  <c r="G1794" i="1"/>
  <c r="G1792" i="1"/>
  <c r="G1790" i="1"/>
  <c r="G1788" i="1"/>
  <c r="G1786" i="1"/>
  <c r="G1784" i="1"/>
  <c r="G1782" i="1"/>
  <c r="G1780" i="1"/>
  <c r="G1778" i="1"/>
  <c r="G1776" i="1"/>
  <c r="G1774" i="1"/>
  <c r="G1772" i="1"/>
  <c r="G1770" i="1"/>
  <c r="G1768" i="1"/>
  <c r="G1766" i="1"/>
  <c r="G1764" i="1"/>
  <c r="G1762" i="1"/>
  <c r="G1760" i="1"/>
  <c r="G1758" i="1"/>
  <c r="G1756" i="1"/>
  <c r="G1754" i="1"/>
  <c r="G1752" i="1"/>
  <c r="G1750" i="1"/>
  <c r="G1748" i="1"/>
  <c r="G1746" i="1"/>
  <c r="G1744" i="1"/>
  <c r="G1742" i="1"/>
  <c r="G1740" i="1"/>
  <c r="G1738" i="1"/>
  <c r="G1736" i="1"/>
  <c r="G1734" i="1"/>
  <c r="G1732" i="1"/>
  <c r="G1730" i="1"/>
  <c r="G1728" i="1"/>
  <c r="G1726" i="1"/>
  <c r="G1724" i="1"/>
  <c r="G1722" i="1"/>
  <c r="G1720" i="1"/>
  <c r="G1718" i="1"/>
  <c r="G1716" i="1"/>
  <c r="G1714" i="1"/>
  <c r="G1712" i="1"/>
  <c r="G1710" i="1"/>
  <c r="G1708" i="1"/>
  <c r="G1706" i="1"/>
  <c r="G1704" i="1"/>
  <c r="G1702" i="1"/>
  <c r="G1700" i="1"/>
  <c r="G1698" i="1"/>
  <c r="G1696" i="1"/>
  <c r="G1694" i="1"/>
  <c r="G1692" i="1"/>
  <c r="G1690" i="1"/>
  <c r="G1688" i="1"/>
  <c r="G1686" i="1"/>
  <c r="G1684" i="1"/>
  <c r="G1682" i="1"/>
  <c r="G1680" i="1"/>
  <c r="G1678" i="1"/>
  <c r="G1676" i="1"/>
  <c r="G1674" i="1"/>
  <c r="G1672" i="1"/>
  <c r="G1670" i="1"/>
  <c r="G1668" i="1"/>
  <c r="G1666" i="1"/>
  <c r="G1664" i="1"/>
  <c r="G1662" i="1"/>
  <c r="G1660" i="1"/>
  <c r="G1658" i="1"/>
  <c r="G1656" i="1"/>
  <c r="G1654" i="1"/>
  <c r="G1652" i="1"/>
  <c r="G1650" i="1"/>
  <c r="G1648" i="1"/>
  <c r="G1646" i="1"/>
  <c r="G1644" i="1"/>
  <c r="G1642" i="1"/>
  <c r="G1640" i="1"/>
  <c r="G1638" i="1"/>
  <c r="G1636" i="1"/>
  <c r="G1634" i="1"/>
  <c r="G1632" i="1"/>
  <c r="G1630" i="1"/>
  <c r="G1628" i="1"/>
  <c r="G1626" i="1"/>
  <c r="G1624" i="1"/>
  <c r="G1622" i="1"/>
  <c r="G1620" i="1"/>
  <c r="G1618" i="1"/>
  <c r="G1616" i="1"/>
  <c r="G1614" i="1"/>
  <c r="G1612" i="1"/>
  <c r="G1610" i="1"/>
  <c r="G1608" i="1"/>
  <c r="G1606" i="1"/>
  <c r="G1604" i="1"/>
  <c r="G1602" i="1"/>
  <c r="G1600" i="1"/>
  <c r="G1598" i="1"/>
  <c r="G1596" i="1"/>
  <c r="G1594" i="1"/>
  <c r="G1592" i="1"/>
  <c r="G1590" i="1"/>
  <c r="G1588" i="1"/>
  <c r="G1586" i="1"/>
  <c r="G1584" i="1"/>
  <c r="G1582" i="1"/>
  <c r="G1580" i="1"/>
  <c r="G1578" i="1"/>
  <c r="G1576" i="1"/>
  <c r="G1574" i="1"/>
  <c r="G1572" i="1"/>
  <c r="G1570" i="1"/>
  <c r="G1568" i="1"/>
  <c r="G1566" i="1"/>
  <c r="G1564" i="1"/>
  <c r="G1562" i="1"/>
  <c r="G1560" i="1"/>
  <c r="G1558" i="1"/>
  <c r="G1556" i="1"/>
  <c r="G1554" i="1"/>
  <c r="G1552" i="1"/>
  <c r="G1550" i="1"/>
  <c r="G1548" i="1"/>
  <c r="G1546" i="1"/>
  <c r="G1544" i="1"/>
  <c r="G1542" i="1"/>
  <c r="G1540" i="1"/>
  <c r="G1538" i="1"/>
  <c r="G1536" i="1"/>
  <c r="G1534" i="1"/>
  <c r="G1532" i="1"/>
  <c r="G1530" i="1"/>
  <c r="G1528" i="1"/>
  <c r="G1526" i="1"/>
  <c r="G1524" i="1"/>
  <c r="G1522" i="1"/>
  <c r="G1520" i="1"/>
  <c r="G1518" i="1"/>
  <c r="G1516" i="1"/>
  <c r="G1514" i="1"/>
  <c r="G1512" i="1"/>
  <c r="G1510" i="1"/>
  <c r="G1508" i="1"/>
  <c r="G1506" i="1"/>
  <c r="G1504" i="1"/>
  <c r="G1502" i="1"/>
  <c r="G1500" i="1"/>
  <c r="G1498" i="1"/>
  <c r="G1496" i="1"/>
  <c r="G1494" i="1"/>
  <c r="G1492" i="1"/>
  <c r="G1490" i="1"/>
  <c r="G1488" i="1"/>
  <c r="G1486" i="1"/>
  <c r="G1484" i="1"/>
  <c r="G1482" i="1"/>
  <c r="G1480" i="1"/>
  <c r="G1478" i="1"/>
  <c r="G1476" i="1"/>
  <c r="G1474" i="1"/>
  <c r="G1472" i="1"/>
  <c r="G1470" i="1"/>
  <c r="G1468" i="1"/>
  <c r="G1466" i="1"/>
  <c r="G1464" i="1"/>
  <c r="G1462" i="1"/>
  <c r="G1460" i="1"/>
  <c r="G1458" i="1"/>
  <c r="G1456" i="1"/>
  <c r="G1454" i="1"/>
  <c r="G1452" i="1"/>
  <c r="G1450" i="1"/>
  <c r="G1448" i="1"/>
  <c r="G1446" i="1"/>
  <c r="G1444" i="1"/>
  <c r="G1442" i="1"/>
  <c r="G1440" i="1"/>
  <c r="G1438" i="1"/>
  <c r="G1436" i="1"/>
  <c r="G1434" i="1"/>
  <c r="G1432" i="1"/>
  <c r="G1430" i="1"/>
  <c r="G1428" i="1"/>
  <c r="G1426" i="1"/>
  <c r="G1424" i="1"/>
  <c r="G1422" i="1"/>
  <c r="G1420" i="1"/>
  <c r="G1418" i="1"/>
  <c r="G1416" i="1"/>
  <c r="G1414" i="1"/>
  <c r="G1412" i="1"/>
  <c r="G1410" i="1"/>
  <c r="G1408" i="1"/>
  <c r="G1406" i="1"/>
  <c r="G1404" i="1"/>
  <c r="G1402" i="1"/>
  <c r="G1400" i="1"/>
  <c r="G1398" i="1"/>
  <c r="G1396" i="1"/>
  <c r="G1394" i="1"/>
  <c r="G1392" i="1"/>
  <c r="G1390" i="1"/>
  <c r="G1388" i="1"/>
  <c r="G1386" i="1"/>
  <c r="G1384" i="1"/>
  <c r="G1382" i="1"/>
  <c r="G1380" i="1"/>
  <c r="G1378" i="1"/>
  <c r="G1376" i="1"/>
  <c r="G1374" i="1"/>
  <c r="G1372" i="1"/>
  <c r="G1370" i="1"/>
  <c r="G1368" i="1"/>
  <c r="G1366" i="1"/>
  <c r="G1364" i="1"/>
  <c r="G1362" i="1"/>
  <c r="G1360" i="1"/>
  <c r="G1358" i="1"/>
  <c r="G1356" i="1"/>
  <c r="G1354" i="1"/>
  <c r="G1352" i="1"/>
  <c r="G1350" i="1"/>
  <c r="G1348" i="1"/>
  <c r="G1346" i="1"/>
  <c r="G1344" i="1"/>
  <c r="G1342" i="1"/>
  <c r="G1340" i="1"/>
  <c r="G1338" i="1"/>
  <c r="G1336" i="1"/>
  <c r="G1334" i="1"/>
  <c r="G1332" i="1"/>
  <c r="G1330" i="1"/>
  <c r="G1328" i="1"/>
  <c r="G1326" i="1"/>
  <c r="G1324" i="1"/>
  <c r="G1322" i="1"/>
  <c r="G1320" i="1"/>
  <c r="G1318" i="1"/>
  <c r="G1316" i="1"/>
  <c r="G1314" i="1"/>
  <c r="G1312" i="1"/>
  <c r="G1310" i="1"/>
  <c r="G1308" i="1"/>
  <c r="G1306" i="1"/>
  <c r="G1304" i="1"/>
  <c r="G1302" i="1"/>
  <c r="G1300" i="1"/>
  <c r="G1298" i="1"/>
  <c r="G1296" i="1"/>
  <c r="G1294" i="1"/>
  <c r="G1292" i="1"/>
  <c r="G1290" i="1"/>
  <c r="G1288" i="1"/>
  <c r="G1286" i="1"/>
  <c r="G1284" i="1"/>
  <c r="G1282" i="1"/>
  <c r="G1280" i="1"/>
  <c r="G1278" i="1"/>
  <c r="G1276" i="1"/>
  <c r="G1274" i="1"/>
  <c r="G1272" i="1"/>
  <c r="G1270" i="1"/>
  <c r="G1268" i="1"/>
  <c r="G1266" i="1"/>
  <c r="G1264" i="1"/>
  <c r="G1262" i="1"/>
  <c r="G1260" i="1"/>
  <c r="G1258" i="1"/>
  <c r="G1256" i="1"/>
  <c r="G1254" i="1"/>
  <c r="G1252" i="1"/>
  <c r="G1250" i="1"/>
  <c r="G1248" i="1"/>
  <c r="G1246" i="1"/>
  <c r="G1244" i="1"/>
  <c r="G1242" i="1"/>
  <c r="G1240" i="1"/>
  <c r="G1238" i="1"/>
  <c r="G1236" i="1"/>
  <c r="G1234" i="1"/>
  <c r="G1232" i="1"/>
  <c r="G1230" i="1"/>
  <c r="G1228" i="1"/>
  <c r="G1226" i="1"/>
  <c r="G1224" i="1"/>
  <c r="G1222" i="1"/>
  <c r="G1220" i="1"/>
  <c r="G1218" i="1"/>
  <c r="G1216" i="1"/>
  <c r="G1214" i="1"/>
  <c r="G1212" i="1"/>
  <c r="G1210" i="1"/>
  <c r="G1208" i="1"/>
  <c r="G1206" i="1"/>
  <c r="G1204" i="1"/>
  <c r="G1202" i="1"/>
  <c r="G1200" i="1"/>
  <c r="G1198" i="1"/>
  <c r="G1196" i="1"/>
  <c r="G1194" i="1"/>
  <c r="G1192" i="1"/>
  <c r="G1190" i="1"/>
  <c r="G1188" i="1"/>
  <c r="G1186" i="1"/>
  <c r="G1184" i="1"/>
  <c r="G1182" i="1"/>
  <c r="G1180" i="1"/>
  <c r="G1178" i="1"/>
  <c r="G1176" i="1"/>
  <c r="G1174" i="1"/>
  <c r="G1172" i="1"/>
  <c r="G1170" i="1"/>
  <c r="G1168" i="1"/>
  <c r="G1166" i="1"/>
  <c r="G1164" i="1"/>
  <c r="G1162" i="1"/>
  <c r="G1160" i="1"/>
  <c r="G1158" i="1"/>
  <c r="G1156" i="1"/>
  <c r="G1154" i="1"/>
  <c r="G1152" i="1"/>
  <c r="G1150" i="1"/>
  <c r="G1148" i="1"/>
  <c r="G1146" i="1"/>
  <c r="G1144" i="1"/>
  <c r="G1142" i="1"/>
  <c r="G1140" i="1"/>
  <c r="G1138" i="1"/>
  <c r="G1136" i="1"/>
  <c r="G1134" i="1"/>
  <c r="G1132" i="1"/>
  <c r="G1130" i="1"/>
  <c r="G1128" i="1"/>
  <c r="G1126" i="1"/>
  <c r="G1124" i="1"/>
  <c r="G1122" i="1"/>
  <c r="G1120" i="1"/>
  <c r="G1118" i="1"/>
  <c r="G1116" i="1"/>
  <c r="G1114" i="1"/>
  <c r="G1112" i="1"/>
  <c r="G1110" i="1"/>
  <c r="G1108" i="1"/>
  <c r="G1106" i="1"/>
  <c r="G1104" i="1"/>
  <c r="G1102" i="1"/>
  <c r="G1100" i="1"/>
  <c r="G1098" i="1"/>
  <c r="G1096" i="1"/>
  <c r="G1094" i="1"/>
  <c r="G1092" i="1"/>
  <c r="G1090" i="1"/>
  <c r="G1088" i="1"/>
  <c r="G1086" i="1"/>
  <c r="G1084" i="1"/>
  <c r="G1082" i="1"/>
  <c r="G1080" i="1"/>
  <c r="G1078" i="1"/>
  <c r="G1076" i="1"/>
  <c r="G1074" i="1"/>
  <c r="G1072" i="1"/>
  <c r="G1070" i="1"/>
  <c r="G1068" i="1"/>
  <c r="G1066" i="1"/>
  <c r="G1064" i="1"/>
  <c r="G1062" i="1"/>
  <c r="G1060" i="1"/>
  <c r="G1058" i="1"/>
  <c r="G1056" i="1"/>
  <c r="G1054" i="1"/>
  <c r="G1052" i="1"/>
  <c r="G1050" i="1"/>
  <c r="G1048" i="1"/>
  <c r="G1046" i="1"/>
  <c r="G1044" i="1"/>
  <c r="G1042" i="1"/>
  <c r="G1040" i="1"/>
  <c r="G1038" i="1"/>
  <c r="G1036" i="1"/>
  <c r="G1034" i="1"/>
  <c r="G1032" i="1"/>
  <c r="G1030" i="1"/>
  <c r="G1028" i="1"/>
  <c r="G1026" i="1"/>
  <c r="G1024" i="1"/>
  <c r="G1022" i="1"/>
  <c r="G1020" i="1"/>
  <c r="G1018" i="1"/>
  <c r="G1016" i="1"/>
  <c r="G1014" i="1"/>
  <c r="G1012" i="1"/>
  <c r="G1010" i="1"/>
  <c r="G1008" i="1"/>
  <c r="G1006" i="1"/>
  <c r="G1004" i="1"/>
  <c r="G1002" i="1"/>
  <c r="G1000" i="1"/>
  <c r="G998" i="1"/>
  <c r="G996" i="1"/>
  <c r="G994" i="1"/>
  <c r="G992" i="1"/>
  <c r="G990" i="1"/>
  <c r="G988" i="1"/>
  <c r="G986" i="1"/>
  <c r="G984" i="1"/>
  <c r="G982" i="1"/>
  <c r="G980" i="1"/>
  <c r="G978" i="1"/>
  <c r="G976" i="1"/>
  <c r="G974" i="1"/>
  <c r="G972" i="1"/>
  <c r="G970" i="1"/>
  <c r="G968" i="1"/>
  <c r="G966" i="1"/>
  <c r="G964" i="1"/>
  <c r="G962" i="1"/>
  <c r="G960" i="1"/>
  <c r="G958" i="1"/>
  <c r="G956" i="1"/>
  <c r="G954" i="1"/>
  <c r="G952" i="1"/>
  <c r="G950" i="1"/>
  <c r="G948" i="1"/>
  <c r="G946" i="1"/>
  <c r="G944" i="1"/>
  <c r="G942" i="1"/>
  <c r="G940" i="1"/>
  <c r="G938" i="1"/>
  <c r="G936" i="1"/>
  <c r="G934" i="1"/>
  <c r="G932" i="1"/>
  <c r="G930" i="1"/>
  <c r="G928" i="1"/>
  <c r="G926" i="1"/>
  <c r="G924" i="1"/>
  <c r="G922" i="1"/>
  <c r="G920" i="1"/>
  <c r="G918" i="1"/>
  <c r="G916" i="1"/>
  <c r="G914" i="1"/>
  <c r="G912" i="1"/>
  <c r="G910" i="1"/>
  <c r="G908" i="1"/>
  <c r="G906" i="1"/>
  <c r="G904" i="1"/>
  <c r="G902" i="1"/>
  <c r="G900" i="1"/>
  <c r="G898" i="1"/>
  <c r="G896" i="1"/>
  <c r="G894" i="1"/>
  <c r="G892" i="1"/>
  <c r="G890" i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<sst xmlns="http://schemas.openxmlformats.org/spreadsheetml/2006/main" count="10280" uniqueCount="6192">
  <si>
    <t>ΠΛΗΡΩΣΗ ΘΕΣΕΩΝ ΜΕ ΣΕΙΡΑ ΠΡΟΤΕΡΑΙΟΤΗΤΑΣ (ΑΡΘΡΟ 18/Ν. 2190/1994) ΠΡΟΚΗΡΥΞΗ : 3Κ/2018</t>
  </si>
  <si>
    <t>ΣΕΙΡΑ ΚΑΤΑΤΑΞΗΣ (ΚΥΡΙΟΣ)</t>
  </si>
  <si>
    <t>ΤΕΧΝΟΛΟΓΙΚΗΣ ΕΚΠΑΙΔΕΥΣΗΣ (ΤΕ)</t>
  </si>
  <si>
    <t>ΓΕΝΙΚΕΣ ΘΕΣΕΙΣ ΜΕ ΕΜΠΕΙΡΙΑ</t>
  </si>
  <si>
    <t>ΤΕ ΟΙΚΟΝΟΜΟΛΟΓΩΝ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</si>
  <si>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</si>
  <si>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</si>
  <si>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</si>
  <si>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</si>
  <si>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</si>
  <si>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</si>
  <si>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</si>
  <si>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</si>
  <si>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ΒΑΤΗΣ</t>
  </si>
  <si>
    <t>ΣΤΥΛΙΑΝΟΣ ΕΥΣΤΡΑΤΙΟΣ</t>
  </si>
  <si>
    <t>ΖΑΦΕΙΡΙΟΣ</t>
  </si>
  <si>
    <t>964,7</t>
  </si>
  <si>
    <t>2032,7</t>
  </si>
  <si>
    <t>1219-1248-1267-1253-1203-1206-1249-1221-1255-1204-1202</t>
  </si>
  <si>
    <t>ΚΑΠΛΑΝΗ</t>
  </si>
  <si>
    <t>ΠΕΡΙΣΤΕΡΑ</t>
  </si>
  <si>
    <t>ΠΟΛΥΧΡΟΝΗΣ</t>
  </si>
  <si>
    <t>ΑΖ384153</t>
  </si>
  <si>
    <t>1206-1267-1219-1248-1205-1255-1221-1253-1249-1202-1254-1247-1217-1250-1218</t>
  </si>
  <si>
    <t>ΘΕΟΚΛΗΣ ΑΝΑΣΤΑΣΙΟΣ</t>
  </si>
  <si>
    <t>1219-1248-1267-1253-1256-1222-1220-1206-1249-1252-1254-1255-1250-1247-1251-1223-1221-1218-1217-1205-1204-1201-1203-1202</t>
  </si>
  <si>
    <t>ΤΣΙΜΠΛΙΔΟΥ</t>
  </si>
  <si>
    <t>ΧΡΙΣΤΙΝΑ</t>
  </si>
  <si>
    <t>ΙΩΑΝΝΗΣ</t>
  </si>
  <si>
    <t>ΑΚ 983360</t>
  </si>
  <si>
    <t>1249-1253-1267-1248-1206-1201-1203-1247-1250-1254-1218-1202-1204-1205-1221-1255-1256-1222-1223</t>
  </si>
  <si>
    <t>ΠΙΕΤΤΑΣ</t>
  </si>
  <si>
    <t>ΚΩΝΣΤΑΝΤΙΝΟΣ</t>
  </si>
  <si>
    <t>ΗΡΑΚΛΗΣ</t>
  </si>
  <si>
    <t>ΑΚ019395</t>
  </si>
  <si>
    <t>829,4</t>
  </si>
  <si>
    <t>1884,4</t>
  </si>
  <si>
    <t>1218-1252-1201-1249-1250-1253-1254-1217-1219-1248-1206-1256-1222-1247-1267-1205-1255-1202</t>
  </si>
  <si>
    <t>ΧΑΤΖΗΙΩΑΝΝΟΥ</t>
  </si>
  <si>
    <t>ΑΝΝΑ</t>
  </si>
  <si>
    <t>ΑΠΟΣΤΟΛΟΣ</t>
  </si>
  <si>
    <t>Χ974333</t>
  </si>
  <si>
    <t>1206-1248-1249-1252-1253-1254-1255-1256</t>
  </si>
  <si>
    <t>ΦΩΤΑΡΟΥΔΗ</t>
  </si>
  <si>
    <t>ΑΙΚΑΤΕΡΙΝΗ</t>
  </si>
  <si>
    <t>ΦΩΤΙΟΣ</t>
  </si>
  <si>
    <t>ΑΕ376704</t>
  </si>
  <si>
    <t>1222-1248-1255-1221-1256-1249-1253-1254-1247-1250</t>
  </si>
  <si>
    <t>ΜΥΛΩΝΑΣ</t>
  </si>
  <si>
    <t>ΝΙΚΟΛΑΟΣ</t>
  </si>
  <si>
    <t>ΕΛΕΥΘΕΡΙΟΣ</t>
  </si>
  <si>
    <t>Σ956511</t>
  </si>
  <si>
    <t>784,3</t>
  </si>
  <si>
    <t>1842,3</t>
  </si>
  <si>
    <t>1201-1267-1248-1218-1249-1253-1203-1254-1250-1247-1206-1202-1204-1205-1221-1255</t>
  </si>
  <si>
    <t>ΚΑΤΣΟΥΛΗ</t>
  </si>
  <si>
    <t>ΚΩΝΣΤΑΝΤΙΑ</t>
  </si>
  <si>
    <t>ΑΛΕΞΑΝΔΡΟΣ</t>
  </si>
  <si>
    <t>ΑΖ380235</t>
  </si>
  <si>
    <t>731,5</t>
  </si>
  <si>
    <t>1839,5</t>
  </si>
  <si>
    <t>1206-1248-1267-1253-1201-1249-1254-1203-1247-1250-1218-1255-1202-1205</t>
  </si>
  <si>
    <t>ΟΙΚΟΝΟΜΟΥ</t>
  </si>
  <si>
    <t>ΣΩΤΗΡΗΣ</t>
  </si>
  <si>
    <t>ΜΙΧΑΗΛ</t>
  </si>
  <si>
    <t>Σ364575</t>
  </si>
  <si>
    <t>735,9</t>
  </si>
  <si>
    <t>1833,9</t>
  </si>
  <si>
    <t>1250-1217-1247-1219-1248-1221-1255-1205-1202-1206</t>
  </si>
  <si>
    <t>ΚΟΥΡΟΥΤΟΥ</t>
  </si>
  <si>
    <t>ΣΤΑΥΡΟΥΛΑ</t>
  </si>
  <si>
    <t>Χ312845</t>
  </si>
  <si>
    <t>855,8</t>
  </si>
  <si>
    <t>1823,8</t>
  </si>
  <si>
    <t>1247-1248-1255</t>
  </si>
  <si>
    <t>ΚΟΥΡΑΚΗΣ</t>
  </si>
  <si>
    <t>ΠΑΝΑΓΙΩΤΗΣ</t>
  </si>
  <si>
    <t>ΘΕΟΔΩΡΟΣ</t>
  </si>
  <si>
    <t>ΑΝ439297</t>
  </si>
  <si>
    <t>808,5</t>
  </si>
  <si>
    <t>1816,5</t>
  </si>
  <si>
    <t>1205-1255-1204</t>
  </si>
  <si>
    <t>ΠΑΡΑΣΥΡΗ</t>
  </si>
  <si>
    <t>ΕΙΡΗΝΗ</t>
  </si>
  <si>
    <t>ΕΜΜΑΝΟΥΗΛ</t>
  </si>
  <si>
    <t>ΑΕ 968660</t>
  </si>
  <si>
    <t>756,8</t>
  </si>
  <si>
    <t>1814,8</t>
  </si>
  <si>
    <t>1202-1221-1255-1204-1205-1219-1248-1267-1250-1247-1217-1203-1201-1206-1252-1249-1253-1254</t>
  </si>
  <si>
    <t>ΚΑΡΑΝΙΚΟΛΑΣ</t>
  </si>
  <si>
    <t>ΑΖ683702</t>
  </si>
  <si>
    <t>893,2</t>
  </si>
  <si>
    <t>1812,2</t>
  </si>
  <si>
    <t>1205-1255-1202-1221-1248-1219-1249-1206</t>
  </si>
  <si>
    <t>ΕΙΡΗΝΑΙΟΥ</t>
  </si>
  <si>
    <t>ΚΩΝΣΤΑΝΤΙΝΑ</t>
  </si>
  <si>
    <t>ΑΗ040291</t>
  </si>
  <si>
    <t>790,9</t>
  </si>
  <si>
    <t>1808,9</t>
  </si>
  <si>
    <t>1255-1205-1202-1250-1247-1254-1201-1248-1253-1206-1256-1249</t>
  </si>
  <si>
    <t>ΘΑΝΑΣΑΡΑ</t>
  </si>
  <si>
    <t>ΕΥΑΓΓΕΛΗ</t>
  </si>
  <si>
    <t>ΓΕΩΡΓΙΟΣ</t>
  </si>
  <si>
    <t>ΑΕ796817</t>
  </si>
  <si>
    <t>1201-1254-1249-1253-1206-1250-1248-1247-1255</t>
  </si>
  <si>
    <t>ΛΑΠΑΤΩΝΗ</t>
  </si>
  <si>
    <t>ΣΟΦΙΑ</t>
  </si>
  <si>
    <t>ΒΑΣΙΛΕΙΟΣ</t>
  </si>
  <si>
    <t>ΑΕ113334</t>
  </si>
  <si>
    <t>853,6</t>
  </si>
  <si>
    <t>1793,6</t>
  </si>
  <si>
    <t>1222-1206-1248-1219-1267-1253-1249-1201-1247-1218-1254-1205-1250-1255-1217-1202-1256-1251</t>
  </si>
  <si>
    <t>ΝΤΑΛΛΑ</t>
  </si>
  <si>
    <t>ΑΝΔΡΟΝΙΚΗ</t>
  </si>
  <si>
    <t>ΑΒ725681</t>
  </si>
  <si>
    <t>795,3</t>
  </si>
  <si>
    <t>1793,3</t>
  </si>
  <si>
    <t>1201-1202-1206-1205-1254-1255-1253-1249-1247-1248-1250</t>
  </si>
  <si>
    <t>ΧΑΙΔΗ</t>
  </si>
  <si>
    <t>ΜΑΛΑΜΑΤΗ</t>
  </si>
  <si>
    <t>ΔΗΜΗΤΡΙΟΣ</t>
  </si>
  <si>
    <t>Ρ720537</t>
  </si>
  <si>
    <t>1219-1267-1248-1253-1206-1203-1249-1254-1201-1247-1218-1250-1217-1255-1204-1205-1221-1202-1222-1256-1223-1251</t>
  </si>
  <si>
    <t>ΓΑΚΗ</t>
  </si>
  <si>
    <t>ΜΙΛΤΙΑΔΗΣ</t>
  </si>
  <si>
    <t>ΑΗ775523</t>
  </si>
  <si>
    <t>1203-1201-1252-1223-1205-1202-1204-1206-1217-1218-1219-1220-1222-1221-1247-1248-1249-1250-1251-1253-1254-1255-1256-1267</t>
  </si>
  <si>
    <t>ΔΟΞΑΚΗ</t>
  </si>
  <si>
    <t>ΕΥΤΥΧΙΑ</t>
  </si>
  <si>
    <t>ΕΥΤΥΧΙΟΣ</t>
  </si>
  <si>
    <t>Χ496151</t>
  </si>
  <si>
    <t>772,2</t>
  </si>
  <si>
    <t>1780,2</t>
  </si>
  <si>
    <t>1255-1205-1204-1221-1202-1219-1248-1247-1206-1217-1249-1250-1252-1253-1254</t>
  </si>
  <si>
    <t>ΒΑΡΔΑΚΗ</t>
  </si>
  <si>
    <t>ΜΑΡΙΝΑ</t>
  </si>
  <si>
    <t>ΑΚ142668</t>
  </si>
  <si>
    <t>720,5</t>
  </si>
  <si>
    <t>1778,5</t>
  </si>
  <si>
    <t>1219-1247-1250-1248-1267-1217-1205-1255-1204-1201-1202-1203-1221-1252-1254-1249-1222-1206-1256-1218-1223-1253-1251-1220</t>
  </si>
  <si>
    <t>ΡΕΓΚΟΥΤΑΣ</t>
  </si>
  <si>
    <t>ΑΝΔΡΕΑΣ</t>
  </si>
  <si>
    <t>ΘΩΜΑΣ</t>
  </si>
  <si>
    <t>Φ204886</t>
  </si>
  <si>
    <t>719,4</t>
  </si>
  <si>
    <t>1777,4</t>
  </si>
  <si>
    <t>1205-1202-1201-1206-1247-1248-1253-1254-1255</t>
  </si>
  <si>
    <t>ΖΛΕΜΑΡΗΣ</t>
  </si>
  <si>
    <t>ΑΒ438860</t>
  </si>
  <si>
    <t>1201-1249-1219-1248-1253-1267-1252-1203-1206-1218-1217-1250-1204-1205-1202-1255-1221-1254-1247-1256-1220-1222-1223-1251</t>
  </si>
  <si>
    <t>ΜΙΧΕΛΙΟΥΔΑΚΗ</t>
  </si>
  <si>
    <t>ΑΘΗΝΑ</t>
  </si>
  <si>
    <t>ΑΕ471369</t>
  </si>
  <si>
    <t>1255-1205-1204</t>
  </si>
  <si>
    <t>ΚΟΥΤΣΟΥΠΑΣ</t>
  </si>
  <si>
    <t>ΛΑΜΠΡΟΣ</t>
  </si>
  <si>
    <t>ΑΜ851955</t>
  </si>
  <si>
    <t>932,8</t>
  </si>
  <si>
    <t>1770,8</t>
  </si>
  <si>
    <t>1249-1253-1219-1248-1201-1202-1250-1217-1205-1255-1221-1206-1247-1254</t>
  </si>
  <si>
    <t>ΜΠΑΛΑΦΟΥΤΗ</t>
  </si>
  <si>
    <t>ΑΗ899567</t>
  </si>
  <si>
    <t>796,4</t>
  </si>
  <si>
    <t>1764,4</t>
  </si>
  <si>
    <t>1206-1248-1255-1249-1267-1247-1250-1252-1253-1254</t>
  </si>
  <si>
    <t>ΖΩΤΟΥ</t>
  </si>
  <si>
    <t>ΘΕΟΔΩΡΑ</t>
  </si>
  <si>
    <t>ΧΡΗΣΤΟΣ</t>
  </si>
  <si>
    <t>ΑΖ746034</t>
  </si>
  <si>
    <t>789,8</t>
  </si>
  <si>
    <t>1757,8</t>
  </si>
  <si>
    <t>1205-1255-1248-1249-1253-1206-1201-1250-1254-1247-1202</t>
  </si>
  <si>
    <t>ΣΚΥΛΙΤΣΗΣ</t>
  </si>
  <si>
    <t>ΑΙ179058</t>
  </si>
  <si>
    <t>1267-1219-1248-1253-1256-1220-1222-1249-1206-1252-1201-1203-1218-1247-1254-1250-1223-1205-1204-1255-1202-1221-1251</t>
  </si>
  <si>
    <t>ΝΤΑΝΙΚΑΣ</t>
  </si>
  <si>
    <t>ΖΗΣΗΣ</t>
  </si>
  <si>
    <t>Χ413616</t>
  </si>
  <si>
    <t>1203-1201-1247-1248-1250-1254-1253-1255-1205</t>
  </si>
  <si>
    <t>ΚΟΝΤΟΣΤΕΡΓΙΟΥ</t>
  </si>
  <si>
    <t>ΕΛΕΝΗ</t>
  </si>
  <si>
    <t>ΕΥΑΓΓΕΛΟΣ</t>
  </si>
  <si>
    <t>ΑΒ107727</t>
  </si>
  <si>
    <t>1203-1254-1201-1223-1253-1248-1267-1247-1249-1206-1222-1256-1250-1255-1204-1205-1221-1202-1218</t>
  </si>
  <si>
    <t>ΣΤΑΥΡΟΠΟΥΛΟΥ</t>
  </si>
  <si>
    <t>ΚΑΛΛΙΟΠΗ</t>
  </si>
  <si>
    <t>ΑΖ217061</t>
  </si>
  <si>
    <t>621,5</t>
  </si>
  <si>
    <t>1739,5</t>
  </si>
  <si>
    <t>1201-1202-1203-1204-1205-1206-1217-1218-1219-1220-1221-1222-1223-1247-1248-1249-1250-1251-1252-1253-1254-1255</t>
  </si>
  <si>
    <t>ΜΑΝΤΖΩΡΟΥ</t>
  </si>
  <si>
    <t>ΓΕΩΡΓΙΑ</t>
  </si>
  <si>
    <t>ΑΕ531132</t>
  </si>
  <si>
    <t>1737,8</t>
  </si>
  <si>
    <t>1218-1217-1250-1221-1255-1204-1205-1253-1206-1202-1247-1201-1256-1254-1223-1249-1203-1219-1267-1252-1220-1222-1248-1251</t>
  </si>
  <si>
    <t>ΔΗΜΑΔΗΣ</t>
  </si>
  <si>
    <t>ΔΗΜΟΣ</t>
  </si>
  <si>
    <t>ΑΕ863006</t>
  </si>
  <si>
    <t>729,3</t>
  </si>
  <si>
    <t>1737,3</t>
  </si>
  <si>
    <t>1222-1206-1253-1248-1218-1204-1249-1201-1254-1247-1202-1205-1255-1217-1250-1219-1267-1221-1203-1252-1220-1256-1223-1251</t>
  </si>
  <si>
    <t>ΚΑΡΑΓΙΑΝΝΙΔΟΥ</t>
  </si>
  <si>
    <t>ΣΜΑΡΩ</t>
  </si>
  <si>
    <t>ΑΖ883092</t>
  </si>
  <si>
    <t>845,9</t>
  </si>
  <si>
    <t>1733,9</t>
  </si>
  <si>
    <t>1206-1219-1267-1248-1253-1256-1217-1250-1247-1249-1251-1255-1205-1202-1201</t>
  </si>
  <si>
    <t>ΔΑΜΑΣΚΟΠΟΥΛΟΥ</t>
  </si>
  <si>
    <t>Σ084893</t>
  </si>
  <si>
    <t>919,6</t>
  </si>
  <si>
    <t>1730,6</t>
  </si>
  <si>
    <t>1247-1217-1250-1219-1248-1201-1254-1205-1255-1202-1253-1249-1206-1267-1256-1251</t>
  </si>
  <si>
    <t>ΚΑΤΣΟΥΛΑ</t>
  </si>
  <si>
    <t>ΑΘΑΝΑΣΙΑ</t>
  </si>
  <si>
    <t>ΑΖ477106</t>
  </si>
  <si>
    <t>732,6</t>
  </si>
  <si>
    <t>1250-1247-1255-1248-1254-1206-1249-1253</t>
  </si>
  <si>
    <t>ΓΚΟΥΝΤΡΟΥΜΠΗ</t>
  </si>
  <si>
    <t>ΜΑΡΙΑ</t>
  </si>
  <si>
    <t>Σ923190</t>
  </si>
  <si>
    <t>1249-1201-1267-1248-1254-1206-1256-1253-1250-1247-1205-1255-1202-1221</t>
  </si>
  <si>
    <t>ΤΕΛΑΚΗΣ</t>
  </si>
  <si>
    <t>Π137682</t>
  </si>
  <si>
    <t>1253-1249-1201-1248-1267-1203-1256-1254-1222-1206-1218-1250-1247-1202-1204-1205-1255-1221-1223</t>
  </si>
  <si>
    <t>ΣΚΟΥΡΑ</t>
  </si>
  <si>
    <t>ΑΛΕΞΑΝΔΡΑ</t>
  </si>
  <si>
    <t>ΑΖ831349</t>
  </si>
  <si>
    <t>1253-1249-1256-1219-1248-1267-1206-1201-1247-1252-1254-1250-1202-1205-1217-1218-1255-1251</t>
  </si>
  <si>
    <t>ΝΙΚΟΛΑΙΔΟΥ</t>
  </si>
  <si>
    <t>ΛΙΑΝΑ</t>
  </si>
  <si>
    <t>ΠΕΤΡΟΣ</t>
  </si>
  <si>
    <t>Χ107833</t>
  </si>
  <si>
    <t>773,3</t>
  </si>
  <si>
    <t>1721,3</t>
  </si>
  <si>
    <t>1247-1250-1217-1201-1252-1254-1203-1253-1248-1267-1219-1255-1204-1205-1221-1202-1218-1223-1220-1249-1256-1206-1222-1251</t>
  </si>
  <si>
    <t>ΚΑΤΣΑΝΑ</t>
  </si>
  <si>
    <t>ΔΗΜΗΤΡΑ</t>
  </si>
  <si>
    <t>Χ326303</t>
  </si>
  <si>
    <t>862,4</t>
  </si>
  <si>
    <t>1720,4</t>
  </si>
  <si>
    <t>1247-1223-1248-1267-1201-1202-1204-1205-1255-1206-1217-1250-1251-1253-1218-1203-1252-1221-1249-1254-1256-1222-1219</t>
  </si>
  <si>
    <t>ΤΣΑΡΤΣΑΡΑ</t>
  </si>
  <si>
    <t>ΑΙ281480</t>
  </si>
  <si>
    <t>859,1</t>
  </si>
  <si>
    <t>1717,1</t>
  </si>
  <si>
    <t>1203-1252-1201-1219-1248-1254-1253-1206-1249-1247-1217-1250-1218-1204-1205-1255-1202-1221</t>
  </si>
  <si>
    <t>ΣΦΑΚΙΑΝΟΥΔΗΣ</t>
  </si>
  <si>
    <t>ΑΕ938703</t>
  </si>
  <si>
    <t>656,7</t>
  </si>
  <si>
    <t>1714,7</t>
  </si>
  <si>
    <t>1250-1247-1248-1254-1253-1255-1206-1205</t>
  </si>
  <si>
    <t>ΚΟΚΚΙΝΟΥ</t>
  </si>
  <si>
    <t>Τ899413</t>
  </si>
  <si>
    <t>1221-1202-1255-1205</t>
  </si>
  <si>
    <t>ΑΘΑΝΑΣΙΟΣ</t>
  </si>
  <si>
    <t>ΠΑΥΛΟΣ</t>
  </si>
  <si>
    <t>ΑΗ999739</t>
  </si>
  <si>
    <t>1206-1247-1248-1249-1250-1253-1254-1255-1256-1201-1202-1205</t>
  </si>
  <si>
    <t>ΠΙΣΤΙΚΟΥ</t>
  </si>
  <si>
    <t>ΑΕ727021</t>
  </si>
  <si>
    <t>850,3</t>
  </si>
  <si>
    <t>1708,3</t>
  </si>
  <si>
    <t>1202-1201-1206-1247-1248-1249-1250-1253-1254-1255-1267-1256-1251</t>
  </si>
  <si>
    <t>ΑΛΕΞΑΚΗ</t>
  </si>
  <si>
    <t>Ρ827380</t>
  </si>
  <si>
    <t>699,6</t>
  </si>
  <si>
    <t>1707,6</t>
  </si>
  <si>
    <t>1202-1221-1204-1205-1255-1250-1217-1201-1256-1218-1219-1247-1248-1249-1206-1253-1254-1251-1252-1220-1222</t>
  </si>
  <si>
    <t>ΔΕΡΜΟΥΣΗΣ</t>
  </si>
  <si>
    <t>Ρ121830</t>
  </si>
  <si>
    <t>1218-1221-1247-1248-1249-1250-1252-1253-1254-1255-1206-1205-1202</t>
  </si>
  <si>
    <t>ΠΑΠΑΔΟΠΟΥΛΟΣ</t>
  </si>
  <si>
    <t>ΑΕ676804</t>
  </si>
  <si>
    <t>1006,5</t>
  </si>
  <si>
    <t>1704,5</t>
  </si>
  <si>
    <t>1248-1267-1253-1206-1249-1247-1201-1254-1250-1202-1255-1205-1204-1221-1218-1203-1222-1256-1223</t>
  </si>
  <si>
    <t>ΜΑΝΔΡΑΒΕΛΟΥ</t>
  </si>
  <si>
    <t>ΣΤΑΜΑΤΙΝΑ</t>
  </si>
  <si>
    <t>Χ833999</t>
  </si>
  <si>
    <t>842,6</t>
  </si>
  <si>
    <t>1700,6</t>
  </si>
  <si>
    <t>1247-1254-1217-1250-1219-1248-1253-1202-1205-1255-1222-1201</t>
  </si>
  <si>
    <t>ΑΘΑΝΑΣΑΚΗ</t>
  </si>
  <si>
    <t>ΒΑΣΙΛΙΚΗ</t>
  </si>
  <si>
    <t>ΑΕ861851</t>
  </si>
  <si>
    <t>688,6</t>
  </si>
  <si>
    <t>1696,6</t>
  </si>
  <si>
    <t>1255-1205-1202-1206-1219-1248-1222-1201-1254-1247-1253-1249-1217-1250-1251-1256</t>
  </si>
  <si>
    <t>ΕΛΕΚΙΔΗΣ</t>
  </si>
  <si>
    <t>ΑΝΕΣΤΗΣ</t>
  </si>
  <si>
    <t>ΑΑ962279</t>
  </si>
  <si>
    <t>837,1</t>
  </si>
  <si>
    <t>1695,1</t>
  </si>
  <si>
    <t>1219-1267-1206-1253-1248-1256-1249-1255-1201-1205-1202-1254-1247-1250-1217-1251</t>
  </si>
  <si>
    <t>ΚΟΣΜΑΔΑΚΗ</t>
  </si>
  <si>
    <t>ΜΙΝΩΣ</t>
  </si>
  <si>
    <t>Χ359786</t>
  </si>
  <si>
    <t>1202-1205-1255-1250-1217-1253-1254-1201-1249-1267-1219-1247-1256-1222-1251</t>
  </si>
  <si>
    <t>ΚΟΚΟΡΑΚΗΣ</t>
  </si>
  <si>
    <t>ΓΡΗΓΟΡΙΟΣ</t>
  </si>
  <si>
    <t>Ξ241055</t>
  </si>
  <si>
    <t>1201-1202-1204-1205-1206-1217-1218-1219-1220-1221-1222-1223-1247-1248-1249-1250-1251-1252-1253-1254-1255-1256</t>
  </si>
  <si>
    <t>ΛΙΟΝΑΚΗ</t>
  </si>
  <si>
    <t>ΑΘΗΝΑ ΜΑΡΙΑ</t>
  </si>
  <si>
    <t>Χ997241</t>
  </si>
  <si>
    <t>ΧΑΜΠΑ</t>
  </si>
  <si>
    <t>ΑΝΤΩΝΙΑ</t>
  </si>
  <si>
    <t>ΑΙ967419</t>
  </si>
  <si>
    <t>ΠΑΠΑΔΟΠΟΥΛΟΥ</t>
  </si>
  <si>
    <t>ΗΛΙΑΣ</t>
  </si>
  <si>
    <t>Χ369231</t>
  </si>
  <si>
    <t>782,1</t>
  </si>
  <si>
    <t>1682,1</t>
  </si>
  <si>
    <t>1206-1250-1217-1253-1203-1249-1201-1247-1254-1248-1267-1219-1218-1255-1202-1205-1221-1204-1223-1256-1222-1251</t>
  </si>
  <si>
    <t>ΜΗΤΣΟΠΟΥΛΟΥ</t>
  </si>
  <si>
    <t>ΧΡΥΣΑΝΘΗ</t>
  </si>
  <si>
    <t>ΑΚ984103</t>
  </si>
  <si>
    <t>1249-1253-1256-1219-1267-1248-1206-1201-1254-1247-1218-1217-1250-1202-1251-1255</t>
  </si>
  <si>
    <t>ΚΑΤΣΑΡΑ</t>
  </si>
  <si>
    <t>ΕΥΓΕΝΙΑ</t>
  </si>
  <si>
    <t>ΑΝ363611</t>
  </si>
  <si>
    <t>843,7</t>
  </si>
  <si>
    <t>1681,7</t>
  </si>
  <si>
    <t>1219-1267-1253-1203-1249-1223-1254-1248-1206-1217-1250-1247-1204-1202-1221-1255-1251</t>
  </si>
  <si>
    <t>ΖΑΓΚΟΥΜΙΔΟΥ</t>
  </si>
  <si>
    <t>ΣΤΥΛΙΑΝΟΣ</t>
  </si>
  <si>
    <t>ΑΕ679747</t>
  </si>
  <si>
    <t>1201-1202-1205-1206-1217-1219-1247-1248-1249-1250-1251-1254-1253-1255-1256</t>
  </si>
  <si>
    <t>ΑΘΑΝΑΣΙΟΥ</t>
  </si>
  <si>
    <t>ΑΖ276707</t>
  </si>
  <si>
    <t>1223-1203-1248-1267-1247-1206-1218-1249-1250-1253-1254-1204-1205-1221-1202-1255</t>
  </si>
  <si>
    <t>ΠΑΠΑΕΥΑΓΓΕΛΟΥ</t>
  </si>
  <si>
    <t>ΣΙΜΕΛΑ</t>
  </si>
  <si>
    <t>ΑΝ218753</t>
  </si>
  <si>
    <t>1678,9</t>
  </si>
  <si>
    <t>1219-1267-1248-1206-1253-1221-1220-1222-1223-1256-1203-1202-1204-1205-1255-1249-1252-1254-1217-1250-1247-1218-1251</t>
  </si>
  <si>
    <t>ΜΥΛΩΝΑΚΗΣ</t>
  </si>
  <si>
    <t>ΧΑΡΑΛΑΜΠΟΣ</t>
  </si>
  <si>
    <t>ΑΜ677176</t>
  </si>
  <si>
    <t>754,6</t>
  </si>
  <si>
    <t>1673,6</t>
  </si>
  <si>
    <t>1267-1248-1253-1206-1201-1249-1255-1205-1254-1250-1247-1202</t>
  </si>
  <si>
    <t>ΜΑΚΡΥΒΟΓΙΑΤΖΑΚΗΣ</t>
  </si>
  <si>
    <t>ΑΝ472791</t>
  </si>
  <si>
    <t>1221-1205-1204-1255-1202-1201-1206-1217-1218-1219-1247-1248-1249-1250-1252-1253-1254-1203-1267</t>
  </si>
  <si>
    <t>ΜΑΡΑΓΚΑΚΗ</t>
  </si>
  <si>
    <t>ΕΛΛΗ</t>
  </si>
  <si>
    <t>ΣΤΕΦΑΝΟΣ</t>
  </si>
  <si>
    <t>ΑΗ974129</t>
  </si>
  <si>
    <t>764,5</t>
  </si>
  <si>
    <t>1662,5</t>
  </si>
  <si>
    <t>1204-1205-1255</t>
  </si>
  <si>
    <t>ΓΕΩΡΓΙΟΥΔΑΚΗ</t>
  </si>
  <si>
    <t>ΑΙ966775</t>
  </si>
  <si>
    <t>885,5</t>
  </si>
  <si>
    <t>1660,5</t>
  </si>
  <si>
    <t>1221-1202-1205-1255-1206-1219-1248-1253-1252-1201-1254-1250-1247-1249-1217-1267-1256-1251</t>
  </si>
  <si>
    <t>ΝΤΖΟΙΔΟΣ</t>
  </si>
  <si>
    <t>ΕΥΣΤΑΘΙΟΣ</t>
  </si>
  <si>
    <t>ΑΚ839183</t>
  </si>
  <si>
    <t>1201-1202-1203-1204-1205-1206-1217-1218-1219-1220-1221-1222-1223-1247-1248-1249-1250-1251-1252-1253-1254-1255-1256-1267</t>
  </si>
  <si>
    <t>ΓΚΟΛΦΙΝΟΠΟΥΛΟΣ</t>
  </si>
  <si>
    <t>ΑΙ766581</t>
  </si>
  <si>
    <t>683,1</t>
  </si>
  <si>
    <t>1655,1</t>
  </si>
  <si>
    <t>1217-1250-1247-1254-1219-1248-1201-1249-1253-1256-1206-1255-1222-1205-1202-1251</t>
  </si>
  <si>
    <t>ΦΟΥΣΤΕΡΗ</t>
  </si>
  <si>
    <t>ΑΦΡΟΔΙΤΗ</t>
  </si>
  <si>
    <t>ΑΝΑΣΤΑΣΙΟΣ</t>
  </si>
  <si>
    <t>ΑΚ597101</t>
  </si>
  <si>
    <t>1652,5</t>
  </si>
  <si>
    <t>1217-1250-1247-1254-1201-1219-1248-1267-1206-1202-1255-1205</t>
  </si>
  <si>
    <t>ΑΓΓΕΛΟΥ</t>
  </si>
  <si>
    <t>ΑΣΗΜΙΝΑ</t>
  </si>
  <si>
    <t>ΑΝ495303</t>
  </si>
  <si>
    <t>728,2</t>
  </si>
  <si>
    <t>1651,2</t>
  </si>
  <si>
    <t>1202-1203-1204-1205-1206-1217-1219-1221-1247-1248-1249-1250-1252-1253-1254-1255-1267</t>
  </si>
  <si>
    <t>ΚΑΛΟΓΕΡΑΚΟΣ</t>
  </si>
  <si>
    <t>Σ241887</t>
  </si>
  <si>
    <t>675,4</t>
  </si>
  <si>
    <t>1648,4</t>
  </si>
  <si>
    <t>1248-1250-1247-1255-1251-1253-1254-1249-1256-1202-1205-1219-1217-1206</t>
  </si>
  <si>
    <t>ΧΑΤΖΗΜΑΝΩΛΗ</t>
  </si>
  <si>
    <t>ΕΥΣΤΑΘΙΑ</t>
  </si>
  <si>
    <t>ΛΟΥΚΑΣ</t>
  </si>
  <si>
    <t>Ξ995583</t>
  </si>
  <si>
    <t>1254-1247-1250-1206-1249-1253-1248-1219-1217-1201-1205-1202-1255</t>
  </si>
  <si>
    <t>ΚΑΡΑΚΟΝΤΑΚΗ</t>
  </si>
  <si>
    <t>ΑΝΤΩΝΙΟΣ</t>
  </si>
  <si>
    <t>Χ424229</t>
  </si>
  <si>
    <t>1249-1201-1254-1253-1206-1247-1255-1205-1202-1248-1267-1250</t>
  </si>
  <si>
    <t>ΚΡΑΣΑΚΗ</t>
  </si>
  <si>
    <t>ΣΤΥΛΙΑΝΗ</t>
  </si>
  <si>
    <t>ΑΗ972625</t>
  </si>
  <si>
    <t>1205-1221-1255</t>
  </si>
  <si>
    <t>ΜΠΑΣΟΥΡΗ</t>
  </si>
  <si>
    <t>ΖΩΗ</t>
  </si>
  <si>
    <t>Χ487460</t>
  </si>
  <si>
    <t>867,9</t>
  </si>
  <si>
    <t>1647,9</t>
  </si>
  <si>
    <t>1206-1219-1248-1202-1205-1217-1247-1249-1250-1251-1253-1254-1255-1256-1267</t>
  </si>
  <si>
    <t>ΚΟΥΚΟΡΙΝΗ</t>
  </si>
  <si>
    <t>ΜΙΣΕΛ-ΤΖΟΑΝΝΑ</t>
  </si>
  <si>
    <t>ΑΝ330576</t>
  </si>
  <si>
    <t>988,9</t>
  </si>
  <si>
    <t>1646,9</t>
  </si>
  <si>
    <t>1201-1219-1248-1249-1253-1256-1206-1247-1254-1217-1250-1205-1255-1202-1251</t>
  </si>
  <si>
    <t>ΑΝΔΡΙΟΠΟΥΛΟΥ</t>
  </si>
  <si>
    <t>ΑΗ135497</t>
  </si>
  <si>
    <t>828,3</t>
  </si>
  <si>
    <t>1646,3</t>
  </si>
  <si>
    <t>1205-1247-1217-1250-1255-1221-1254-1257-1219-1267-1206-1201-1202-1248</t>
  </si>
  <si>
    <t>ΣΩΠΑΣΗΣ</t>
  </si>
  <si>
    <t>Φ176121</t>
  </si>
  <si>
    <t>785,4</t>
  </si>
  <si>
    <t>1643,4</t>
  </si>
  <si>
    <t>1202-1205-1204-1206-1201-1248-1247-1255-1267-1250-1253-1254-1249-1256</t>
  </si>
  <si>
    <t>ΑΘΑΝΑΣΑΣ</t>
  </si>
  <si>
    <t>ΑΒ080849</t>
  </si>
  <si>
    <t>1250-1247-1255-1205-1253-1249-1254-1202-1252-1206-1248</t>
  </si>
  <si>
    <t>ΣΑΜΑΡΑ</t>
  </si>
  <si>
    <t>ΔΑΦΝΗ</t>
  </si>
  <si>
    <t>ΑΖ789760</t>
  </si>
  <si>
    <t>1249-1253-1256-1267-1248-1219-1201-1206-1247-1254-1250-1217-1202-1255-1251</t>
  </si>
  <si>
    <t>ΠΑΡΑΣΚΕΥΗ</t>
  </si>
  <si>
    <t>ΑΜ108955</t>
  </si>
  <si>
    <t>707,3</t>
  </si>
  <si>
    <t>1639,3</t>
  </si>
  <si>
    <t>1202-1205-1217-1206-1219-1247-1248-1250-1249-1254-1255-1253-1267</t>
  </si>
  <si>
    <t>ΑΗ787836</t>
  </si>
  <si>
    <t>661,1</t>
  </si>
  <si>
    <t>1639,1</t>
  </si>
  <si>
    <t>1249-1267-1248-1253-1254-1256-1247-1206-1218-1250-1255</t>
  </si>
  <si>
    <t>ΜΠΑΛΚΟΥΛΗΣ</t>
  </si>
  <si>
    <t>ΝΙΚΟΛΑΟΣ ΑΝΤΩΝΙΟΣ</t>
  </si>
  <si>
    <t>ΑΑ432927</t>
  </si>
  <si>
    <t>1201-1203-1252-1248-1219-1254-1267-1222-1247-1218-1220-1223-1256-1253-1202-1206-1217-1221-1255-1204-1249-1250-1205-1251</t>
  </si>
  <si>
    <t>ΓΡΗΓΟΡΙΟΥ</t>
  </si>
  <si>
    <t>ΑΧΙΛΛΕΑΣ</t>
  </si>
  <si>
    <t>ΑΚ923079</t>
  </si>
  <si>
    <t>1638,9</t>
  </si>
  <si>
    <t>1256-1267-1202-1255-1205-1206-1248-1249-1247-1253-1254-1250</t>
  </si>
  <si>
    <t>ΚΟΥΤΣΟΓΙΑΝΝΗ</t>
  </si>
  <si>
    <t>ΕΥΑΓΓΕΛΙΑ</t>
  </si>
  <si>
    <t>ΣΠΥΡΙΔΩΝ</t>
  </si>
  <si>
    <t>Σ468679</t>
  </si>
  <si>
    <t>1201-1254-1267-1219-1248-1247-1256-1253-1206-1249-1217-1250-1202-1255-1251</t>
  </si>
  <si>
    <t>ΒΑΣΙΛΑΡΟΥ</t>
  </si>
  <si>
    <t>ΑΓΓΕΛΙΚΗ</t>
  </si>
  <si>
    <t>ΑΙ659058</t>
  </si>
  <si>
    <t>1202-1219-1267-1248-1205-1255-1201-1203-1204-1221-1252-1254-1257-1256-1253-1250-1217-1247-1206-1218-1222-1220-1223-1251-1249</t>
  </si>
  <si>
    <t>ΜΥΛΩΝΟΠΟΥΛΟΥ</t>
  </si>
  <si>
    <t>ΕΥΘΥΜΙΑ</t>
  </si>
  <si>
    <t>Ρ919064</t>
  </si>
  <si>
    <t>779,9</t>
  </si>
  <si>
    <t>1633,9</t>
  </si>
  <si>
    <t>1217-1250-1247-1248-1219-1202-1205-1255-1204-1253-1267-1256-1254-1221-1252-1206-1249-1220-1222</t>
  </si>
  <si>
    <t>ΓΕΛΛΑΛΗ</t>
  </si>
  <si>
    <t>ΑΗ762365</t>
  </si>
  <si>
    <t>1201-1219-1267-1248-1253-1249-1254-1247-1206-1250-1217-1255-1205-1202-1221</t>
  </si>
  <si>
    <t>ΖΑΧΑΡΑΚΗ</t>
  </si>
  <si>
    <t>Π887552</t>
  </si>
  <si>
    <t>1202-1221-1255-1204</t>
  </si>
  <si>
    <t>ΤΣΟΥΝΗ</t>
  </si>
  <si>
    <t>ΜΑΡΙΟΣ</t>
  </si>
  <si>
    <t>ΑΖ498505</t>
  </si>
  <si>
    <t>1254-1201-1219-1217-1250-1247-1249-1206-1255-1202-1205-1222-1253-1251</t>
  </si>
  <si>
    <t>ΚΑΛΛΗ</t>
  </si>
  <si>
    <t>ΑΜ999517</t>
  </si>
  <si>
    <t>765,6</t>
  </si>
  <si>
    <t>1623,6</t>
  </si>
  <si>
    <t>1247-1254-1248-1253-1249-1255-1201-1202-1206-1205-1217-1219-1250</t>
  </si>
  <si>
    <t>ΜΑΝΙΑΤΗ</t>
  </si>
  <si>
    <t>ΚΑΤΕΡΙΝΑ</t>
  </si>
  <si>
    <t>ΑΚ801315</t>
  </si>
  <si>
    <t>733,7</t>
  </si>
  <si>
    <t>1621,7</t>
  </si>
  <si>
    <t>1247-1250-1217-1254-1201-1219-1248-1206-1253-1255-1205-1202</t>
  </si>
  <si>
    <t>ΒΟΥΖΑΣ</t>
  </si>
  <si>
    <t>ΑΙ499080</t>
  </si>
  <si>
    <t>793,1</t>
  </si>
  <si>
    <t>1621,1</t>
  </si>
  <si>
    <t>1206-1247-1248-1249-1250-1253-1254-1255-1256-1267</t>
  </si>
  <si>
    <t>ΛΑΖΑΚΗ</t>
  </si>
  <si>
    <t>ΓΑΡΥΦΑΛΙΑ</t>
  </si>
  <si>
    <t>ΑΙ964794</t>
  </si>
  <si>
    <t>1620,6</t>
  </si>
  <si>
    <t>1221-1255-1202-1205-1204</t>
  </si>
  <si>
    <t>ΠΟΙΜΕΝΙΔΟΥ</t>
  </si>
  <si>
    <t>ΑΝΑΣΤΑΣΙΑ</t>
  </si>
  <si>
    <t>ΑΜ366072</t>
  </si>
  <si>
    <t>1252-1201-1267-1219-1248-1256-1254-1253-1247-1255-1250-1249-1205-1202</t>
  </si>
  <si>
    <t>ΦΛΟΥΡΑΚΗ</t>
  </si>
  <si>
    <t>ΜΑΡΙΑΝΝΑ</t>
  </si>
  <si>
    <t>ΑΜ465872</t>
  </si>
  <si>
    <t>1202-1205-1255</t>
  </si>
  <si>
    <t>ΛΙΟΥΣΑ</t>
  </si>
  <si>
    <t>ΣΤΕΛΑ</t>
  </si>
  <si>
    <t>Χ974273</t>
  </si>
  <si>
    <t>818,4</t>
  </si>
  <si>
    <t>1613,4</t>
  </si>
  <si>
    <t>1222-1248-1267-1206-1203-1253-1249-1201-1218-1247-1254-1250-1255-1205-1202-1221</t>
  </si>
  <si>
    <t>ΤΣΙΩΛΗΣ</t>
  </si>
  <si>
    <t>ΑΜ092118</t>
  </si>
  <si>
    <t>685,3</t>
  </si>
  <si>
    <t>1613,3</t>
  </si>
  <si>
    <t>1202-1203-1204-1205-1206-1247-1248-1249-1250-1251-1252-1253-1254-1255-1256-1267</t>
  </si>
  <si>
    <t>ΒΑΜΒΑΚΑΣ</t>
  </si>
  <si>
    <t>ΠΑΡΑΣΚΕΥΑΣ</t>
  </si>
  <si>
    <t>ΑΜ474514</t>
  </si>
  <si>
    <t>705,1</t>
  </si>
  <si>
    <t>1613,1</t>
  </si>
  <si>
    <t>1221-1255-1205-1202-1204</t>
  </si>
  <si>
    <t>ΜΑΥΡΟΜΜΑΤΗΣ</t>
  </si>
  <si>
    <t>ΑΕ191251</t>
  </si>
  <si>
    <t>1248-1267-1222-1256-1253-1206-1249-1203-1223-1251-1255-1204-1205</t>
  </si>
  <si>
    <t>ΣΑΛΑΜΟΥΡΑΣ</t>
  </si>
  <si>
    <t>ΣΕΡΑΦΕΙΜ</t>
  </si>
  <si>
    <t>ΒΛΑΣΙΟΣ</t>
  </si>
  <si>
    <t>ΑΚ330926</t>
  </si>
  <si>
    <t>723,8</t>
  </si>
  <si>
    <t>1611,8</t>
  </si>
  <si>
    <t>1218-1201-1252-1250-1217-1247-1253-1254-1249-1206-1219-1248-1202-1204-1205-1255-1221</t>
  </si>
  <si>
    <t>ΣΠΙΝΙΑΔΑΚΗ ΣΤΑΥΡΟΥΛΑΚΗ</t>
  </si>
  <si>
    <t>ΦΩΤΕΙΝΗ</t>
  </si>
  <si>
    <t>ΑΑ464979</t>
  </si>
  <si>
    <t>752,4</t>
  </si>
  <si>
    <t>1610,4</t>
  </si>
  <si>
    <t>1221-1255-1205-1204-1202-1250-1247-1248-1254-1252-1253-1206-1203-1218-1249-1223-1256</t>
  </si>
  <si>
    <t>ΝΕΡΑΝΤΖΟΥΛΑΚΗΣ</t>
  </si>
  <si>
    <t>ΑΒ963686</t>
  </si>
  <si>
    <t>760,1</t>
  </si>
  <si>
    <t>1609,1</t>
  </si>
  <si>
    <t>1202-1221-1204-1205-1255-1250-1247-1267-1248-1203-1206-1222-1223-1249-1253-1254-1256</t>
  </si>
  <si>
    <t>ΛΑΜΠΡΙΝΗ</t>
  </si>
  <si>
    <t>ΑΗ665085</t>
  </si>
  <si>
    <t>1248-1267-1206-1253-1249-1256-1218-1247-1254-1250-1255</t>
  </si>
  <si>
    <t>ΒΑΣΙΛΟΠΟΥΛΟΣ</t>
  </si>
  <si>
    <t>Τ888196</t>
  </si>
  <si>
    <t>1250-1247-1254-1206-1248-1267-1218-1203-1201-1252-1220-1253-1249-1202-1205-1255-1204-1221-1256-1223</t>
  </si>
  <si>
    <t>ΣΤΕΡΓΙΟΥ</t>
  </si>
  <si>
    <t>ΣΩΤΗΡΙΟΣ</t>
  </si>
  <si>
    <t>ΑΕ124696</t>
  </si>
  <si>
    <t>1247-1217-1250-1254-1218-1252-1203-1219-1253-1205-1255-1204-1249-1248-1221-1202-1206-1267-1201</t>
  </si>
  <si>
    <t>ΜΑΚΡΑΚΗΣ</t>
  </si>
  <si>
    <t>ΑΒ328937</t>
  </si>
  <si>
    <t>1267-1205-1203-1201-1202-1204-1206-1217-1218-1219-1220-1221-1222-1223-1247-1248-1249-1250-1251-1252-1253-1254-1255-1256</t>
  </si>
  <si>
    <t>ΑΡΣΕΝΙΔΟΥ</t>
  </si>
  <si>
    <t>Χ890251</t>
  </si>
  <si>
    <t>804,1</t>
  </si>
  <si>
    <t>1602,1</t>
  </si>
  <si>
    <t>1206-1219-1267-1249-1253-1222-1220-1203-1256-1248-1252-1201-1202-1204-1205-1255-1221-1223-1247-1254-1218-1217-1250-1251</t>
  </si>
  <si>
    <t>ΚΟΣΜΑ</t>
  </si>
  <si>
    <t>ΑΛΕΞΙΑ</t>
  </si>
  <si>
    <t>ΑΑ225774</t>
  </si>
  <si>
    <t>1219-1248-1205-1255-1220-1221-1267</t>
  </si>
  <si>
    <t>ΚΑΡΑΜΗΤΡΗ</t>
  </si>
  <si>
    <t>Χ220116</t>
  </si>
  <si>
    <t>1201-1202-1203-1204-1205-1206-1217-1218-1219-1221-1222-1223-1247-1248-1249-1250-1251-1253-1254-1255-1256-1267</t>
  </si>
  <si>
    <t>ΓΕΡΟΚΩΣΤΑ</t>
  </si>
  <si>
    <t>ΑΗ266291</t>
  </si>
  <si>
    <t>738,1</t>
  </si>
  <si>
    <t>1596,1</t>
  </si>
  <si>
    <t>1252-1219-1223-1254-1253-1256-1220-1249-1248-1222-1206-1218-1217-1250-1255-1204-1205-1202-1221-1251</t>
  </si>
  <si>
    <t>ΝΥΚΤΑΡΗ</t>
  </si>
  <si>
    <t>ΝΑΥΣΙΚΑ</t>
  </si>
  <si>
    <t>Χ462828</t>
  </si>
  <si>
    <t>937,2</t>
  </si>
  <si>
    <t>1595,2</t>
  </si>
  <si>
    <t>1205-1255</t>
  </si>
  <si>
    <t>ΖΙΩΓΑΣ</t>
  </si>
  <si>
    <t>Π446444</t>
  </si>
  <si>
    <t>766,7</t>
  </si>
  <si>
    <t>1594,7</t>
  </si>
  <si>
    <t>1248-1247-1249-1250-1253-1254-1256-1255-1252-1218-1217-1219-1220-1222-1206-1221-1223-1201-1205-1204-1202-1251-1203-1267</t>
  </si>
  <si>
    <t>ΓΚΡΙΤΣΑ</t>
  </si>
  <si>
    <t>Χ120135</t>
  </si>
  <si>
    <t>1250-1217-1247-1204-1205-1255-1221-1202-1248-1219-1267-1223-1201-1206-1254-1251-1249-1253-1256-1222-1218-1220-1203</t>
  </si>
  <si>
    <t>ΠΑΤΡΙΚΗ</t>
  </si>
  <si>
    <t>ΔΕΣΠΟΙΝΑ</t>
  </si>
  <si>
    <t>ΑΕ662091</t>
  </si>
  <si>
    <t>1249-1267-1248-1253-1256-1206-1201-1254-1247-1250-1255-1205-1202</t>
  </si>
  <si>
    <t>ΠΑΠΑΔΑΚΗ</t>
  </si>
  <si>
    <t>ΛΟΥΚΙΑ</t>
  </si>
  <si>
    <t>ΑΕ471038</t>
  </si>
  <si>
    <t>664,4</t>
  </si>
  <si>
    <t>1592,4</t>
  </si>
  <si>
    <t>ΚΟΡΔΑ</t>
  </si>
  <si>
    <t>ΠΗΝΕΛΟΠΗ</t>
  </si>
  <si>
    <t>Τ265604</t>
  </si>
  <si>
    <t>711,7</t>
  </si>
  <si>
    <t>1589,7</t>
  </si>
  <si>
    <t>1201-1202-1204-1205-1206-1217-1218-1219-1220-1221-1222-1223-1247-1248-1249-1250-1251-1252-1253-1254-1255-1256-1267-1203</t>
  </si>
  <si>
    <t>ΚΩΤΟΥΛΑ</t>
  </si>
  <si>
    <t>ΑΙ329070</t>
  </si>
  <si>
    <t>1249-1253-1248-1254-1206-1247-1201-1267-1250-1255-1202</t>
  </si>
  <si>
    <t>ΦΡΑΓΓΕΔΑΚΗ</t>
  </si>
  <si>
    <t>ΙΩΑΝΝΑ</t>
  </si>
  <si>
    <t>Χ296862</t>
  </si>
  <si>
    <t>1255-1248-1247-1250-1252-1254-1253-1256-1249</t>
  </si>
  <si>
    <t>ΤΣΑΛΙΚΑΚΗ</t>
  </si>
  <si>
    <t>ΧΡΥΣΟΣΤΟΜΟΣ</t>
  </si>
  <si>
    <t>ΑΚ900557</t>
  </si>
  <si>
    <t>1219-1248-1253-1206-1202-1205-1249-1201-1267-1255</t>
  </si>
  <si>
    <t>ΜΑΡΑΥΓΑΚΗ</t>
  </si>
  <si>
    <t>ΑΗ458156</t>
  </si>
  <si>
    <t>1202-1221-1255-1205-1204-1247-1219-1248-1217-1250-1206-1249-1253-1254-1201</t>
  </si>
  <si>
    <t>ΤΣΙΓΚΑ</t>
  </si>
  <si>
    <t>ΑΗ273791</t>
  </si>
  <si>
    <t>1201-1202-1205-1206-1247-1248-1249-1250-1253-1254-1255-1267-1221</t>
  </si>
  <si>
    <t>ΤΣΙΤΣΙΡΙΔΑΚΗ</t>
  </si>
  <si>
    <t>ΑΙ474834</t>
  </si>
  <si>
    <t>1255-1205-1202-1221-1250-1247-1254-1253-1249-1206-1267-1248-1201</t>
  </si>
  <si>
    <t>ΜΕΓΑ</t>
  </si>
  <si>
    <t>ΠΑΝΑΓΙΩΤΑ</t>
  </si>
  <si>
    <t>ΑΙ262332</t>
  </si>
  <si>
    <t>1256-1219-1267-1248-1206-1203-1201-1253-1249-1252-1250-1218-1220-1222-1217-1254-1247-1223-1221-1251-1255-1202-1204-1205</t>
  </si>
  <si>
    <t>ΤΟΥΦΕΞΗ</t>
  </si>
  <si>
    <t>Φ327194</t>
  </si>
  <si>
    <t>794,2</t>
  </si>
  <si>
    <t>1582,2</t>
  </si>
  <si>
    <t>1222-1248-1206-1253-1249-1250-1255</t>
  </si>
  <si>
    <t>ΧΑΡΑΛΑΜΠΙΔΟΥ</t>
  </si>
  <si>
    <t>ΕΥΦΡΟΣΥΝΗ</t>
  </si>
  <si>
    <t>ΕΠΑΜΕΙΝΩΝΔΑΣ</t>
  </si>
  <si>
    <t>Ν921303</t>
  </si>
  <si>
    <t>1267-1248-1221-1203-1218-1253-1249-1206-1205-1255-1201-1202-1254-1247-1250</t>
  </si>
  <si>
    <t>ΤΣΑΚΑΚΗ</t>
  </si>
  <si>
    <t>ΚΥΡΙΑΚΗ</t>
  </si>
  <si>
    <t>ΑΝ476246</t>
  </si>
  <si>
    <t>722,7</t>
  </si>
  <si>
    <t>1580,7</t>
  </si>
  <si>
    <t>1255-1204-1205-1221</t>
  </si>
  <si>
    <t>ΓΙΑΤΡΟΥΔΑΚΗ</t>
  </si>
  <si>
    <t>ΑΕ973673</t>
  </si>
  <si>
    <t>1577,9</t>
  </si>
  <si>
    <t>ΤΣΙΩΡΑΣ</t>
  </si>
  <si>
    <t>ΒΙΚΤΩΡ</t>
  </si>
  <si>
    <t>ΑΒ110930</t>
  </si>
  <si>
    <t>1249-1248-1204-1205-1206-1201-1221-1247-1255</t>
  </si>
  <si>
    <t>ΠΟΛΙΤΗΣ</t>
  </si>
  <si>
    <t>Σ811625</t>
  </si>
  <si>
    <t>1218-1223-1204-1205-1206-1217-1219-1220-1221-1222-1247-1248-1249-1250-1251-1252-1253-1255-1254-1256-1202-1203</t>
  </si>
  <si>
    <t>Χ414723</t>
  </si>
  <si>
    <t>1576,7</t>
  </si>
  <si>
    <t>1203-1252-1254-1247-1249-1253-1248-1223-1256-1220-1222-1218-1250-1205-1267-1221-1204-1255-1202</t>
  </si>
  <si>
    <t>ΒΕΛΝΤΕΣ</t>
  </si>
  <si>
    <t>ΘΕΟΔΟΣΙΟΣ</t>
  </si>
  <si>
    <t>ΑΙ500816</t>
  </si>
  <si>
    <t>1247-1250-1248-1255-1205-1202-1254-1253-1267-1201-1249-1206</t>
  </si>
  <si>
    <t>Τ565045</t>
  </si>
  <si>
    <t>716,1</t>
  </si>
  <si>
    <t>1575,1</t>
  </si>
  <si>
    <t>1255-1205-1247-1217-1250-1233-1201-1257-1254-1267-1218-1253-1256-1248-1202-1206-1251-1249</t>
  </si>
  <si>
    <t>ΛΑΜΠΡΟΠΟΥΛΟΣ</t>
  </si>
  <si>
    <t>ΑΙ840376</t>
  </si>
  <si>
    <t>1267-1202-1206-1253-1248-1247-1249-1255-1256-1250-1205-1222-1201-1221-1254</t>
  </si>
  <si>
    <t>ΤΡΥΦΩΝ</t>
  </si>
  <si>
    <t>Χ798165</t>
  </si>
  <si>
    <t>1250-1217-1254-1201-1247-1219-1248-1206-1249-1253-1255</t>
  </si>
  <si>
    <t>ΕΥΘΥΜΙΟΥ</t>
  </si>
  <si>
    <t>Σ430307</t>
  </si>
  <si>
    <t>1206-1267-1248-1219-1201-1202-1205-1217-1247-1249-1250-1251-1253-1254-1255-1256</t>
  </si>
  <si>
    <t>ΚΑΤΣΙΦΑΣ</t>
  </si>
  <si>
    <t>ΣΩΚΡΑΤΗΣ</t>
  </si>
  <si>
    <t>ΑΚ933673</t>
  </si>
  <si>
    <t>1248-1253-1255-1205-1249-1206</t>
  </si>
  <si>
    <t>ΔΕΜΙΡΤΖΟΓΛΟΥ</t>
  </si>
  <si>
    <t>ΠΕΡΙΚΛΗΣ</t>
  </si>
  <si>
    <t>ΑΜ787828</t>
  </si>
  <si>
    <t>900,9</t>
  </si>
  <si>
    <t>1568,9</t>
  </si>
  <si>
    <t>1203-1222-1223-1201-1206-1249-1253-1254-1255-1202-1204-1205-1221-1256-1248-1219-1247-1250-1217-1251</t>
  </si>
  <si>
    <t>ΜΠΑΚΑΛΜΠΑΣΗΣ</t>
  </si>
  <si>
    <t>Ρ152847</t>
  </si>
  <si>
    <t>906,4</t>
  </si>
  <si>
    <t>1566,4</t>
  </si>
  <si>
    <t>1219-1248-1267-1253-1254-1206-1247-1201-1217-1218-1203-1249-1250-1255-1202-1221-1205-1256-1223-1251</t>
  </si>
  <si>
    <t>ΞΕΝΑΚΗ</t>
  </si>
  <si>
    <t>ΑΖ308247</t>
  </si>
  <si>
    <t>1256-1253-1249-1206-1248-1201-1221-1250-1254-1247-1255-1205-1202</t>
  </si>
  <si>
    <t>ΔΕΛΛΗΣ</t>
  </si>
  <si>
    <t>ΜΑΡΙΟΣ ΑΛΕΞΑΝΔΡΟΣ</t>
  </si>
  <si>
    <t>ΑΝ283601</t>
  </si>
  <si>
    <t>1202-1203-1204-1205-1206-1217-1218-1219-1221-1222-1223-1247-1248-1249-1250-1251-1252-1253-1254-1255-1256-1267</t>
  </si>
  <si>
    <t>ΒΑΣΙΛΕΙΑΔΟΥ</t>
  </si>
  <si>
    <t>ΑΙ324268</t>
  </si>
  <si>
    <t>777,7</t>
  </si>
  <si>
    <t>1565,7</t>
  </si>
  <si>
    <t>1249-1253-1204-1218-1223-1221-1219-1222-1220-1252-1205-1202-1201-1248-1206-1247-1255-1254-1250-1256-1251</t>
  </si>
  <si>
    <t>ΣΟΦΟΥ</t>
  </si>
  <si>
    <t>ΑΝ282013</t>
  </si>
  <si>
    <t>1250-1254-1218-1247-1249-1255-1253-1256-1248-1206</t>
  </si>
  <si>
    <t>ΤΣΙΟΚΑΣ</t>
  </si>
  <si>
    <t>ΤΑΚΗΣ</t>
  </si>
  <si>
    <t>Π788585</t>
  </si>
  <si>
    <t>1267-1248-1253-1206-1249-1255</t>
  </si>
  <si>
    <t>ΟΥΖΟΥΝΗ</t>
  </si>
  <si>
    <t>ΖΑΧΑΡΟΥΛΑ</t>
  </si>
  <si>
    <t>ΣΤΕΡΓΙΟΣ</t>
  </si>
  <si>
    <t>ΑΙ172983</t>
  </si>
  <si>
    <t>1248-1219-1267-1206-1249-1253-1247-1201-1217-1254-1250-1205-1255-1202-1256-1251</t>
  </si>
  <si>
    <t>ΜΕΙΜΑΡΙΔΟΥ</t>
  </si>
  <si>
    <t>ΑΖ825549</t>
  </si>
  <si>
    <t>1253-1248-1267-1206-1249-1202-1255-1205-1247-1201-1250-1254-1256-1218-1221-1203</t>
  </si>
  <si>
    <t>ΜΠΟΥΖΑ</t>
  </si>
  <si>
    <t>ΑΒ482378</t>
  </si>
  <si>
    <t>1202-1204-1205-1221-1255-1219-1248-1267-1250-1217-1247-1218-1201-1203-1206-1254-1253-1252-1249</t>
  </si>
  <si>
    <t>ΑΣΛΑΝΗ</t>
  </si>
  <si>
    <t>ΑΡΙΣΤΟΤΕΛΗΣ-ΠΑΥΛΟΣ</t>
  </si>
  <si>
    <t>ΑΕ889135</t>
  </si>
  <si>
    <t>1206-1219-1248-1267-1253-1256-1249-1201-1254-1247-1217-1250-1205-1255-1202-1251</t>
  </si>
  <si>
    <t>ΒΑΡΣΑΜΗ</t>
  </si>
  <si>
    <t>ΑΗ283540</t>
  </si>
  <si>
    <t>1201-1252-1203-1204-1205-1206-1221-1247-1248-1249-1250-1253-1254-1255-1256</t>
  </si>
  <si>
    <t>ΛΥΜΠΕΡΟΠΟΥΛΟΥ</t>
  </si>
  <si>
    <t>Ρ383864</t>
  </si>
  <si>
    <t>1560,6</t>
  </si>
  <si>
    <t>1250-1254-1247-1248-1206-1249-1253-1256-1255</t>
  </si>
  <si>
    <t>ΛΑΧΟΒΑΡΗ</t>
  </si>
  <si>
    <t>ΑΚ448421</t>
  </si>
  <si>
    <t>821,7</t>
  </si>
  <si>
    <t>1559,7</t>
  </si>
  <si>
    <t>1206-1248-1267-1253-1256-1249-1254-1218-1250-1255</t>
  </si>
  <si>
    <t>ΠΑΛΙΒΑΝΗ</t>
  </si>
  <si>
    <t>Σ927063</t>
  </si>
  <si>
    <t>1206-1247-1248-1249-1250-1253-1254-1255</t>
  </si>
  <si>
    <t>ΚΑΚΟΥΡΗ</t>
  </si>
  <si>
    <t>ΑΒ079434</t>
  </si>
  <si>
    <t>761,2</t>
  </si>
  <si>
    <t>1556,2</t>
  </si>
  <si>
    <t>1218-1217-1254-1250-1203-1206-1247-1248-1219-1253-1252-1249-1202-1204-1205-1221-1255-1223-1220-1251-1256</t>
  </si>
  <si>
    <t>ΦΕΡΕΤΖΑΝΗ</t>
  </si>
  <si>
    <t>Ν468399</t>
  </si>
  <si>
    <t>1250-1247-1218-1254-1253-1248-1249-1206-1255</t>
  </si>
  <si>
    <t>ΚΟΥΡΟΥΝΗΣ</t>
  </si>
  <si>
    <t>ΤΑΞΙΑΡΧΗΣ</t>
  </si>
  <si>
    <t>ΑΙ232917</t>
  </si>
  <si>
    <t>744,7</t>
  </si>
  <si>
    <t>1555,7</t>
  </si>
  <si>
    <t>1247-1202-1255-1205-1254-1222-1219-1248-1206-1201-1217-1250-1253-1256-1249</t>
  </si>
  <si>
    <t>ΣΥΡΟΠΟΥΛΟΥ</t>
  </si>
  <si>
    <t>ΕΥΣΤΡΑΤΙΟΣ</t>
  </si>
  <si>
    <t>ΑΜ703496</t>
  </si>
  <si>
    <t>1248-1267-1206-1249-1250-1253-1254-1255</t>
  </si>
  <si>
    <t>ΠΑΠΑΙΔΟΥ</t>
  </si>
  <si>
    <t>ΑΒ860050</t>
  </si>
  <si>
    <t>1249-1253-1248-1256-1206-1254-1247-1250-1255-1267</t>
  </si>
  <si>
    <t>ΔΗΛΙΑΠΗ</t>
  </si>
  <si>
    <t>ΑΜ865041</t>
  </si>
  <si>
    <t>1551,8</t>
  </si>
  <si>
    <t>1256-1253-1249-1248-1206-1247-1255</t>
  </si>
  <si>
    <t>ΒΑΓΙΩΝΑΚΗ</t>
  </si>
  <si>
    <t>ΑΖ471207</t>
  </si>
  <si>
    <t>ΣΚΕΝΤΖΟΥ</t>
  </si>
  <si>
    <t>ΔΙΟΝΥΣΙΟΣ</t>
  </si>
  <si>
    <t>Χ295327</t>
  </si>
  <si>
    <t>1549,2</t>
  </si>
  <si>
    <t>1250-1218-1206-1221-1252-1253-1220-1248-1222-1247-1249-1254-1255-1256-1267</t>
  </si>
  <si>
    <t>ΔΡΑΚΟΥ</t>
  </si>
  <si>
    <t>ΑΚ394814</t>
  </si>
  <si>
    <t>905,3</t>
  </si>
  <si>
    <t>1546,3</t>
  </si>
  <si>
    <t>1248-1247-1250-1249-1253-1254-1256-1201-1206-1202-1255</t>
  </si>
  <si>
    <t>ΓΚΟΥΒΑ</t>
  </si>
  <si>
    <t>ΑΒ809435</t>
  </si>
  <si>
    <t>1250-1248-1267-1247-1201-1255-1205-1202-1249-1253-1254-1206</t>
  </si>
  <si>
    <t>ΤΡΟΥΛΛΙΝΟΥ</t>
  </si>
  <si>
    <t>ΑΜ085112</t>
  </si>
  <si>
    <t>1206-1247-1248-1249-1250-1253-1254-1255-1267-1201-1202-1203-1204-1205-1217-1218-1219-1220-1221-1222-1223-1251-1252-1256</t>
  </si>
  <si>
    <t>ΚΟΤΣΑΝΗ</t>
  </si>
  <si>
    <t>ΔΙΟΝΥΣΙΑ</t>
  </si>
  <si>
    <t>Χ961032</t>
  </si>
  <si>
    <t>768,9</t>
  </si>
  <si>
    <t>1542,9</t>
  </si>
  <si>
    <t>1218-1219-1203-1217-1267-1248-1249-1252-1250-1247-1201-1221-1253-1254-1206-1202-1204-1205-1220-1222-1223-1256-1251-1255</t>
  </si>
  <si>
    <t>ΚΑΡΑΛΗ</t>
  </si>
  <si>
    <t>ΑΙ190855</t>
  </si>
  <si>
    <t>ΔΟΡΙΑΚΗ</t>
  </si>
  <si>
    <t>ΑΙ435487</t>
  </si>
  <si>
    <t>778,8</t>
  </si>
  <si>
    <t>1540,8</t>
  </si>
  <si>
    <t>1202-1221-1205-1204-1255-1250-1217-1247-1254-1248-1219-1203-1218-1253-1252-1206-1256-1249-1251-1223-1222-1220</t>
  </si>
  <si>
    <t>Φ296172</t>
  </si>
  <si>
    <t>1540,1</t>
  </si>
  <si>
    <t>1251-1219-1217-1202-1201-1248-1255-1247-1254-1253-1250-1267-1249-1206-1256</t>
  </si>
  <si>
    <t>ΔΑΛΓΙΤΣΗ</t>
  </si>
  <si>
    <t>ΝΕΚΤΑΡΙΑ</t>
  </si>
  <si>
    <t>ΑΕ916287</t>
  </si>
  <si>
    <t>1206-1248-1267-1205-1221-1255-1254-1256-1253-1252-1249-1250-1247-1202-1203-1222-1223-1220-1219-1201-1204</t>
  </si>
  <si>
    <t>Μυλωνά</t>
  </si>
  <si>
    <t>Αικατερίνη</t>
  </si>
  <si>
    <t>Χρήστος</t>
  </si>
  <si>
    <t>ΑΙ954728</t>
  </si>
  <si>
    <t>1536,1</t>
  </si>
  <si>
    <t>1202-1255-1205-1217-1250-1247-1219-1248-1206-1249-1256-1254-1253-1201</t>
  </si>
  <si>
    <t>ΜΥΡΙΔΑΚΗ</t>
  </si>
  <si>
    <t>ΜΑΡΙΑ - ΚΥΡΙΑΚΗ</t>
  </si>
  <si>
    <t>ΑΜ473538</t>
  </si>
  <si>
    <t>1533,4</t>
  </si>
  <si>
    <t>1204-1205-1202-1221-1222-1255-1206-1223-1247-1248-1249-1250-1253-1254-1256-1219-1203</t>
  </si>
  <si>
    <t>ΒΟΥΤΣΚΙΔΗΣ</t>
  </si>
  <si>
    <t>ΑΜ848758</t>
  </si>
  <si>
    <t>1249-1253-1203-1267-1248-1223-1201-1206-1254-1218-1247-1250-1202-1205-1221-1255-1204</t>
  </si>
  <si>
    <t>ΜΑΝΩΛΑ</t>
  </si>
  <si>
    <t>ΑΗ793593</t>
  </si>
  <si>
    <t>1249-1253-1202-1205-1255-1221-1247-1254-1250-1248-1201-1206-1256-1203-1204-1217-1218-1219-1220-1222-1223-1251-1252</t>
  </si>
  <si>
    <t>ΔΗΜΗΤΡΙΑΔΟΥ</t>
  </si>
  <si>
    <t>ΑΖ887850</t>
  </si>
  <si>
    <t>1206-1248-1267-1253-1256-1249-1201-1254-1247-1250-1255-1205-1202</t>
  </si>
  <si>
    <t>ΣΤΥΛΙΔΗΣ</t>
  </si>
  <si>
    <t>ΑΜ398657</t>
  </si>
  <si>
    <t>1201-1202-1205-1206-1217-1219-1221-1247-1249-1250-1253-1254-1255</t>
  </si>
  <si>
    <t>ΑΝΤΩΝΙΟΥ</t>
  </si>
  <si>
    <t>ΕΛΕΥΘΕΡΙΑ</t>
  </si>
  <si>
    <t>ΑΖ238908</t>
  </si>
  <si>
    <t>874,5</t>
  </si>
  <si>
    <t>1532,5</t>
  </si>
  <si>
    <t>1253-1201-1248-1249-1206-1219-1250-1247-1217-1254-1205-1255-1202</t>
  </si>
  <si>
    <t>ΤΑΤΣΗΣ</t>
  </si>
  <si>
    <t>ΑΝ287608</t>
  </si>
  <si>
    <t>840,4</t>
  </si>
  <si>
    <t>1532,4</t>
  </si>
  <si>
    <t>1201-1202-1206-1247-1248-1249-1250-1253-1254-1255-1205-1267</t>
  </si>
  <si>
    <t>ΚΑΡΑΤΑΣΟΣ</t>
  </si>
  <si>
    <t>Χ275575</t>
  </si>
  <si>
    <t>1531,9</t>
  </si>
  <si>
    <t>1218-1219-1201-1202-1205-1206-1217-1247-1248-1249-1250-1252-1253-1254-1255-1267-1203-1204-1220-1221-1222-1223-1251-1256</t>
  </si>
  <si>
    <t>ΤΑΙΠΛΙΑΔΟΥ</t>
  </si>
  <si>
    <t>ΕΛΙΣΑΒΕΤ</t>
  </si>
  <si>
    <t>ΑΕ363234</t>
  </si>
  <si>
    <t>1253-1256-1249-1248-1206-1254-1222-1223-1247-1204-1205-1255-1221-1201-1202</t>
  </si>
  <si>
    <t>ΚΑΡΝΑΒΑ</t>
  </si>
  <si>
    <t>ΠΑΝΤΕΛΗΣ</t>
  </si>
  <si>
    <t>ΑΜ176247</t>
  </si>
  <si>
    <t>771,1</t>
  </si>
  <si>
    <t>1529,1</t>
  </si>
  <si>
    <t>1205-1233-1234-1257-1267-1255-1217-1250-1202-1219-1248-1247-1254-1253-1201-1206-1249</t>
  </si>
  <si>
    <t>ΚΑΠΑΓΕΡΙΔΗΣ</t>
  </si>
  <si>
    <t>Π186534</t>
  </si>
  <si>
    <t>1250-1247-1202-1255-1205-1206-1248-1249</t>
  </si>
  <si>
    <t>ΒΛΑΖΑΚΗΣ</t>
  </si>
  <si>
    <t>ΑΖ823553</t>
  </si>
  <si>
    <t>1253-1249-1248-1252-1206-1254-1218-1247-1250-1255</t>
  </si>
  <si>
    <t>ΣΚΛΑΒΟΣ</t>
  </si>
  <si>
    <t>ΑΗ764842</t>
  </si>
  <si>
    <t>1527,7</t>
  </si>
  <si>
    <t>1219-1201-1248-1249-1217-1253-1254-1247-1206-1250-1202-1205-1255</t>
  </si>
  <si>
    <t>ΣΥΜΣΕΡΟΠΟΥΛΟΥ</t>
  </si>
  <si>
    <t>ΑΜ253026</t>
  </si>
  <si>
    <t>1525,2</t>
  </si>
  <si>
    <t>1249-1253-1267-1248-1219-1201-1206-1247-1254-1255</t>
  </si>
  <si>
    <t>ΔΕΡΝΙΚΑΣ</t>
  </si>
  <si>
    <t>ΑΑ975576</t>
  </si>
  <si>
    <t>695,2</t>
  </si>
  <si>
    <t>1523,2</t>
  </si>
  <si>
    <t>1254-1218-1247-1255</t>
  </si>
  <si>
    <t>ΤΟΥΛΚΑΡΙΔΗΣ</t>
  </si>
  <si>
    <t>ΣΤΑΥΡΟΣ</t>
  </si>
  <si>
    <t>ΑΚ201253</t>
  </si>
  <si>
    <t>663,3</t>
  </si>
  <si>
    <t>1521,3</t>
  </si>
  <si>
    <t>1217-1250-1247-1248-1219-1206-1223-1202-1203-1204-1205-1201-1221-1255-1252-1254-1253-1222-1220-1218-1267</t>
  </si>
  <si>
    <t>ΣΕΡΕΤΗ</t>
  </si>
  <si>
    <t>ΚΛΕΟΠΑΤΡΑ</t>
  </si>
  <si>
    <t>ΑΡΙΣΤΕΙΔΗΣ</t>
  </si>
  <si>
    <t>ΑΙ262855</t>
  </si>
  <si>
    <t>1218-1267-1248-1219-1201-1252-1217-1250-1204-1255-1205-1206-1247-1249-1254-1203-1256-1253-1220-1221-1222-1202-1223-1251</t>
  </si>
  <si>
    <t>ΚΑΒΒΑΔΙΑ</t>
  </si>
  <si>
    <t>ΦΙΛΗΜΩΝ</t>
  </si>
  <si>
    <t>ΑΕ744598</t>
  </si>
  <si>
    <t>701,8</t>
  </si>
  <si>
    <t>1519,8</t>
  </si>
  <si>
    <t>1218-1203-1204-1221-1250-1248-1247-1267-1201-1254-1249-1253-1255-1205-1206-1202</t>
  </si>
  <si>
    <t>ΚΟΝΤΟΥ</t>
  </si>
  <si>
    <t>ΑΙ246478</t>
  </si>
  <si>
    <t>696,3</t>
  </si>
  <si>
    <t>1519,3</t>
  </si>
  <si>
    <t>1202-1221-1255-1204-1205</t>
  </si>
  <si>
    <t>ΤΑΟΥΣΑΚΟΥ</t>
  </si>
  <si>
    <t>ΑΖ598556</t>
  </si>
  <si>
    <t>776,6</t>
  </si>
  <si>
    <t>1517,6</t>
  </si>
  <si>
    <t>1250-1247-1248-1255-1249-1254-1253-1201-1202</t>
  </si>
  <si>
    <t>ΓΑΝΙΤΗ</t>
  </si>
  <si>
    <t>ΑΖ849623</t>
  </si>
  <si>
    <t>706,2</t>
  </si>
  <si>
    <t>1517,2</t>
  </si>
  <si>
    <t>1267-1248-1206-1253-1249-1254-1247-1250-1255-1202</t>
  </si>
  <si>
    <t>ΠΡΟΔΡΟΜΟΥ</t>
  </si>
  <si>
    <t>ΑΖ829727</t>
  </si>
  <si>
    <t>1253-1267-1248-1249-1250-1247-1201-1202-1205-1206-1254-1255-1223-1203-1221</t>
  </si>
  <si>
    <t>ΜΙΧΑΗΛΙΔΗ</t>
  </si>
  <si>
    <t>Χ212472</t>
  </si>
  <si>
    <t>775,5</t>
  </si>
  <si>
    <t>1516,5</t>
  </si>
  <si>
    <t>1202-1206-1217-1219-1221-1247-1248-1249-1250-1253-1254-1255</t>
  </si>
  <si>
    <t>ΚΩΝΣΤΑΝΤΙΝΙΔΗΣ</t>
  </si>
  <si>
    <t>ΑΗ683466</t>
  </si>
  <si>
    <t>698,5</t>
  </si>
  <si>
    <t>1248-1206-1202-1201-1255-1254-1253-1250-1247</t>
  </si>
  <si>
    <t>ΚΟΥΛΟΥ</t>
  </si>
  <si>
    <t>ΑΗ997521</t>
  </si>
  <si>
    <t>1250-1217-1255-1205-1202-1204-1267</t>
  </si>
  <si>
    <t>ΜΑΜΑΤΣΙΟΥ</t>
  </si>
  <si>
    <t>ΑΕ814151</t>
  </si>
  <si>
    <t>1249-1253-1267-1248-1206-1247-1254-1250-1205-1255-1202</t>
  </si>
  <si>
    <t>ΧΑΡΙΤΩΝΙΔΟΥ</t>
  </si>
  <si>
    <t>ΑΒ420186</t>
  </si>
  <si>
    <t>1249-1201-1253-1267-1206-1248-1254-1247-1255-1205-1219-1202-1217-1250-1256-1222-1251</t>
  </si>
  <si>
    <t>ΛΟΥΔΑΣ</t>
  </si>
  <si>
    <t>Χ488715</t>
  </si>
  <si>
    <t>673,2</t>
  </si>
  <si>
    <t>1514,2</t>
  </si>
  <si>
    <t>1248-1219-1206-1249-1203-1204-1256-1253-1252-1201-1220-1247-1255-1202-1205-1221-1223-1250-1251-1254-1217-1218</t>
  </si>
  <si>
    <t>ΒΑΒΡΙΤΣΑ</t>
  </si>
  <si>
    <t>ΣΤΕΡΓΙΑΝΗ</t>
  </si>
  <si>
    <t>ΑΒ421276</t>
  </si>
  <si>
    <t>745,8</t>
  </si>
  <si>
    <t>1513,8</t>
  </si>
  <si>
    <t>1252-1203-1249-1254-1253-1248-1267-1247-1223-1218-1220-1250-1255-1221-1205-1204-1206-1256</t>
  </si>
  <si>
    <t>ΖΑΦΕΙΡΟΠΟΥΛΟΥ</t>
  </si>
  <si>
    <t>Χ296831</t>
  </si>
  <si>
    <t>1219-1248-1255-1204-1205-1202-1217-1221-1250-1247-1254-1253</t>
  </si>
  <si>
    <t>ΚΑΝΔΕΡΑΚΗ</t>
  </si>
  <si>
    <t>ΑΖ473944</t>
  </si>
  <si>
    <t>ΚΡΑΝΙΩΤΗ</t>
  </si>
  <si>
    <t>ΑΚ408707</t>
  </si>
  <si>
    <t>1203-1201-1267-1248-1247-1254-1223-1222-1206-1253-1249-1256-1255-1204-1221-1202-1218-1250</t>
  </si>
  <si>
    <t>ΜΠΑΛΑΔΑΚΗ</t>
  </si>
  <si>
    <t>ΑΒ973815</t>
  </si>
  <si>
    <t>ΣΤΑΓΚΑ</t>
  </si>
  <si>
    <t>Χ201897</t>
  </si>
  <si>
    <t>1510,8</t>
  </si>
  <si>
    <t>1217-1250-1247-1254-1201-1219-1248-1253-1206-1255-1205-1202-1249</t>
  </si>
  <si>
    <t>ΚΕΧΑΓΙΑ</t>
  </si>
  <si>
    <t>ΧΡΥΣΗ</t>
  </si>
  <si>
    <t>ΑΖ649846</t>
  </si>
  <si>
    <t>1220-1256-1255-1254-1252-1251-1250-1249-1247-1223-1221-1218-1217-1205-1204-1203-1202</t>
  </si>
  <si>
    <t>ΚΕΦΑΛΑ</t>
  </si>
  <si>
    <t>ΣΙΔΕΡΗ</t>
  </si>
  <si>
    <t>ΑΕ917871</t>
  </si>
  <si>
    <t>1206-1222-1218-1248-1267-1252-1220-1249-1253-1256-1254-1250-1247-1255</t>
  </si>
  <si>
    <t>ΚΑΤΣΑΡΟΥ</t>
  </si>
  <si>
    <t>ΕΥΣΕΒΙΑ</t>
  </si>
  <si>
    <t>ΑΖ341139</t>
  </si>
  <si>
    <t>1222-1248-1219-1267-1206-1253-1249-1247-1254-1201-1255-1205-1202-1221-1256-1217-1250-1251</t>
  </si>
  <si>
    <t>ΚΑΖΑ</t>
  </si>
  <si>
    <t>ΑΜ841391</t>
  </si>
  <si>
    <t>650,1</t>
  </si>
  <si>
    <t>1508,1</t>
  </si>
  <si>
    <t>1221-1217-1219-1250-1248-1247-1267-1254-1253-1256-1249-1255-1251-1223-1218</t>
  </si>
  <si>
    <t>ΜΑΛΕΦΑΚΗΣ</t>
  </si>
  <si>
    <t>ΙΟΑΝΝΗΣ</t>
  </si>
  <si>
    <t>ΑΗ973489</t>
  </si>
  <si>
    <t>679,8</t>
  </si>
  <si>
    <t>1507,8</t>
  </si>
  <si>
    <t>1255-1247-1248-1253-1250-1249</t>
  </si>
  <si>
    <t>ΚΥΡΙΑΚΟΣ</t>
  </si>
  <si>
    <t>ΑΝ769360</t>
  </si>
  <si>
    <t>1206-1205-1255-1267-1219-1248-1249-1250-1202-1201-1217-1253-1254</t>
  </si>
  <si>
    <t>ΣΥΜΕΛΑ</t>
  </si>
  <si>
    <t>ΖΑΧΑΡΙΑΣ</t>
  </si>
  <si>
    <t>ΑΜ902407</t>
  </si>
  <si>
    <t>1220-1219-1248-1267-1206-1253-1249-1250-1221-1204-1205-1202-1217-1252-1255-1254-1218-1247</t>
  </si>
  <si>
    <t>ΡΕΤΣΙΝΑ</t>
  </si>
  <si>
    <t>ΑΓΑΘΗ</t>
  </si>
  <si>
    <t>ΑΚ143608</t>
  </si>
  <si>
    <t>1218-1201-1202-1203-1204-1205-1206-1217-1219-1220-1221-1222-1223-1247-1248-1249-1250-1251-1252-1253-1254-1255-1256-1267</t>
  </si>
  <si>
    <t>ΔΟΞΙΑΔΟΥ</t>
  </si>
  <si>
    <t>ΑΝ769053</t>
  </si>
  <si>
    <t>1506,5</t>
  </si>
  <si>
    <t>1206-1255</t>
  </si>
  <si>
    <t>ΧΡΙΣΤΟΔΟΥΛΟΠΟΥΛΟΥ</t>
  </si>
  <si>
    <t>ΑΝ247627</t>
  </si>
  <si>
    <t>816,2</t>
  </si>
  <si>
    <t>1504,2</t>
  </si>
  <si>
    <t>1250-1217-1255-1205-1202-1221-1219-1248-1247-1254-1253-1249-1206</t>
  </si>
  <si>
    <t>ΔΟΥΛΚΕΡΙΔΗΣ</t>
  </si>
  <si>
    <t>ΑΖ811409</t>
  </si>
  <si>
    <t>1256-1253-1249-1206-1201-1248-1247-1202-1255-1254-1250</t>
  </si>
  <si>
    <t>ΓΕΩΡΓΟΠΟΥΛΟΥ</t>
  </si>
  <si>
    <t>Τ447124</t>
  </si>
  <si>
    <t>841,5</t>
  </si>
  <si>
    <t>1499,5</t>
  </si>
  <si>
    <t>1248-1219-1267-1253-1256-1249-1206-1254-1247-1201-1205-1255-1202-1221-1217-1250</t>
  </si>
  <si>
    <t>ΝΙΚΟΛΗ</t>
  </si>
  <si>
    <t>ΒΑΣΙΛΕΙΑ</t>
  </si>
  <si>
    <t>Π227162</t>
  </si>
  <si>
    <t>1253-1267-1248-1254-1247-1249-1206-1250-1255</t>
  </si>
  <si>
    <t>ΝΕΑΝΙΔΗΣ</t>
  </si>
  <si>
    <t>ΑΗ418659</t>
  </si>
  <si>
    <t>1206-1219-1248-1253-1201-1203-1249-1252-1223-1254-1247-1218-1250-1255-1204-1205-1217-1202-1221-1267</t>
  </si>
  <si>
    <t>ΧΕΛΙΟΥ</t>
  </si>
  <si>
    <t>ΑΓΓΕΛΑ</t>
  </si>
  <si>
    <t>ΑΒ557358</t>
  </si>
  <si>
    <t>1219-1267-1248-1205-1255-1202-1206-1253-1256-1249-1247-1254-1250-1217-1201-1251</t>
  </si>
  <si>
    <t>ΛΑΖΑΡΟΥ</t>
  </si>
  <si>
    <t>ΑΖ680411</t>
  </si>
  <si>
    <t>1219-1248-1220-1206-1253-1256-1267-1252-1204-1255-1247-1223-1203</t>
  </si>
  <si>
    <t>ΦΥΤΡΟΥ</t>
  </si>
  <si>
    <t>ΑΡΤΕΜΙΟΣ</t>
  </si>
  <si>
    <t>Σ927766</t>
  </si>
  <si>
    <t>1251-1254-1219-1217-1248-1250-1247-1206-1249-1205-1202-1255-1253</t>
  </si>
  <si>
    <t>ΚΑΤΣΙΚΟΥ</t>
  </si>
  <si>
    <t>ΑΗ274605</t>
  </si>
  <si>
    <t>657,8</t>
  </si>
  <si>
    <t>1495,8</t>
  </si>
  <si>
    <t>1203-1201-1219-1218-1217-1204-1221-1202-1205-1249-1247-1248-1253-1254-1267-1255-1206-1250-1252-1256-1223-1222-1220-1251</t>
  </si>
  <si>
    <t>ΧΑΜΑΛΕΛΛΗ</t>
  </si>
  <si>
    <t>ΜΑΡΙΑΝΘΗ</t>
  </si>
  <si>
    <t>Σ652006</t>
  </si>
  <si>
    <t>1493,9</t>
  </si>
  <si>
    <t>1251-1255-1205-1202-1250-1217-1247-1267-1219-1248-1206-1201-1252-1254-1253-1249-1256</t>
  </si>
  <si>
    <t>ΛΟΥΤΡΙΩΤΗ</t>
  </si>
  <si>
    <t>ΕΥΘΥΜΙΟΣ</t>
  </si>
  <si>
    <t>ΑΕ310512</t>
  </si>
  <si>
    <t>1493,7</t>
  </si>
  <si>
    <t>1201-1252-1255-1202-1219-1248-1254-1211-1206-1253-1250-1217-1247</t>
  </si>
  <si>
    <t>ΖΙΑΚΟΥΛΗ</t>
  </si>
  <si>
    <t>ΑΜ369635</t>
  </si>
  <si>
    <t>1219-1248-1201-1249-1254-1247-1206-1217-1250-1253-1218-1205-1255-1256</t>
  </si>
  <si>
    <t>ΜΟΥΣΤΑΚΛΗ</t>
  </si>
  <si>
    <t>ΑΖ380431</t>
  </si>
  <si>
    <t>633,6</t>
  </si>
  <si>
    <t>1491,6</t>
  </si>
  <si>
    <t>1206-1201-1202-1205-1247-1248-1249-1250-1253-1254-1255</t>
  </si>
  <si>
    <t>ΜΠΟΥΧΩΡΗ</t>
  </si>
  <si>
    <t>Χ429479</t>
  </si>
  <si>
    <t>831,6</t>
  </si>
  <si>
    <t>1489,6</t>
  </si>
  <si>
    <t>1203-1254-1252-1201-1249-1267-1219-1253-1248-1247-1218-1250-1217-1206-1202-1204-1205-1255-1221-1223-1222-1220-1256</t>
  </si>
  <si>
    <t>ΠΑΡΑΣΚΕΥΟΠΟΥΛΟΣ</t>
  </si>
  <si>
    <t>ΜΗΝΑΣ</t>
  </si>
  <si>
    <t>Σ131172</t>
  </si>
  <si>
    <t>1489,1</t>
  </si>
  <si>
    <t>1252-1247-1250-1254-1255-1249-1253-1218-1206-1219-1248-1267-1220-1256</t>
  </si>
  <si>
    <t>ΠΑΠΟΥΤΣΑΚΗ</t>
  </si>
  <si>
    <t>Ξ951866</t>
  </si>
  <si>
    <t>669,9</t>
  </si>
  <si>
    <t>1487,9</t>
  </si>
  <si>
    <t>1204-1202-1221-1205-1255-1247-1250-1223-1218-1253-1251</t>
  </si>
  <si>
    <t>ΜΑΣΤΡΟΓΙΑΝΝΙΔΟΥ</t>
  </si>
  <si>
    <t>ΦΑΝΗ</t>
  </si>
  <si>
    <t>Ρ874988</t>
  </si>
  <si>
    <t>1249-1253-1248-1267-1256-1206-1254-1201-1247-1250-1202-1205-1255</t>
  </si>
  <si>
    <t xml:space="preserve">ΜΑΡΓΑΡΙΤΑ </t>
  </si>
  <si>
    <t xml:space="preserve">ΓΕΩΡΓΙΟΣ </t>
  </si>
  <si>
    <t>ΑΚ331834</t>
  </si>
  <si>
    <t>917,4</t>
  </si>
  <si>
    <t>1486,4</t>
  </si>
  <si>
    <t>ΔΟΜΟΥΖΗ</t>
  </si>
  <si>
    <t>ΠΑΓΩΝΑ</t>
  </si>
  <si>
    <t>Ρ215024</t>
  </si>
  <si>
    <t>1253-1267-1256-1248-1206-1222-1249-1201-1203-1254-1250-1218-1202-1247-1223-1221-1204-1205-1255</t>
  </si>
  <si>
    <t>ΑΜ367827</t>
  </si>
  <si>
    <t>694,1</t>
  </si>
  <si>
    <t>1484,1</t>
  </si>
  <si>
    <t>1203-1201-1249-1204-1221-1254-1248-1267-1253-1247-1206-1250-1218-1255-1202-1205-1223-1256-1222</t>
  </si>
  <si>
    <t>ΚΑΠΡΙΝΗ</t>
  </si>
  <si>
    <t>ΒΡΑΣΙΔΑΣ</t>
  </si>
  <si>
    <t>ΑΖ295462</t>
  </si>
  <si>
    <t>1249-1253-1206-1248-1267-1201-1203-1254-1202-1255-1205-1204-1221-1247-1250-1218-1220-1256-1222-1223-1252-1219-1217</t>
  </si>
  <si>
    <t>ΤΣΑΚΜΑΚΗ</t>
  </si>
  <si>
    <t>ΑΕ344598</t>
  </si>
  <si>
    <t>623,7</t>
  </si>
  <si>
    <t>1481,7</t>
  </si>
  <si>
    <t>1248-1252-1253-1218-1249-1202-1204-1255-1206-1221-1254-1247-1250-1205-1267-1203-1220-1201-1222-1256</t>
  </si>
  <si>
    <t>ΚΟΥΤΚΙΑ</t>
  </si>
  <si>
    <t>Φ336920</t>
  </si>
  <si>
    <t>1480,6</t>
  </si>
  <si>
    <t>1254-1201-1247-1217-1218-1253-1206-1250-1219-1248-1256-1249-1223-1255-1204-1205-1221-1202-1251</t>
  </si>
  <si>
    <t>ΠΑΝΤΕΛΙΔΟΥ</t>
  </si>
  <si>
    <t>ΑΕ401088</t>
  </si>
  <si>
    <t>1206-1267-1253-1249-1201-1254-1247-1202-1205-1255-1250-1248</t>
  </si>
  <si>
    <t>ΖΑΦΕΙΡΑΚΟΥ</t>
  </si>
  <si>
    <t>ΝΙΚΗ</t>
  </si>
  <si>
    <t>ΠΑΝΑΓΙΩΤΗ</t>
  </si>
  <si>
    <t>Χ489341</t>
  </si>
  <si>
    <t>677,6</t>
  </si>
  <si>
    <t>1479,6</t>
  </si>
  <si>
    <t>1250-1247-1248-1219-1254-1253-1267-1217-1249-1256-1201-1255-1221-1202-1206-1203-1218-1205-1204-1222-1223-1251</t>
  </si>
  <si>
    <t>ΘΕΟΔΩΡΕΛΛΗ</t>
  </si>
  <si>
    <t>ΧΑΡΙΛΑΟΣ</t>
  </si>
  <si>
    <t>ΑΚ931437</t>
  </si>
  <si>
    <t>741,4</t>
  </si>
  <si>
    <t>1479,4</t>
  </si>
  <si>
    <t>1253-1248-1249-1206-1255-1267</t>
  </si>
  <si>
    <t>ΑΒ424124</t>
  </si>
  <si>
    <t>918,5</t>
  </si>
  <si>
    <t>1477,5</t>
  </si>
  <si>
    <t>1219-1203-1267-1201-1252-1248-1255</t>
  </si>
  <si>
    <t>ΜΠΟΓΙΑΤΖΗΣ</t>
  </si>
  <si>
    <t>ΑΙ037648</t>
  </si>
  <si>
    <t>1476,4</t>
  </si>
  <si>
    <t>1247-1217-1248-1250-1254-1201-1267-1219-1205-1221-1255-1202-1249-1251-1206-1253-1256</t>
  </si>
  <si>
    <t>ΤΣΙΜΕΡΑΚΗ</t>
  </si>
  <si>
    <t>ΒΑΡΒΑΡΑ</t>
  </si>
  <si>
    <t>ΑΒ098336</t>
  </si>
  <si>
    <t>718,3</t>
  </si>
  <si>
    <t>1476,3</t>
  </si>
  <si>
    <t>1223-1203-1204-1206-1256-1201-1202-1217-1250-1218-1219-1255-1247-1249-1252-1254-1253-1221-1222-1220-1251</t>
  </si>
  <si>
    <t>ΜΕΝΤΖΕΛΙΔΗ</t>
  </si>
  <si>
    <t>ΜΑΡΙΑ ΑΓΓΕΛΙΚΗ</t>
  </si>
  <si>
    <t>Τ081475</t>
  </si>
  <si>
    <t>ΖΟΛΩΤΑ</t>
  </si>
  <si>
    <t>ΩΡΑΙΑ</t>
  </si>
  <si>
    <t>ΑΕ819302</t>
  </si>
  <si>
    <t>1249-1253-1248-1206-1254-1247-1250-1255</t>
  </si>
  <si>
    <t>ΠΑΣΧΑΛΙΔΟΥ</t>
  </si>
  <si>
    <t>ΜΑΛΑΜΑΣ</t>
  </si>
  <si>
    <t>Φ155385</t>
  </si>
  <si>
    <t>827,2</t>
  </si>
  <si>
    <t>1475,2</t>
  </si>
  <si>
    <t>1247-1253-1256-1255-1206-1249-1205-1202-1250-1254</t>
  </si>
  <si>
    <t>ΚΟΥΤΡΟΥΜΠΗ</t>
  </si>
  <si>
    <t>ΕΥΣΤΡΑΤΙΑ</t>
  </si>
  <si>
    <t>ΑΝ434477</t>
  </si>
  <si>
    <t>617,1</t>
  </si>
  <si>
    <t>1475,1</t>
  </si>
  <si>
    <t>1221-1248-1255-1247-1250-1249-1202-1205</t>
  </si>
  <si>
    <t>ΤΣΑΝΤΑ</t>
  </si>
  <si>
    <t>ΧΑΡΑΛΑΜΠΙΑ</t>
  </si>
  <si>
    <t>ΑΑ260910</t>
  </si>
  <si>
    <t>1202-1203-1204-1205-1206-1217-1218-1219-1220-1221-1222-1223-1247-1248-1249-1250-1251-1252-1253-1254-1255-1256-1267</t>
  </si>
  <si>
    <t>ΜΠΟΥΛΑΚΑΣ</t>
  </si>
  <si>
    <t>ΜΑΤΘΑΙΟΣ</t>
  </si>
  <si>
    <t>Χ228016</t>
  </si>
  <si>
    <t>1267-1248-1253-1206-1249-1255-1247-1256-1254-1250</t>
  </si>
  <si>
    <t>ΑΓΙΑΝΝΙΤΗΣ</t>
  </si>
  <si>
    <t>ΑΗ484879</t>
  </si>
  <si>
    <t>645,7</t>
  </si>
  <si>
    <t>1473,7</t>
  </si>
  <si>
    <t>1247-1254-1250-1218-1253-1249-1248-1267-1206-1255</t>
  </si>
  <si>
    <t>ΣΙΟΥΛΗ</t>
  </si>
  <si>
    <t>ΧΡΗΣΤΟΥ</t>
  </si>
  <si>
    <t>ΑΗ742861</t>
  </si>
  <si>
    <t>1473,4</t>
  </si>
  <si>
    <t>1201-1249-1253-1203-1248-1267-1250-1222-1254-1206-1204-1205-1255-1256-1223-1221</t>
  </si>
  <si>
    <t>ΧΑΡΤΖΟΥΛΑΚΗ</t>
  </si>
  <si>
    <t>ΑΕ974643</t>
  </si>
  <si>
    <t>805,2</t>
  </si>
  <si>
    <t>1473,2</t>
  </si>
  <si>
    <t>ΤΣΑΒΟΥ</t>
  </si>
  <si>
    <t>ΣΠΥΡΟΣ</t>
  </si>
  <si>
    <t>ΑΙ278749</t>
  </si>
  <si>
    <t>1473,1</t>
  </si>
  <si>
    <t>1250-1217-1247-1218-1254-1267-1248-1219-1206-1249-1256-1253-1202-1205-1255-1251</t>
  </si>
  <si>
    <t>ΖΑΡΑΦΙΔΟΥ</t>
  </si>
  <si>
    <t>ΣΟΥΛΤΑΝΑ</t>
  </si>
  <si>
    <t>ΑΕ376366</t>
  </si>
  <si>
    <t>1248-1267-1206-1253-1249-1201-1202-1255-1205-1247-1254-1250</t>
  </si>
  <si>
    <t>ΕΥΘΥΜΙΑΔΟΥ</t>
  </si>
  <si>
    <t>ΑΜ794980</t>
  </si>
  <si>
    <t>1472,5</t>
  </si>
  <si>
    <t>1249-1219-1267-1248-1253-1201-1217-1206-1250-1254-1247-1202-1255-1205</t>
  </si>
  <si>
    <t>ΔΑΣΚΑΛΟΥ</t>
  </si>
  <si>
    <t>ΑΑ339457</t>
  </si>
  <si>
    <t>1471,1</t>
  </si>
  <si>
    <t>1206-1222-1248-1267-1256-1253-1249-1254-1247-1250-1255</t>
  </si>
  <si>
    <t>ΜΗΤΑΛΑ</t>
  </si>
  <si>
    <t>ΑΖ496690</t>
  </si>
  <si>
    <t>734,8</t>
  </si>
  <si>
    <t>1468,8</t>
  </si>
  <si>
    <t>1203-1204-1223-1221-1222-1201-1202-1205-1254-1255-1250-1247-1248-1253-1249-1206-1267-1256</t>
  </si>
  <si>
    <t>ΑΜ381180</t>
  </si>
  <si>
    <t>1247-1248-1249-1250-1253-1254-1255</t>
  </si>
  <si>
    <t>ΝΩΤΑ</t>
  </si>
  <si>
    <t>ΑΓΓΕΛΟΣ</t>
  </si>
  <si>
    <t>ΑΑ238025</t>
  </si>
  <si>
    <t>1219-1248-1249-1267-1256-1255-1204-1205-1203-1202-1221-1220-1222-1223-1252-1253-1254</t>
  </si>
  <si>
    <t>ΒΑΣΙΛΕΙΑΔΗΣ</t>
  </si>
  <si>
    <t>ΑΖ767428</t>
  </si>
  <si>
    <t>1252-1253-1206-1256-1255-1248-1247-1218-1220-1250-1249</t>
  </si>
  <si>
    <t>ΤΣΕΛΑ</t>
  </si>
  <si>
    <t>ΑΚ950006</t>
  </si>
  <si>
    <t>646,8</t>
  </si>
  <si>
    <t>1464,8</t>
  </si>
  <si>
    <t>1250-1247-1255-1253-1254-1256-1249-1248-1206-1202-1201</t>
  </si>
  <si>
    <t>ΚΩΣΤΟΥΛΑ</t>
  </si>
  <si>
    <t>Σ591169</t>
  </si>
  <si>
    <t>1464,1</t>
  </si>
  <si>
    <t>1247-1250-1249-1255</t>
  </si>
  <si>
    <t>ΠΕΤΡΑΚΗ</t>
  </si>
  <si>
    <t>ΑΡΓΥΡΩ</t>
  </si>
  <si>
    <t>ΑΝ479594</t>
  </si>
  <si>
    <t>ΠΑΠΑΧΑΡΑΛΑΜΠΟΥΣ</t>
  </si>
  <si>
    <t>Τ396421</t>
  </si>
  <si>
    <t>643,5</t>
  </si>
  <si>
    <t>1461,5</t>
  </si>
  <si>
    <t>1201-1202-1205-1206-1247-1248-1249-1250-1253-1254-1255</t>
  </si>
  <si>
    <t>ΦΡΑΓΚΟΥ</t>
  </si>
  <si>
    <t>ΑΒ669362</t>
  </si>
  <si>
    <t>1251-1255-1206-1201-1202-1249-1253-1205-1252-1254-1250-1247-1248-1219</t>
  </si>
  <si>
    <t xml:space="preserve">ΠΑΠΑΔΟΠΟΥΛΟΥ </t>
  </si>
  <si>
    <t xml:space="preserve">ΙΦΙΓΕΝΕΙΑ </t>
  </si>
  <si>
    <t>ΑΙ718368</t>
  </si>
  <si>
    <t>1202-1204-1205-1247-1248-1249-1250-1251-1252-1255-1256</t>
  </si>
  <si>
    <t>ΑΡΑΠΟΓΙΑΝΝΗ</t>
  </si>
  <si>
    <t>ΧΑΡΙΚΛΕΙΑ</t>
  </si>
  <si>
    <t>ΑΚ393854</t>
  </si>
  <si>
    <t>702,9</t>
  </si>
  <si>
    <t>1460,9</t>
  </si>
  <si>
    <t>1202-1203-1204-1205-1206-1217-1218-1219-1220-1221-1222-1223-1247-1248-1249-1250-1251-1252-1253-1254-1255-1256</t>
  </si>
  <si>
    <t>ΑΝΤΩΝΟΠΟΥΛΟΣ</t>
  </si>
  <si>
    <t>ΝΙΚΗΦΟΡΟΣ</t>
  </si>
  <si>
    <t>ΑΕ126986</t>
  </si>
  <si>
    <t>612,7</t>
  </si>
  <si>
    <t>1460,7</t>
  </si>
  <si>
    <t>1249-1253-1248-1206-1252-1254-1247-1218-1217-1250-1221-1255-1204-1205-1202-1256</t>
  </si>
  <si>
    <t xml:space="preserve">ΣΙΑΜΑΝΔΟΥΡΑ </t>
  </si>
  <si>
    <t xml:space="preserve">ΒΑΣΙΛΗΣ </t>
  </si>
  <si>
    <t>ΑΕ994545</t>
  </si>
  <si>
    <t>636,9</t>
  </si>
  <si>
    <t>1459,9</t>
  </si>
  <si>
    <t>1201-1202-1205-1247-1248-1249-1250-1253-1254-1255</t>
  </si>
  <si>
    <t>ΡΟΖΗ</t>
  </si>
  <si>
    <t>ΑΕ254450</t>
  </si>
  <si>
    <t>1459,7</t>
  </si>
  <si>
    <t>1217-1250-1201-1247-1205-1255-1202-1254-1219-1248-1267-1249-1253-1206-1251-1256</t>
  </si>
  <si>
    <t>ΣΦΑΚΙΑΝΑΚΗ</t>
  </si>
  <si>
    <t>Σ867893</t>
  </si>
  <si>
    <t>750,2</t>
  </si>
  <si>
    <t>1459,2</t>
  </si>
  <si>
    <t>1202-1221-1255-1205-1201-1206-1222-1247-1248-1249-1250-1253-1254-1256-1267</t>
  </si>
  <si>
    <t>ΚΟΚΟΛΗ</t>
  </si>
  <si>
    <t>ΠΑΝΑΓΙΟΥΛΑ</t>
  </si>
  <si>
    <t>ΑΕ269708</t>
  </si>
  <si>
    <t>1459,1</t>
  </si>
  <si>
    <t>1217-1250-1247-1201-1206-1249-1248-1219-1253-1254-1255-1205-1202-1221</t>
  </si>
  <si>
    <t>ΒΕΡΙΒΑΚΗ</t>
  </si>
  <si>
    <t>ΑΖ977305</t>
  </si>
  <si>
    <t>ΣΚΑΛΑΙΟΥ</t>
  </si>
  <si>
    <t>Χ938132</t>
  </si>
  <si>
    <t>1201-1202-1205-1206-1247-1248-1249-1250-1253-1254-1255-1267</t>
  </si>
  <si>
    <t>ΚΑΡΑΜΑΝΔΑΝΗ</t>
  </si>
  <si>
    <t>ΟΛΓΑ</t>
  </si>
  <si>
    <t>Χ844338</t>
  </si>
  <si>
    <t>839,3</t>
  </si>
  <si>
    <t>1457,3</t>
  </si>
  <si>
    <t>1253-1248-1249-1256-1206-1201-1247-1254-1250-1255-1202</t>
  </si>
  <si>
    <t>ΜΟΛΗ</t>
  </si>
  <si>
    <t>Χ451916</t>
  </si>
  <si>
    <t>823,9</t>
  </si>
  <si>
    <t>1456,9</t>
  </si>
  <si>
    <t>1256-1249-1219-1248-1247-1267-1206-1201-1253-1254-1250-1217-1202-1255-1205</t>
  </si>
  <si>
    <t>ΚΟΚΚΙΝΗΣ</t>
  </si>
  <si>
    <t>ΠΑΣΧΑΛΗΣ</t>
  </si>
  <si>
    <t>ΑΚ548272</t>
  </si>
  <si>
    <t>838,2</t>
  </si>
  <si>
    <t>1456,2</t>
  </si>
  <si>
    <t>1250-1247-1255-1254-1206-1201-1253-1202-1205-1256-1267-1248-1249</t>
  </si>
  <si>
    <t>ΚΟΥΤΣΟΥΜΠΑ</t>
  </si>
  <si>
    <t>Σ982313</t>
  </si>
  <si>
    <t>797,5</t>
  </si>
  <si>
    <t>1455,5</t>
  </si>
  <si>
    <t>1254-1253-1255-1256-1251-1250-1248-1247-1206-1201-1202-1205</t>
  </si>
  <si>
    <t>ΤΣΑΚΙΡΟΓΛΟΥ</t>
  </si>
  <si>
    <t>ΜΑΝΩΛΗΣ</t>
  </si>
  <si>
    <t>ΑΖ958581</t>
  </si>
  <si>
    <t>ΓΟΥΣΙΟΥ</t>
  </si>
  <si>
    <t>ΑΙ342450</t>
  </si>
  <si>
    <t>1256-1253-1267-1206-1255-1202-1247</t>
  </si>
  <si>
    <t>ΜΕΤΑΛΛΗΝΟΥ</t>
  </si>
  <si>
    <t>ΙΩΣΗΦ</t>
  </si>
  <si>
    <t>ΑΒ280302</t>
  </si>
  <si>
    <t>1452,3</t>
  </si>
  <si>
    <t>ΖΗΡΑ</t>
  </si>
  <si>
    <t>ΑΕ265726</t>
  </si>
  <si>
    <t>1219-1248-1250-1217-1206-1256-1247-1249-1253-1254-1255-1202</t>
  </si>
  <si>
    <t>ΧΑΛΚΙΑΔΑΚΗΣ</t>
  </si>
  <si>
    <t>ΑΒ968545</t>
  </si>
  <si>
    <t>ΧΑΛΚΙΑΔΑΚΗ</t>
  </si>
  <si>
    <t>Τ514446</t>
  </si>
  <si>
    <t>1204-1221-1255-1205-1202-1203-1223-1250-1267-1248-1247-1249-1256-1254-1253-1206</t>
  </si>
  <si>
    <t>ΛΟΥΤΣΟΥ</t>
  </si>
  <si>
    <t>ΑΕ757567</t>
  </si>
  <si>
    <t>1219-1248-1247-1249-1253-1254-1255-1217-1201-1202-1203-1204-1205-1206-1221-1250-1218-1222-1223-1251-1256</t>
  </si>
  <si>
    <t>ΤΣΟΥΚΑΛΑ</t>
  </si>
  <si>
    <t>ΑΙ718945</t>
  </si>
  <si>
    <t>762,3</t>
  </si>
  <si>
    <t>1450,3</t>
  </si>
  <si>
    <t>1248-1219-1267-1253-1206-1201-1249-1254-1205-1255-1202-1251-1247-1250-1217</t>
  </si>
  <si>
    <t>ΛΑΔΟΠΟΥΛΟΥ</t>
  </si>
  <si>
    <t>ΑΑ381479</t>
  </si>
  <si>
    <t>1219-1255-1205-1253</t>
  </si>
  <si>
    <t>ΓΑΒΡΑ</t>
  </si>
  <si>
    <t>Π875383</t>
  </si>
  <si>
    <t>1217-1250-1247-1254-1253-1201-1249-1206-1219-1267-1248-1255-1205-1202-1256-1251</t>
  </si>
  <si>
    <t>ΠΑΠΑΔΟΣΗΦΑΚΗ</t>
  </si>
  <si>
    <t>ΑΑ463216</t>
  </si>
  <si>
    <t>1205-1255-1202</t>
  </si>
  <si>
    <t>ΤΣΕΑ</t>
  </si>
  <si>
    <t>ΑΒ888451</t>
  </si>
  <si>
    <t>1253-1219-1249-1248-1206-1202-1247-1250-1254-1255-1204-1205-1217-1221-1201-1256</t>
  </si>
  <si>
    <t>ΑΙ329952</t>
  </si>
  <si>
    <t>1449,2</t>
  </si>
  <si>
    <t>1201-1202-1203-1204-1205-1206-1217-1218-1219-1220-1221-1222-1223-1247-1248-1249-1250-1251-1252-1253-1254-1255-1256</t>
  </si>
  <si>
    <t>ΑΛΕΞΙΑΔΗ</t>
  </si>
  <si>
    <t>ΑΙ698714</t>
  </si>
  <si>
    <t>740,3</t>
  </si>
  <si>
    <t>1448,3</t>
  </si>
  <si>
    <t>1217-1250-1247-1248-1249-1202-1204-1205-1206-1218-1219-1220-1221-1222-1223-1251-1252-1253-1254-1255-1256</t>
  </si>
  <si>
    <t>ΝΙΚΟΛΙΤΣΑ</t>
  </si>
  <si>
    <t>ΑΙ137600</t>
  </si>
  <si>
    <t>1447,4</t>
  </si>
  <si>
    <t>1250-1253-1249-1254-1206-1205-1255-1202-1201-1222</t>
  </si>
  <si>
    <t>ΒΡΕΤΟΥΔΑΚΗΣ</t>
  </si>
  <si>
    <t>Ν116896</t>
  </si>
  <si>
    <t>618,2</t>
  </si>
  <si>
    <t>1446,2</t>
  </si>
  <si>
    <t>ΤΣΑΚΩΝΑΣ</t>
  </si>
  <si>
    <t>Λ689852</t>
  </si>
  <si>
    <t>1444,8</t>
  </si>
  <si>
    <t>1247-1250-1254-1218-1206-1248-1267-1249-1252-1253-1255</t>
  </si>
  <si>
    <t>ΚΑΛΟΥΣΗ</t>
  </si>
  <si>
    <t>ΣΤΑΜΑΤΙΑ</t>
  </si>
  <si>
    <t>ΑΖ381830</t>
  </si>
  <si>
    <t>1206-1248-1219-1253-1249-1201-1205-1254-1247-1250-1202-1255</t>
  </si>
  <si>
    <t>ΣΑΠΑΛΙΔΟΥ</t>
  </si>
  <si>
    <t>ΑΙ323035</t>
  </si>
  <si>
    <t>1441,5</t>
  </si>
  <si>
    <t>1248-1267-1206-1249-1253-1256-1201-1254-1247-1250-1221-1255-1203-1218</t>
  </si>
  <si>
    <t>ΧΕΙΛΑΔΑΚΗ</t>
  </si>
  <si>
    <t>ΑΜ975784</t>
  </si>
  <si>
    <t>753,5</t>
  </si>
  <si>
    <t>1255-1205</t>
  </si>
  <si>
    <t>ΟΙΚΟΝΟΜΙΔΟΥ</t>
  </si>
  <si>
    <t>ΑΝΑΣΤΑΣΙΑ ΕΙΡΗΝΗ</t>
  </si>
  <si>
    <t>ΑΕ345959</t>
  </si>
  <si>
    <t>822,8</t>
  </si>
  <si>
    <t>1440,8</t>
  </si>
  <si>
    <t>1248-1267-1253-1249-1256-1206-1203-1252-1254-1247-1223-1250-1218-1255-1204-1205-1202-1221-1219-1217-1251</t>
  </si>
  <si>
    <t>ΒΑΣΙΛΕΙΟΥ</t>
  </si>
  <si>
    <t>Χ781546</t>
  </si>
  <si>
    <t>1250-1254-1247-1201-1248-1249-1253-1206-1221-1202-1205-1255-1222-1256-1203-1252-1223-1204</t>
  </si>
  <si>
    <t>ΑΗ 883826</t>
  </si>
  <si>
    <t>1437,4</t>
  </si>
  <si>
    <t>1206-1201-1205-1202-1247-1255-1253</t>
  </si>
  <si>
    <t>ΧΕΛΙΟΥΔΑΚΗ</t>
  </si>
  <si>
    <t>ΑΚ485688</t>
  </si>
  <si>
    <t>1437,3</t>
  </si>
  <si>
    <t>1205-1255-1202-1248-1267-1206-1247-1249-1250-1253-1254</t>
  </si>
  <si>
    <t>ΚΙΟΥΡΤΣΗ</t>
  </si>
  <si>
    <t>Τ354426</t>
  </si>
  <si>
    <t>1436,4</t>
  </si>
  <si>
    <t>1203-1201-1252-1254-1256-1253-1223-1247-1248-1219-1249-1222-1206-1220-1204-1205-1255-1221-1202-1218-1217-1250-1251</t>
  </si>
  <si>
    <t>ΠΑΠΑΓΕΩΡΓΙΟΥ</t>
  </si>
  <si>
    <t>ΑΗ295649</t>
  </si>
  <si>
    <t>1249-1253-1267-1248-1206-1202-1255</t>
  </si>
  <si>
    <t>ΚΑΤΣΑΝΕΒΑΚΗ</t>
  </si>
  <si>
    <t>ΑΕ599678</t>
  </si>
  <si>
    <t>1217-1250-1254-1247-1205-1255-1204-1202-1203-1219-1248-1267-1221-1218-1201-1222-1206-1249-1253-1256-1251-1223</t>
  </si>
  <si>
    <t>ΑΔΑΜΑΚΗΣ</t>
  </si>
  <si>
    <t>ΑΜ951342</t>
  </si>
  <si>
    <t>717,2</t>
  </si>
  <si>
    <t>1435,2</t>
  </si>
  <si>
    <t>ΜΠΑΧΤΣΕΣ</t>
  </si>
  <si>
    <t>ΑΙ869252</t>
  </si>
  <si>
    <t>1434,2</t>
  </si>
  <si>
    <t>1249-1253-1206-1201-1254-1267-1248-1247-1250-1205-1202-1221-1255</t>
  </si>
  <si>
    <t>ΚΟΥΡΜΟΥΛΗΣ</t>
  </si>
  <si>
    <t>ΑΙ961427</t>
  </si>
  <si>
    <t>1433,5</t>
  </si>
  <si>
    <t>1221-1204-1205-1255-1202</t>
  </si>
  <si>
    <t>ΤΑΣΣΟΥ</t>
  </si>
  <si>
    <t>ΑΒ079847</t>
  </si>
  <si>
    <t>700,7</t>
  </si>
  <si>
    <t>1432,7</t>
  </si>
  <si>
    <t>1202-1206-1249-1250-1253-1254-1255-1248-1247-1251</t>
  </si>
  <si>
    <t>ΘΕΟΔΩΡΙΔΟΥ</t>
  </si>
  <si>
    <t>ΑΖ385259</t>
  </si>
  <si>
    <t>1206-1222-1248-1219-1252-1253-1254-1256-1247-1220-1249-1250-1218-1223-1251-1204-1205-1255-1221</t>
  </si>
  <si>
    <t>ΧΑΤΖΗΔΑΚΗ</t>
  </si>
  <si>
    <t>ΑΡΙΣΤΟΤΕΛΗΣ</t>
  </si>
  <si>
    <t>ΑΙ371790</t>
  </si>
  <si>
    <t>1248-1267-1206-1253-1201-1249-1250-1254-1247-1202-1255-1205</t>
  </si>
  <si>
    <t>ΚΑΡΑΜΠΟΥΛΑ</t>
  </si>
  <si>
    <t>Τ392763</t>
  </si>
  <si>
    <t>1203-1267-1204-1205-1206-1220-1222-1247-1248-1249-1250-1251-1252-1253-1254-1255-1256</t>
  </si>
  <si>
    <t>ΚΑΡΑΓΙΑΝΝΙΔΗ</t>
  </si>
  <si>
    <t>ΑΗ238727</t>
  </si>
  <si>
    <t>873,4</t>
  </si>
  <si>
    <t>1431,4</t>
  </si>
  <si>
    <t>1219-1217-1248-1267-1202-1250-1253-1255-1205-1206-1247-1249-1201-1254</t>
  </si>
  <si>
    <t>ΚΑΣΙΜΗΣ</t>
  </si>
  <si>
    <t>ΑΚ113438</t>
  </si>
  <si>
    <t>724,9</t>
  </si>
  <si>
    <t>1430,9</t>
  </si>
  <si>
    <t>1250-1247-1267-1248-1205-1255-1201-1206-1202-1253-1254-1249-1256</t>
  </si>
  <si>
    <t>ΑΝΔΡΕΟΥ</t>
  </si>
  <si>
    <t>Σ137347</t>
  </si>
  <si>
    <t>811,8</t>
  </si>
  <si>
    <t>1429,8</t>
  </si>
  <si>
    <t>1247-1250-1202-1255-1205</t>
  </si>
  <si>
    <t>ΚΑΡΑΓΙΑΝΝΗ</t>
  </si>
  <si>
    <t>Φ339323</t>
  </si>
  <si>
    <t>1429,3</t>
  </si>
  <si>
    <t>1254-1219-1248-1201-1247-1206-1250-1253-1205-1255-1202-1249</t>
  </si>
  <si>
    <t>ΚΩΝΣΤΑΝΤΙΝΙΔΟΥ</t>
  </si>
  <si>
    <t>ΑΖ415049</t>
  </si>
  <si>
    <t>810,7</t>
  </si>
  <si>
    <t>1428,7</t>
  </si>
  <si>
    <t>1206-1248-1247-1267-1253-1201-1249-1202-1255-1254-1250-1256-1207-1219-1220-1252-1251-1203-1222-1221-1204-1223-1217-1218</t>
  </si>
  <si>
    <t>ΠΑΠΠΑΣ</t>
  </si>
  <si>
    <t>ΕΥΡΙΠΙΔΗΣ</t>
  </si>
  <si>
    <t>ΑΖ072913</t>
  </si>
  <si>
    <t>1427,7</t>
  </si>
  <si>
    <t>1250-1247-1248-1254-1255-1202</t>
  </si>
  <si>
    <t>ΜΑΓΔΑΛΗΝΟΥ</t>
  </si>
  <si>
    <t>Π997443</t>
  </si>
  <si>
    <t>ΤΖΙΟΜΑΚΗ</t>
  </si>
  <si>
    <t>ΑΖ209640</t>
  </si>
  <si>
    <t>1426,9</t>
  </si>
  <si>
    <t>1217-1250-1254-1247-1253-1249-1219-1248-1202-1206-1205-1221-1255</t>
  </si>
  <si>
    <t>ΣΕΠΕΤΗ</t>
  </si>
  <si>
    <t>ΑΚ205338</t>
  </si>
  <si>
    <t>812,9</t>
  </si>
  <si>
    <t>1425,9</t>
  </si>
  <si>
    <t>1247-1248-1219-1254-1201-1206-1253-1250-1217-1218-1249-1204-1205-1255-1202</t>
  </si>
  <si>
    <t>ΚΑΛΑΤΖΑΚΗ</t>
  </si>
  <si>
    <t>Χ497952</t>
  </si>
  <si>
    <t>ΚΑΝΑΚΑΡΙΔΟΥ</t>
  </si>
  <si>
    <t>ΑΚ912125</t>
  </si>
  <si>
    <t>1248-1219-1253-1256-1206-1249-1247-1250-1254-1255-1201-1202-1217-1205-1251-1220-1222-1252-1223-1221-1204-1218</t>
  </si>
  <si>
    <t>ΒΟΖΙΝΙΔΟΥ</t>
  </si>
  <si>
    <t>ΧΑΡΟΥΛΑ</t>
  </si>
  <si>
    <t>Φ497420</t>
  </si>
  <si>
    <t>1423,2</t>
  </si>
  <si>
    <t>1219-1248-1267-1249-1253-1256-1252-1203-1201-1206-1220-1222-1218-1254-1217-1250-1247-1223-1204-1205-1255-1202-1221-1251</t>
  </si>
  <si>
    <t>ΝΕΣΤΟΡΑ</t>
  </si>
  <si>
    <t>Φ277850</t>
  </si>
  <si>
    <t>1249-1253-1201-1202-1205-1206-1248-1247-1250-1254-1255-1267</t>
  </si>
  <si>
    <t>ΤΣΟΥΡΟΥ</t>
  </si>
  <si>
    <t>ΦΑΝΟΥΡΙΟΣ</t>
  </si>
  <si>
    <t>ΑΖ933773</t>
  </si>
  <si>
    <t>1248-1267-1250-1201-1206-1249-1253-1254-1202-1205-1255-1247-1256</t>
  </si>
  <si>
    <t>ΠΑΠΑΕΜΜΑΝΟΥΗΛ</t>
  </si>
  <si>
    <t>ΟΛΥΜΠΙΑ</t>
  </si>
  <si>
    <t>Ρ822522</t>
  </si>
  <si>
    <t>1256-1253-1248-1267-1249-1201-1206-1254-1247-1202-1255-1250</t>
  </si>
  <si>
    <t>ΧΑΤΖΗΚΩΝΣΤΑΝΤΙΝΟΥ</t>
  </si>
  <si>
    <t>ΝΙΚΟΛΕΤΤΑ</t>
  </si>
  <si>
    <t>ΑΖ778632</t>
  </si>
  <si>
    <t>1203-1223-1201-1252-1247-1256-1248-1267-1254-1253-1220-1222-1218-1206-1250-1249-1202-1204-1205-1221-1255-1219-1217-1251</t>
  </si>
  <si>
    <t>Τ000795</t>
  </si>
  <si>
    <t>1420,1</t>
  </si>
  <si>
    <t>1247-1250-1217-1254-1219-1267-1253-1255-1205-1202-1252-1201-1248-1206-1249</t>
  </si>
  <si>
    <t>ΙΟΡΔΑΝΑ</t>
  </si>
  <si>
    <t>Χ951184</t>
  </si>
  <si>
    <t>863,5</t>
  </si>
  <si>
    <t>1419,5</t>
  </si>
  <si>
    <t>1253-1256-1219-1248-1206-1249-1201-1254-1250-1217-1247-1255-1205-1202-1267</t>
  </si>
  <si>
    <t>ΔΕΛΗΜΑΝΗ</t>
  </si>
  <si>
    <t>ΑΚ469469</t>
  </si>
  <si>
    <t>1202-1255-1205-1250-1247-1206</t>
  </si>
  <si>
    <t>ΓΕΡΜΑΝΟΥ</t>
  </si>
  <si>
    <t>ΚΑΡΙΝΑ</t>
  </si>
  <si>
    <t>ΒΑΛΕΡΙΟΣ</t>
  </si>
  <si>
    <t>Χ960939</t>
  </si>
  <si>
    <t>1418,7</t>
  </si>
  <si>
    <t>1201-1202-1203-1205-1206-1217-1218-1219-1221-1247-1248-1249-1250-1253-1254-1255-1267</t>
  </si>
  <si>
    <t>ΣΥΜΕΩΝΙΔΟΥ</t>
  </si>
  <si>
    <t>ΑΗ826471</t>
  </si>
  <si>
    <t>730,4</t>
  </si>
  <si>
    <t>1418,4</t>
  </si>
  <si>
    <t>1206-1218-1248-1249-1250-1252-1253-1254-1255-1267</t>
  </si>
  <si>
    <t>ΖΙΩΒΑ</t>
  </si>
  <si>
    <t>ΕΥΘΑΛΙΑ</t>
  </si>
  <si>
    <t>ΑΖ745408</t>
  </si>
  <si>
    <t>1250-1217-1247-1253-1254-1249-1219-1248-1201-1206-1205-1255-1202</t>
  </si>
  <si>
    <t>ΜΠΟΥΣΜΠΟΥ</t>
  </si>
  <si>
    <t>ΔΟΜΝΑ</t>
  </si>
  <si>
    <t>ΑΙ196014</t>
  </si>
  <si>
    <t>1219-1248-1206-1253-1249-1201-1247-1217-1250-1254-1202-1221-1205-1255</t>
  </si>
  <si>
    <t>ΓΑΛΑΝΑΚΗ</t>
  </si>
  <si>
    <t>Ρ904649</t>
  </si>
  <si>
    <t>1202-1221-1204-1205-1255-1217-1250-1254-1247-1253-1219-1248-1249-1218-1203-1201-1206</t>
  </si>
  <si>
    <t>ΚΑΤΣΑΝΤΩΝΗ</t>
  </si>
  <si>
    <t>ΧΡΥΣΟΥΛΑ</t>
  </si>
  <si>
    <t>ΑΖ478456</t>
  </si>
  <si>
    <t>1254-1253-1255-1250-1249-1202-1205-1206-1201</t>
  </si>
  <si>
    <t>ΝΤΙΝΑ</t>
  </si>
  <si>
    <t>ΑΕ886430</t>
  </si>
  <si>
    <t>1249-1206-1267-1201-1202-1205-1250-1253-1254-1255-1256-1203-1204-1217-1218-1219-1220-1221-1222-1223-1247-1248-1252-1251</t>
  </si>
  <si>
    <t>ΠΛΟΚΑΜΑΚΗ</t>
  </si>
  <si>
    <t>ΑΗ972624</t>
  </si>
  <si>
    <t>1255-1221-1205-1204-1202-1217-1219-1248-1247-1250-1252-1253-1254</t>
  </si>
  <si>
    <t>ΜΠΟΓΙΑΤΖΗ</t>
  </si>
  <si>
    <t>ΑΝΝΟΥΛΑ</t>
  </si>
  <si>
    <t>ΑΕ925875</t>
  </si>
  <si>
    <t>1206-1253-1249-1267-1248-1201-1254-1247-1205-1255-1202-1250</t>
  </si>
  <si>
    <t>ΚΩΤΣΟΥΛΑ</t>
  </si>
  <si>
    <t>ΑΖ983817</t>
  </si>
  <si>
    <t>1414,4</t>
  </si>
  <si>
    <t>1247-1254-1250-1255-1205-1248-1249-1253-1202-1206-1256</t>
  </si>
  <si>
    <t>ΧΑΙΡΕΤΗ</t>
  </si>
  <si>
    <t>ΑΕ157694</t>
  </si>
  <si>
    <t>1412,5</t>
  </si>
  <si>
    <t>1202-1255-1205-1219-1248-1267-1217-1250-1247-1253-1254-1206-1201-1249-1256-1251</t>
  </si>
  <si>
    <t>ΚΑΡΛΗ</t>
  </si>
  <si>
    <t>ΑΒ077222</t>
  </si>
  <si>
    <t>1412,3</t>
  </si>
  <si>
    <t>1247-1254-1267-1219-1248-1203-1252-1201-1217-1250-1218-1205-1255-1221-1202-1206-1253-1249</t>
  </si>
  <si>
    <t>ΠΕΤΡΑΣ</t>
  </si>
  <si>
    <t>ΙΟΡΔΑΝΗΣ</t>
  </si>
  <si>
    <t>ΓΕΡΑΣΙΜΟΣ</t>
  </si>
  <si>
    <t>Ξ833309</t>
  </si>
  <si>
    <t>1253-1256-1267-1248-1249-1206-1201-1247-1254-1250-1202-1255-1205</t>
  </si>
  <si>
    <t>ΠΕΡΕΝΤΕ</t>
  </si>
  <si>
    <t>Ξ980474</t>
  </si>
  <si>
    <t>1217-1250-1247-1218-1254-1221-1219-1267-1248-1201-1203-1253-1249-1204-1205-1255-1202-1206</t>
  </si>
  <si>
    <t>ΚΡΗΤΙΚΟΣ</t>
  </si>
  <si>
    <t>ΑΒ957518</t>
  </si>
  <si>
    <t>1410,8</t>
  </si>
  <si>
    <t>1202-1221-1205-1254-1250-1247-1201-1206-1255-1253-1249-1267-1248</t>
  </si>
  <si>
    <t>ΣΕΛΙΜΑ</t>
  </si>
  <si>
    <t>Ρ775333</t>
  </si>
  <si>
    <t>1218-1250-1217-1254-1247-1248-1267-1201-1203-1206-1253-1249-1256-1255-1202</t>
  </si>
  <si>
    <t>ΔΗΜΟΠΟΥΛΟΥ</t>
  </si>
  <si>
    <t>Ρ889722</t>
  </si>
  <si>
    <t>1201-1253-1254-1249-1219-1267-1248-1206-1247-1250-1217-1205-1255-1202-1221-1256</t>
  </si>
  <si>
    <t>ΜΑΡΑΚΑΚΗ</t>
  </si>
  <si>
    <t>ΔΩΡΟΘΕΟΣ</t>
  </si>
  <si>
    <t>Σ497938</t>
  </si>
  <si>
    <t>1407,4</t>
  </si>
  <si>
    <t>1255-1204-1205</t>
  </si>
  <si>
    <t>ΑΝΑΓΝΩΣΤΟΥ</t>
  </si>
  <si>
    <t>ΑΗ668038</t>
  </si>
  <si>
    <t>1201-1255-1205-1202-1206-1254-1249-1219-1248-1267-1253-1250-1247-1217</t>
  </si>
  <si>
    <t>ΒΑΣΙΛΑΝΤΩΝΑΚΗ</t>
  </si>
  <si>
    <t>ΑΙ467992</t>
  </si>
  <si>
    <t>749,1</t>
  </si>
  <si>
    <t>1407,1</t>
  </si>
  <si>
    <t>ΣΑΡΑΤΣΗ</t>
  </si>
  <si>
    <t>ΑΝ333418</t>
  </si>
  <si>
    <t>1201-1247-1249-1253-1254-1206-1250-1255-1202-1205-1248</t>
  </si>
  <si>
    <t>ΓΕΩΡΓΟΥΛΑ</t>
  </si>
  <si>
    <t>ΑΝΝΕΤΑ</t>
  </si>
  <si>
    <t>ΛΑΖΑΡΟΣ</t>
  </si>
  <si>
    <t>ΑΙ158205</t>
  </si>
  <si>
    <t>1267-1248-1206-1203-1218-1253-1247-1205-1202-1255-1204-1221</t>
  </si>
  <si>
    <t>ΒΑΛΑΒΑΝΗ</t>
  </si>
  <si>
    <t>ΑΚ968497</t>
  </si>
  <si>
    <t>1252-1203-1201-1219-1267-1254-1253-1249-1220-1256-1248-1222-1223-1206-1204-1205-1255-1202-1221-1247-1218-1217-1250-1251</t>
  </si>
  <si>
    <t>ΦΛΟΥΔΟΠΟΥΛΟΥ</t>
  </si>
  <si>
    <t>ΜΑΡΙΑ ΠΑΝΑΓΙΩΤΑ</t>
  </si>
  <si>
    <t>ΑΖ592461</t>
  </si>
  <si>
    <t>697,4</t>
  </si>
  <si>
    <t>1405,4</t>
  </si>
  <si>
    <t>1218-1217-1247-1250-1203-1254-1249-1253-1219-1248-1206-1256-1202-1221-1204-1205-1255</t>
  </si>
  <si>
    <t>ΓΙΟΛΑΝΤΑ</t>
  </si>
  <si>
    <t>ΑΙ331262</t>
  </si>
  <si>
    <t>786,5</t>
  </si>
  <si>
    <t>1404,5</t>
  </si>
  <si>
    <t>1249-1219-1248-1267-1201-1253-1206-1222-1203-1217-1250-1254-1218-1247-1204-1205-1255-1202-1221-1223-1251</t>
  </si>
  <si>
    <t>ΣΑΚΚΕΤΟΥ</t>
  </si>
  <si>
    <t>Π273339</t>
  </si>
  <si>
    <t>655,6</t>
  </si>
  <si>
    <t>1403,6</t>
  </si>
  <si>
    <t>1247-1250-1254-1248-1201-1206-1255-1202-1205-1249-1253-1256-1221</t>
  </si>
  <si>
    <t>ΦΑΣΣΑ</t>
  </si>
  <si>
    <t>ΑΓΟΡΙΤΣΑ</t>
  </si>
  <si>
    <t>ΑΜ811260</t>
  </si>
  <si>
    <t>1254-1267-1219-1248-1247-1256-1249-1206-1222-1253-1250-1218-1217-1251-1205-1255-1221-1202</t>
  </si>
  <si>
    <t>ΓΡΗΓΟΡΙΑΔΟΥ</t>
  </si>
  <si>
    <t>ΑΕ860048</t>
  </si>
  <si>
    <t>1222-1219-1267-1206-1253-1249-1248-1255-1202-1250-1217-1254</t>
  </si>
  <si>
    <t>ΖΗΣΑΚΟΥ</t>
  </si>
  <si>
    <t>ΑΕ385373</t>
  </si>
  <si>
    <t>1402,7</t>
  </si>
  <si>
    <t>1253-1248-1267-1206-1255-1205-1202-1247-1254-1249-1250-1220-1219-1221-1218-1204-1203-1217-1252-1256-1251-1222-1223</t>
  </si>
  <si>
    <t>ΓΙΑΚΟΥΜΑΚΗ</t>
  </si>
  <si>
    <t>ΑΕ473265</t>
  </si>
  <si>
    <t>1255-1219-1217-1248-1250-1252-1253-1247-1206-1205-1204-1220-1221-1256-1254-1251-1249-1202-1218-1222-1223</t>
  </si>
  <si>
    <t>ΤΟΥΛΚΕΡΙΔΟΥ</t>
  </si>
  <si>
    <t>ΑΕ670370</t>
  </si>
  <si>
    <t>1267-1248-1253-1249-1206-1254-1247-1250-1255</t>
  </si>
  <si>
    <t>ΓΝΑΦΑΚΗΣ</t>
  </si>
  <si>
    <t>ΑΑ491008</t>
  </si>
  <si>
    <t>1255-1247-1248-1249-1250-1253-1254</t>
  </si>
  <si>
    <t>ΣΑΒΒΙΔΟΥ</t>
  </si>
  <si>
    <t>Τ373816</t>
  </si>
  <si>
    <t>1400,8</t>
  </si>
  <si>
    <t>1249-1253-1267-1248-1201-1206-1254-1247-1250-1205-1255-1202</t>
  </si>
  <si>
    <t>ΠΑΤΕΛΑΡΟΣ</t>
  </si>
  <si>
    <t>Χ850011</t>
  </si>
  <si>
    <t>712,8</t>
  </si>
  <si>
    <t>1202-1221-1255-1204-1205-1219-1223</t>
  </si>
  <si>
    <t>ΚΑΛΚΑΒΟΥΡΑ</t>
  </si>
  <si>
    <t>ΑΝ275255</t>
  </si>
  <si>
    <t>1400,1</t>
  </si>
  <si>
    <t>1248-1205-1255-1202-1201-1254-1206-1247-1250-1253-1249</t>
  </si>
  <si>
    <t>ΜΕΡΖΙΩΤΗ</t>
  </si>
  <si>
    <t>ΝΙΚΗ ΣΩΤΗΡΙΑ</t>
  </si>
  <si>
    <t>Χ286643</t>
  </si>
  <si>
    <t>1399,8</t>
  </si>
  <si>
    <t>1255-1248-1206-1247-1249-1250-1253-1254</t>
  </si>
  <si>
    <t>ΦΩΤΟΥΔΗ</t>
  </si>
  <si>
    <t>ΑΝ907240</t>
  </si>
  <si>
    <t>1222-1206-1220-1248-1203-1219-1249-1252-1253-1267-1256-1202-1204-1205-1217-1218-1221-1223-1247-1250-1251-1254-1255</t>
  </si>
  <si>
    <t>ΜΙΧΑΛΟΓΙΑΝΝΑΚΗ</t>
  </si>
  <si>
    <t>ΑΕ474122</t>
  </si>
  <si>
    <t>ΡΑΠΤΟΠΟΥΛΟΥ</t>
  </si>
  <si>
    <t>ΑΖ804440</t>
  </si>
  <si>
    <t>1398,4</t>
  </si>
  <si>
    <t>1256-1267-1248-1255-1205-1202-1251-1206-1219-1247</t>
  </si>
  <si>
    <t>ΧΑΤΖΗΓΕΩΡΓΙΟΥ</t>
  </si>
  <si>
    <t>ΑΑ962442</t>
  </si>
  <si>
    <t>1201-1202-1203-1204-1205-1206-1217-1218-1219-1220-1221-1223-1222-1247-1248-1249-1250-1251-1252-1253-1254-1255-1256-1267</t>
  </si>
  <si>
    <t>ΚΟΥΓΙΑ</t>
  </si>
  <si>
    <t>ΑΡΕΤΗ</t>
  </si>
  <si>
    <t>ΑΜ852463</t>
  </si>
  <si>
    <t>954,8</t>
  </si>
  <si>
    <t>1397,8</t>
  </si>
  <si>
    <t>1249-1201-1202-1255-1253-1254-1205-1206-1250-1247-1248-1256-1221</t>
  </si>
  <si>
    <t>ΜΑΡΚΕΤΑΚΗΣ</t>
  </si>
  <si>
    <t>ΑΝ479919</t>
  </si>
  <si>
    <t>1396,5</t>
  </si>
  <si>
    <t>1255-1247-1267-1254-1250-1249-1253-1206-1248</t>
  </si>
  <si>
    <t>ΓΕΩΡΓΟΠΟΥΛΟΣ</t>
  </si>
  <si>
    <t>ΛΕΩΝΙΔΑΣ</t>
  </si>
  <si>
    <t>ΑΖ204206</t>
  </si>
  <si>
    <t>1396,1</t>
  </si>
  <si>
    <t>1217-1250-1218-1247-1254-1221-1202-1204-1205-1255-1201-1252-1203-1223-1251-1249-1253-1219-1248-1256-1206-1222-1220</t>
  </si>
  <si>
    <t>ΦΑΡΜΑΚΗΣ</t>
  </si>
  <si>
    <t>ΑΜ785138</t>
  </si>
  <si>
    <t>807,4</t>
  </si>
  <si>
    <t>1395,4</t>
  </si>
  <si>
    <t>1255-1250-1253-1206-1267-1256-1247-1254-1248-1249</t>
  </si>
  <si>
    <t>ΟΨΙΜΑΚΗ</t>
  </si>
  <si>
    <t>ΔΑΜΟΥΛΗΣ</t>
  </si>
  <si>
    <t>ΑΗ455673</t>
  </si>
  <si>
    <t>597,3</t>
  </si>
  <si>
    <t>1395,3</t>
  </si>
  <si>
    <t>1255-1202-1205-1250-1247-1254-1248-1206-1253-1256-1201-1249-1267</t>
  </si>
  <si>
    <t>ΠΑΓΩΝΑΚΗΣ</t>
  </si>
  <si>
    <t>ΑΗ401653</t>
  </si>
  <si>
    <t>1206-1219-1248-1253-1256-1249-1252-1201-1250-1254-1247-1217-1218-1202-1204-1205-1221-1255</t>
  </si>
  <si>
    <t>ΖΗΛΕΛΛΗ-ΔΕΛΗΜΗΤΡΟΥ</t>
  </si>
  <si>
    <t>ΑΖ929980</t>
  </si>
  <si>
    <t>1394,5</t>
  </si>
  <si>
    <t>1206-1253-1201-1249-1247-1250-1217-1254-1255-1202-1205-1221-1248-1219-1267-1251</t>
  </si>
  <si>
    <t>ΚΑΤΣΟΥΓΙΑΝΝΟΠΟΥΛΟΥ</t>
  </si>
  <si>
    <t>ΤΡΙΑΝΤΑΦΥΛΛΙΑ</t>
  </si>
  <si>
    <t>ΑΒ723997</t>
  </si>
  <si>
    <t>1249-1253-1256-1252-1250-1254-1255</t>
  </si>
  <si>
    <t>ΑΝΔΡΕΑΔΑΚΗΣ</t>
  </si>
  <si>
    <t>ΑΗ961300</t>
  </si>
  <si>
    <t>1393,9</t>
  </si>
  <si>
    <t>1202-1255-1205</t>
  </si>
  <si>
    <t>ΒΡΑΚΑ</t>
  </si>
  <si>
    <t>ΧΑΡΙΤΩΜΕΝΗ</t>
  </si>
  <si>
    <t>ΑΖ744794</t>
  </si>
  <si>
    <t>1392,8</t>
  </si>
  <si>
    <t>1219-1248-1206-1201-1254-1249-1250-1217-1247-1253-1255-1205-1202</t>
  </si>
  <si>
    <t>ΠΑΣΧΑΛΙΔΗΣ</t>
  </si>
  <si>
    <t>ΔΑΜΙΑΝΟΣ</t>
  </si>
  <si>
    <t>ΑΒ723654</t>
  </si>
  <si>
    <t>1253-1248-1249-1206-1247-1254-1250-1255</t>
  </si>
  <si>
    <t>ΤΣΟΛΑΚΗ</t>
  </si>
  <si>
    <t>ΕΥΣΕΒΕΙΑ</t>
  </si>
  <si>
    <t>ΑΙ734775</t>
  </si>
  <si>
    <t>1389,1</t>
  </si>
  <si>
    <t>1267-1206-1203-1249-1256-1253-1247-1201-1204-1255-1205-1221</t>
  </si>
  <si>
    <t>ΚΑΤΕΡΙΝΑΚΗ</t>
  </si>
  <si>
    <t>ΑΜ980854</t>
  </si>
  <si>
    <t>1255-1205-1221</t>
  </si>
  <si>
    <t>ΠΟΛΥΖΟΣ</t>
  </si>
  <si>
    <t>Ρ235748</t>
  </si>
  <si>
    <t>1201-1202-1206-1247-1248-1249-1250-1253-1255-1254</t>
  </si>
  <si>
    <t>ΚΩΤΣΙΟΥ</t>
  </si>
  <si>
    <t>ΑΗ803748</t>
  </si>
  <si>
    <t>1201-1202-1205-1206-1248-1249-1250-1253-1254-1255-1267</t>
  </si>
  <si>
    <t>ΤΖΗΚΑΛΙΟΥ</t>
  </si>
  <si>
    <t>ΑΙ333904</t>
  </si>
  <si>
    <t>1249-1203-1252-1253-1201-1206-1204-1267-1248-1205-1255-1247-1254-1221-1202-1218-1250</t>
  </si>
  <si>
    <t>ΔΡΑΜΗΤΙΝΟΥ</t>
  </si>
  <si>
    <t>ΑΙ965083</t>
  </si>
  <si>
    <t>1387,1</t>
  </si>
  <si>
    <t>1221-1205-1204-1202-1255-1251</t>
  </si>
  <si>
    <t>ΜΑΥΡΟΜΑΤΑΚΗ</t>
  </si>
  <si>
    <t>ΙΑΣΩΝ</t>
  </si>
  <si>
    <t>ΑΙ460929</t>
  </si>
  <si>
    <t>1386,3</t>
  </si>
  <si>
    <t>1255-1248-1267-1247-1250-1254-1249-1253</t>
  </si>
  <si>
    <t>ΠΕΤΡΑΚΗΣ</t>
  </si>
  <si>
    <t>ΑΙ445230</t>
  </si>
  <si>
    <t>1386,2</t>
  </si>
  <si>
    <t>ΣΙΔΗΡΟΠΟΥΛΟΥ</t>
  </si>
  <si>
    <t>ΕΥΔΟΞΙΑ</t>
  </si>
  <si>
    <t>ΣΥΜΕΩΝ</t>
  </si>
  <si>
    <t>ΑΜ879535</t>
  </si>
  <si>
    <t>1253-1249-1248-1219-1206-1255-1205-1202-1247-1250-1254-1217</t>
  </si>
  <si>
    <t>ΣΙΝΗ</t>
  </si>
  <si>
    <t>ΑΜ320402</t>
  </si>
  <si>
    <t>1384,7</t>
  </si>
  <si>
    <t>1218-1250-1217-1247-1254-1252-1248-1223-1253-1206-1249-1202-1205-1204-1255-1221-1256-1222-1219-1220-1251</t>
  </si>
  <si>
    <t>ΕΥΑΝΘΙΑ</t>
  </si>
  <si>
    <t>ΑΙ703757</t>
  </si>
  <si>
    <t>1384,4</t>
  </si>
  <si>
    <t>1248-1249-1253-1222-1256-1254-1255-1247-1206-1250</t>
  </si>
  <si>
    <t>ΓΙΑΝΝΑΡΑΚΗΣ</t>
  </si>
  <si>
    <t>ΑΚ740080</t>
  </si>
  <si>
    <t>1384,1</t>
  </si>
  <si>
    <t>ΡΑΠΤΗ</t>
  </si>
  <si>
    <t>Φ057135</t>
  </si>
  <si>
    <t>1383,2</t>
  </si>
  <si>
    <t>ΚΑΡΑΜΑΝΙΔΟΥ</t>
  </si>
  <si>
    <t>ΦΙΛΙΠΠΟΣ</t>
  </si>
  <si>
    <t>ΑΗ329380</t>
  </si>
  <si>
    <t>1382,5</t>
  </si>
  <si>
    <t>1253-1248-1249-1206-1247-1250-1201-1202-1255-1256-1267-1254</t>
  </si>
  <si>
    <t>ΚΑΡΑΓΕΩΡΓΙΟΥ</t>
  </si>
  <si>
    <t>ΑΙ523749</t>
  </si>
  <si>
    <t>1247-1202-1205-1255-1221-1267-1201</t>
  </si>
  <si>
    <t>ΒΑΓΓΕΛΗ</t>
  </si>
  <si>
    <t>ΑΖ791503</t>
  </si>
  <si>
    <t>713,9</t>
  </si>
  <si>
    <t>1381,9</t>
  </si>
  <si>
    <t>1249-1253-1267-1248-1254-1247-1256-1206-1250-1255</t>
  </si>
  <si>
    <t>ΘΕΡΑΠΙΔΗΣ</t>
  </si>
  <si>
    <t>ΑΣΤΕΡΙΟΣ</t>
  </si>
  <si>
    <t>ΑΖ166760</t>
  </si>
  <si>
    <t>763,4</t>
  </si>
  <si>
    <t>1381,4</t>
  </si>
  <si>
    <t>1202-1203-1204-1205-1206-1247-1248-1250-1255-1252-1253-1254-1256-1251</t>
  </si>
  <si>
    <t>ΑΜ844685</t>
  </si>
  <si>
    <t>861,3</t>
  </si>
  <si>
    <t>1381,3</t>
  </si>
  <si>
    <t>1201-1247-1248-1267-1256-1249-1253-1206-1254-1250-1255-1202</t>
  </si>
  <si>
    <t>ΚΑΣΙΔΗ</t>
  </si>
  <si>
    <t>ΑΖ927836</t>
  </si>
  <si>
    <t>651,2</t>
  </si>
  <si>
    <t>1381,2</t>
  </si>
  <si>
    <t>1251-1217-1203-1204-1205-1206-1219-1221-1247-1248-1249-1250-1252-1253-1254-1255-1267-1218-1202-1220-1222-1223-1256</t>
  </si>
  <si>
    <t>ΤΣΑΤΣΑΚΗΣ</t>
  </si>
  <si>
    <t>Σ869947</t>
  </si>
  <si>
    <t>1380,9</t>
  </si>
  <si>
    <t>1202-1201-1205-1206-1247-1248-1249-1250-1253-1254-1255-1267</t>
  </si>
  <si>
    <t>ΜΕΛΙΣΣΑΡΟΠΟΥΛΟΥ</t>
  </si>
  <si>
    <t>ΑΖ226461</t>
  </si>
  <si>
    <t>1380,3</t>
  </si>
  <si>
    <t>1217-1250-1247-1248-1267-1254-1201-1202-1205-1206-1221-1249-1253-1255-1256</t>
  </si>
  <si>
    <t>ΧΙΝΤΖΙΟΥ</t>
  </si>
  <si>
    <t>ΑΖ847169</t>
  </si>
  <si>
    <t>1222-1206-1248-1253-1249-1254-1247-1218-1250-1255</t>
  </si>
  <si>
    <t>ΠΑΛΙΟΤΖΗΚΑ</t>
  </si>
  <si>
    <t>ΔΗΜΗΤΡΟΥΛΑ</t>
  </si>
  <si>
    <t>Χ915603</t>
  </si>
  <si>
    <t>1267-1248-1254-1249-1253-1256-1247-1206-1250-1255</t>
  </si>
  <si>
    <t>ΚΥΡΙΑΚΑΚΗ</t>
  </si>
  <si>
    <t>Χ996425</t>
  </si>
  <si>
    <t>1379,1</t>
  </si>
  <si>
    <t>ΜΑΜΣΑΚΟΥ</t>
  </si>
  <si>
    <t>ΧΡΙΣΤΟΔΟΥΛΟΣ</t>
  </si>
  <si>
    <t>ΑΗ891583</t>
  </si>
  <si>
    <t>721,6</t>
  </si>
  <si>
    <t>1378,6</t>
  </si>
  <si>
    <t>1202-1204-1205-1206-1221-1247-1248-1249-1250-1253-1255</t>
  </si>
  <si>
    <t>ΧΑΤΖΗΠΑΝΑΓΙΩΤΟΥ</t>
  </si>
  <si>
    <t>ΑΒ684898</t>
  </si>
  <si>
    <t>876,7</t>
  </si>
  <si>
    <t>1377,7</t>
  </si>
  <si>
    <t>1219-1248-1267-1253-1256-1203-1249-1206-1201-1254-1247-1217-1250-1218-1202-1205-1221-1255-1251-1223</t>
  </si>
  <si>
    <t>ΛΥΡΙΝΤΖΗ</t>
  </si>
  <si>
    <t>ΑΚ228727</t>
  </si>
  <si>
    <t>1377,3</t>
  </si>
  <si>
    <t>ΤΣΑΓΚΟΖΗ</t>
  </si>
  <si>
    <t>Σ928627</t>
  </si>
  <si>
    <t>1248-1267-1205-1255-1253-1247-1201-1202-1206-1249-1250-1254-1256-1221</t>
  </si>
  <si>
    <t>ΓΑΡΕΦΑΛΑΚΗ</t>
  </si>
  <si>
    <t>ΑΚ475624</t>
  </si>
  <si>
    <t>1202-1205-1255-1250-1253-1247-1254-1249-1248-1206</t>
  </si>
  <si>
    <t>ΜΗΤΣΟΥ</t>
  </si>
  <si>
    <t>ΑΖ778600</t>
  </si>
  <si>
    <t>ΚΟΛΕΡΗΣ</t>
  </si>
  <si>
    <t>Σ253850</t>
  </si>
  <si>
    <t>1250-1247-1254-1218-1201-1249-1223-1253-1248-1206-1256-1222-1255-1221-1202-1204-1205</t>
  </si>
  <si>
    <t>ΣΟΥΦΛΕΡΟΥ</t>
  </si>
  <si>
    <t>ΑΗ475707</t>
  </si>
  <si>
    <t>1254-1201-1248-1247-1255-1206-1250</t>
  </si>
  <si>
    <t>ΤΑΓΙΑΝΟΓΛΟΥ</t>
  </si>
  <si>
    <t>ΑΕ126156</t>
  </si>
  <si>
    <t>1249-1201-1202-1204-1205-1206-1217-1218-1219-1221-1247-1248-1250-1252-1253-1254-1255</t>
  </si>
  <si>
    <t>ΣΤΑΜΑΤΟΠΟΥΛΟΥ</t>
  </si>
  <si>
    <t>Χ307005</t>
  </si>
  <si>
    <t>1250-1247-1267-1248-1201-1255-1202-1206</t>
  </si>
  <si>
    <t>ΤΣΑΜΠΑ</t>
  </si>
  <si>
    <t>ΑΝ186383</t>
  </si>
  <si>
    <t>742,5</t>
  </si>
  <si>
    <t>1376,5</t>
  </si>
  <si>
    <t>1248-1253-1206-1255-1256-1249-1254-1247-1250</t>
  </si>
  <si>
    <t>ΠΑΤΕΡΑΚΗ</t>
  </si>
  <si>
    <t>Τ488697</t>
  </si>
  <si>
    <t>687,5</t>
  </si>
  <si>
    <t>1375,5</t>
  </si>
  <si>
    <t>1255-1205-1202</t>
  </si>
  <si>
    <t>ΤΑΣΙΟΥΔΗ</t>
  </si>
  <si>
    <t>ΑΕ893272</t>
  </si>
  <si>
    <t>1206-1267-1219-1248-1247-1249-1250-1253-1254-1255-1202-1201-1205-1217-1221-1204-1203-1218</t>
  </si>
  <si>
    <t>ΝΤΑΓΚΟΥΝΑΚΗΣ</t>
  </si>
  <si>
    <t>ΜΑΜΑΣ</t>
  </si>
  <si>
    <t>Φ992006</t>
  </si>
  <si>
    <t>ΚΑΚΟΥΡΗΣ</t>
  </si>
  <si>
    <t>ΑΕ518842</t>
  </si>
  <si>
    <t>Ν872161</t>
  </si>
  <si>
    <t>1373,9</t>
  </si>
  <si>
    <t>1205-1204-1255-1202-1221-1247-1218-1217-1250-1254-1252-1201-1203-1206-1253-1249-1248-1267-1219-1222-1256-1220-1251-1223-1257</t>
  </si>
  <si>
    <t>ΛΑΖΟΥ</t>
  </si>
  <si>
    <t>Χ689772</t>
  </si>
  <si>
    <t>1217-1255-1202-1205-1250-1254-1219-1248-1206-1201-1249-1253-1247</t>
  </si>
  <si>
    <t>ΚΥΡΓΙΑ</t>
  </si>
  <si>
    <t>Χ408217</t>
  </si>
  <si>
    <t>1372,6</t>
  </si>
  <si>
    <t>1248-1250-1255-1249-1253-1254-1256-1247</t>
  </si>
  <si>
    <t>ΑΙ434797</t>
  </si>
  <si>
    <t>1371,4</t>
  </si>
  <si>
    <t>1202-1255-1205-1247-1248-1249-1250-1253-1254-1206-1218-1221-1204</t>
  </si>
  <si>
    <t>ΠΑΤΕΡΟΥ</t>
  </si>
  <si>
    <t>Φ294507</t>
  </si>
  <si>
    <t>826,1</t>
  </si>
  <si>
    <t>1371,1</t>
  </si>
  <si>
    <t>1202-1221-1255-1205</t>
  </si>
  <si>
    <t>ΧΑΡΙΤΑΚΗ</t>
  </si>
  <si>
    <t>ΑΕ973664</t>
  </si>
  <si>
    <t>1370,1</t>
  </si>
  <si>
    <t>1255-1250-1247-1267-1248-1206-1249-1253-1254</t>
  </si>
  <si>
    <t>ΖΙΑΚΑ</t>
  </si>
  <si>
    <t>ΑΕ859121</t>
  </si>
  <si>
    <t>1222-1221-1217-1218-1204-1202-1205-1255-1201-1206-1219-1248-1267-1247-1249-1250-1253-1254-1251-1256</t>
  </si>
  <si>
    <t>ΖΑΓΟΥΡΑΣ</t>
  </si>
  <si>
    <t>ΑΙ984586</t>
  </si>
  <si>
    <t>1369,7</t>
  </si>
  <si>
    <t>1247-1217-1250-1254-1223-1219-1248-1255-1204-1205-1202-1218-1221-1252-1251-1206-1253-1249-1256-1201</t>
  </si>
  <si>
    <t>ΝΤΟΚΑΚΗΣ</t>
  </si>
  <si>
    <t>Ν961768</t>
  </si>
  <si>
    <t>751,3</t>
  </si>
  <si>
    <t>1369,3</t>
  </si>
  <si>
    <t>1255-1204-1205-1221-1202-1226-1227-1231</t>
  </si>
  <si>
    <t>ΚΟΡΝΕΖΟΥ</t>
  </si>
  <si>
    <t>Χ394618</t>
  </si>
  <si>
    <t>1249-1247-1248-1253-1254-1250-1218-1255</t>
  </si>
  <si>
    <t>ΠΟΥΛΟΣ</t>
  </si>
  <si>
    <t>ΑΒ496842</t>
  </si>
  <si>
    <t>653,4</t>
  </si>
  <si>
    <t>1368,4</t>
  </si>
  <si>
    <t>1250-1247-1248-1267-1254-1255-1205-1202-1206-1249-1253</t>
  </si>
  <si>
    <t>ΤΖΙΝΤΖΙΔΗΣ</t>
  </si>
  <si>
    <t>ΣΑΒΒΑΣ</t>
  </si>
  <si>
    <t>ΑΕ863399</t>
  </si>
  <si>
    <t>1046,1</t>
  </si>
  <si>
    <t>1367,1</t>
  </si>
  <si>
    <t>1222-1248-1206-1267-1253-1249-1254-1218-1247-1250-1255-1202-1256</t>
  </si>
  <si>
    <t>ΑΝ920946</t>
  </si>
  <si>
    <t>1202-1221-1255-1205-1267-1206-1201-1222-1254-1249-1250-1253</t>
  </si>
  <si>
    <t>ΧΡΙΣΤΟΔΟΥΛΑΚΗ</t>
  </si>
  <si>
    <t>ΑΕ472286</t>
  </si>
  <si>
    <t>1204-1205-1255-1221-1202</t>
  </si>
  <si>
    <t>ΤΣΑΝΤΟΥΛΑΣ</t>
  </si>
  <si>
    <t>ΑΒ549072</t>
  </si>
  <si>
    <t>1248-1247-1250-1267-1201-1206-1249-1253-1254-1202-1205-1255</t>
  </si>
  <si>
    <t>ΠΙΠΕΡΑΚΗ</t>
  </si>
  <si>
    <t>Ρ996520</t>
  </si>
  <si>
    <t>1255-1221-1204-1205</t>
  </si>
  <si>
    <t>ΜΑΚΚΑ</t>
  </si>
  <si>
    <t>ΑΗ999457</t>
  </si>
  <si>
    <t>746,9</t>
  </si>
  <si>
    <t>1364,9</t>
  </si>
  <si>
    <t>1204-1218-1203-1221-1205-1202-1201-1255-1254-1250-1247-1248-1267-1253-1249-1206-1219-1223-1256-1222-1220-1251-1252-1217</t>
  </si>
  <si>
    <t>ΝΤΑΝΗ</t>
  </si>
  <si>
    <t>ΑΖ680393</t>
  </si>
  <si>
    <t>1364,6</t>
  </si>
  <si>
    <t>1248-1222-1253-1206-1249-1218-1256-1255-1247-1254-1250</t>
  </si>
  <si>
    <t>ΚΑΡΑΤΑΡΑΚΗ</t>
  </si>
  <si>
    <t>ΑΗ969470</t>
  </si>
  <si>
    <t>1202-1221-1204-1255-1201-1247-1248-1249-1250-1253-1254-1256</t>
  </si>
  <si>
    <t>ΑΠΟΣΤΟΛΑΚΗ</t>
  </si>
  <si>
    <t>ΕΛΕΝΗ ΕΥΔΟΞΙ</t>
  </si>
  <si>
    <t>Σ424561</t>
  </si>
  <si>
    <t>1206-1202-1205-1247-1248-1249-1250-1253-1254-1255-1201</t>
  </si>
  <si>
    <t>ΠΑΝΤΑΖΗ</t>
  </si>
  <si>
    <t>ΑΖ648900</t>
  </si>
  <si>
    <t>743,6</t>
  </si>
  <si>
    <t>1361,6</t>
  </si>
  <si>
    <t>1253-1248-1267-1222-1206-1256-1249-1254-1250-1205-1255-1221-1247</t>
  </si>
  <si>
    <t>ΖΑΦΕΙΡΑΚΗ</t>
  </si>
  <si>
    <t>ΑΡΓΥΡΗ</t>
  </si>
  <si>
    <t>ΑΗ353948</t>
  </si>
  <si>
    <t>1358,7</t>
  </si>
  <si>
    <t>1222-1267-1219-1206-1248-1256-1253-1254-1201-1217-1250-1249-1247-1205-1255-1202-1251</t>
  </si>
  <si>
    <t>ΜΠΟΖΑΡΕΓΚΑ</t>
  </si>
  <si>
    <t>ΟΥΡΑΝΙΑ</t>
  </si>
  <si>
    <t>ΑΗ805114</t>
  </si>
  <si>
    <t>1358,3</t>
  </si>
  <si>
    <t>1256-1253-1248-1249-1252-1206-1247-1254-1250-1201-1255-1202-1204-1205-1218-1221-1220-1223</t>
  </si>
  <si>
    <t>ΠΟΛΙΤΙΔΟΥ</t>
  </si>
  <si>
    <t>ΒΙΚΤΩΡΙΑ</t>
  </si>
  <si>
    <t>Τ895864</t>
  </si>
  <si>
    <t>1253-1248-1249-1206-1218-1254-1267-1250-1247-1255</t>
  </si>
  <si>
    <t>ΔΙΑΜΑΝΤΗ</t>
  </si>
  <si>
    <t>ΑΝ184594</t>
  </si>
  <si>
    <t>1267-1248-1253-1206-1249-1254-1247-1255-1250</t>
  </si>
  <si>
    <t>ΠΑΠΑΙΩΑΝΝΟΥ</t>
  </si>
  <si>
    <t>Ρ981991</t>
  </si>
  <si>
    <t>1252-1248-1267-1253-1249-1254-1247-1218-1206-1250-1255</t>
  </si>
  <si>
    <t>ΧΑΙΔΟΥ</t>
  </si>
  <si>
    <t>Χ390367</t>
  </si>
  <si>
    <t>1249-1206-1255</t>
  </si>
  <si>
    <t>ΑΙ467913</t>
  </si>
  <si>
    <t>1357,2</t>
  </si>
  <si>
    <t>1204-1255</t>
  </si>
  <si>
    <t>ΚΡΟΚΙΔΑΣ</t>
  </si>
  <si>
    <t>ΑΖ247210</t>
  </si>
  <si>
    <t>739,2</t>
  </si>
  <si>
    <t>1250-1252-1254-1249-1253-1218-1255-1248-1247-1201-1205-1206</t>
  </si>
  <si>
    <t>ΚΟΤΡΩΝΑΚΗΣ</t>
  </si>
  <si>
    <t>Φ499288</t>
  </si>
  <si>
    <t>1356,9</t>
  </si>
  <si>
    <t>1255-1256-1253-1248</t>
  </si>
  <si>
    <t>ΜΗΤΡΟΥ</t>
  </si>
  <si>
    <t>ΑΝ412614</t>
  </si>
  <si>
    <t>1356,3</t>
  </si>
  <si>
    <t>1223-1251-1256-1204-1218-1203-1221-1217-1205-1222-1249-1250-1252-1253-1254-1255-1267</t>
  </si>
  <si>
    <t>ΤΖΙΑΤΖΙΟΣ</t>
  </si>
  <si>
    <t>Ν704641</t>
  </si>
  <si>
    <t>1355,5</t>
  </si>
  <si>
    <t>1249-1253-1248-1256-1206-1254-1247-1250-1255</t>
  </si>
  <si>
    <t>ΠΑΠΟΥΤΣΗ</t>
  </si>
  <si>
    <t>ΑΖ495136</t>
  </si>
  <si>
    <t>1355,4</t>
  </si>
  <si>
    <t>1247-1254-1252-1217-1250-1201-1203-1248-1219-1218-1206-1253-1256-1204-1205-1221-1202-1255-1223-1251</t>
  </si>
  <si>
    <t>ΔΑΜΙΑΝΙΔΟΥ</t>
  </si>
  <si>
    <t>ΑΚ302620</t>
  </si>
  <si>
    <t>1253-1267-1248-1206-1249-1201-1254-1202-1255</t>
  </si>
  <si>
    <t>ΚΛΕΙΤΣΙΩΤΟΥ</t>
  </si>
  <si>
    <t>ΑΒ512350</t>
  </si>
  <si>
    <t>1202-1205-1221-1248-1250-1255-1247-1206-1253-1254</t>
  </si>
  <si>
    <t>ΝΤΕΡΚΟΣ</t>
  </si>
  <si>
    <t>Ρ393327</t>
  </si>
  <si>
    <t>1201-1248-1249-1253-1254-1256-1202-1205-1255-1206-1247-1250</t>
  </si>
  <si>
    <t>ΣΕΛΗΣΙΟΥ</t>
  </si>
  <si>
    <t>Ρ245756</t>
  </si>
  <si>
    <t>1202-1204-1205-1206-1217-1218-1219-1220-1221-1222-1223-1247-1248-1249-1250-1251-1252-1253-1254-1255-1256-1203-1267</t>
  </si>
  <si>
    <t>ΜΠΕΛΛΟΣ</t>
  </si>
  <si>
    <t>Σ443456</t>
  </si>
  <si>
    <t>1221-1204-1205-1255-1202-1249-1250-1253-1256-1252-1254-1201-1203-1206-1218-1247-1248-1267-1223-1222</t>
  </si>
  <si>
    <t>ΑΝΘΗ ΜΑΡΙΑ</t>
  </si>
  <si>
    <t>ΑΙ845743</t>
  </si>
  <si>
    <t>1202-1204-1205-1206-1217-1219-1247-1248-1249-1250-1252-1253-1254-1255</t>
  </si>
  <si>
    <t>ΛΙΤΣΑ</t>
  </si>
  <si>
    <t>ΑΝ895650</t>
  </si>
  <si>
    <t>1354,5</t>
  </si>
  <si>
    <t>1256-1253-1248-1255-1205-1249-1247-1202-1206-1204-1254-1250</t>
  </si>
  <si>
    <t>ΚΑΛΟΓΗΡΟΥ</t>
  </si>
  <si>
    <t>Χ846431</t>
  </si>
  <si>
    <t>1253-1249-1267-1248-1206-1201-1254-1247-1217-1250-1255</t>
  </si>
  <si>
    <t>ΑΑ415695</t>
  </si>
  <si>
    <t>1352,8</t>
  </si>
  <si>
    <t>1201-1202-1204-1205-1206-1217-1218-1219-1221-1247-1248-1249-1250-1252-1253-1254-1255</t>
  </si>
  <si>
    <t>ΤΡΙΜΑ</t>
  </si>
  <si>
    <t>Σ975899</t>
  </si>
  <si>
    <t>1201-1252-1203-1219-1248-1249-1206-1218-1250-1202-1204-1205-1267-1217-1220-1221-1222-1223-1247-1251-1253-1254-1255-1256</t>
  </si>
  <si>
    <t>ΚΟΚΟΛΟΓΙΑΝΝΗ</t>
  </si>
  <si>
    <t>ΑΙ949486</t>
  </si>
  <si>
    <t>1352,5</t>
  </si>
  <si>
    <t>1255-1267-1248-1247-1249-1250-1254-1222-1206</t>
  </si>
  <si>
    <t>ΚΟΥΤΡΟΥΛΗ</t>
  </si>
  <si>
    <t>Φ276476</t>
  </si>
  <si>
    <t>1249-1253-1248-1206-1218-1247-1250-1254-1255</t>
  </si>
  <si>
    <t>ΓΙΩΒΑΝΝΗ</t>
  </si>
  <si>
    <t>ΣΩΣΣΑΝΑ</t>
  </si>
  <si>
    <t>ΑΚ904036</t>
  </si>
  <si>
    <t>1351,7</t>
  </si>
  <si>
    <t>1201-1202-1205-1206-1221-1247-1248-1249-1250-1253-1254-1255-1256</t>
  </si>
  <si>
    <t>ΦΑΝΟΥΡΑΚΗΣ</t>
  </si>
  <si>
    <t>ΑΑ369893</t>
  </si>
  <si>
    <t>852,5</t>
  </si>
  <si>
    <t>1351,5</t>
  </si>
  <si>
    <t>1202-1221-1204-1205-1255-1250-1253-1254</t>
  </si>
  <si>
    <t>ΚΑΡΑΘΟΔΩΡΟΥ</t>
  </si>
  <si>
    <t>ΑΕ174573</t>
  </si>
  <si>
    <t>1219-1248-1253-1206-1204-1201-1254-1221-1255-1205-1202-1247-1250-1217</t>
  </si>
  <si>
    <t>ΣΑΚΕΛΛΑΡΗΣ</t>
  </si>
  <si>
    <t>ΑΝ265879</t>
  </si>
  <si>
    <t>652,3</t>
  </si>
  <si>
    <t>1350,3</t>
  </si>
  <si>
    <t>1248-1247-1249-1250-1253-1254-1255-1256-1202-1205-1206-1201</t>
  </si>
  <si>
    <t>ΜΩΡΑΙΤΗ</t>
  </si>
  <si>
    <t>ΑΙ585244</t>
  </si>
  <si>
    <t>1349,2</t>
  </si>
  <si>
    <t>1255-1250-1217-1205-1202-1267-1206-1219-1248-1249-1201-1247-1254-1253</t>
  </si>
  <si>
    <t>Χ951139</t>
  </si>
  <si>
    <t>1348,5</t>
  </si>
  <si>
    <t>1256-1253-1219-1248-1206-1267-1202-1205-1255-1254-1249-1247-1251-1201-1218-1217-1250-1221-1223</t>
  </si>
  <si>
    <t>ΠΕΛΑΝΤΑΚΗ</t>
  </si>
  <si>
    <t>ΑΕ969738</t>
  </si>
  <si>
    <t>1348,4</t>
  </si>
  <si>
    <t>1221-1255-1205</t>
  </si>
  <si>
    <t>ΚΥΡΟΥ</t>
  </si>
  <si>
    <t>ΑΝ822256</t>
  </si>
  <si>
    <t>1348,1</t>
  </si>
  <si>
    <t>1218-1252-1250-1255-1247-1254-1206-1253-1249-1248-1267-1256</t>
  </si>
  <si>
    <t>ΚΟΛΟΡΙΔΑ</t>
  </si>
  <si>
    <t>ΑΒ843980</t>
  </si>
  <si>
    <t>809,6</t>
  </si>
  <si>
    <t>1347,6</t>
  </si>
  <si>
    <t>1201-1202-1205-1206-1219-1247-1248-1249-1233-1250-1255-1253-1257-1254-1267-1251-1256</t>
  </si>
  <si>
    <t>ΣΤΙΒΑΚΤΑΚΗ</t>
  </si>
  <si>
    <t>ΑΙ944272</t>
  </si>
  <si>
    <t>1347,3</t>
  </si>
  <si>
    <t>1202-1221-1205-1204-1255-1247-1219-1250-1248-1218-1217-1206-1203-1253-1256-1254-1252</t>
  </si>
  <si>
    <t>ΛΑΜΠΑΚΗΣ</t>
  </si>
  <si>
    <t>ΑΒ123151</t>
  </si>
  <si>
    <t>1222-1206-1248-1267-1253-1249-1247-1254-1255-1250</t>
  </si>
  <si>
    <t>ΤΣΙΑΒΗ</t>
  </si>
  <si>
    <t>ΑΕ125287</t>
  </si>
  <si>
    <t>1346,2</t>
  </si>
  <si>
    <t>1249-1203-1267-1219-1248-1201-1252-1253-1250-1254-1217-1218-1206-1247-1202-1204-1205-1221-1255</t>
  </si>
  <si>
    <t>ΒΑΡΝΑ</t>
  </si>
  <si>
    <t>ΑΗ243231</t>
  </si>
  <si>
    <t>1267-1248-1204-1205-1202-1221-1255-1249-1253-1247-1218-1203-1250-1254-1206-1201-1223-1256</t>
  </si>
  <si>
    <t>ΜΟΥΧΤΑΡΗ</t>
  </si>
  <si>
    <t>ΑΣΠΑΣΙΑ</t>
  </si>
  <si>
    <t>ΑΖ887585</t>
  </si>
  <si>
    <t>757,9</t>
  </si>
  <si>
    <t>1345,9</t>
  </si>
  <si>
    <t>1206-1248-1267-1253-1249-1254-1247-1250-1255</t>
  </si>
  <si>
    <t>ΦΤΑΚΑ</t>
  </si>
  <si>
    <t>ΧΑΡΙΣΙΟΣ</t>
  </si>
  <si>
    <t>ΑΖ291923</t>
  </si>
  <si>
    <t>1249-1253-1248-1206-1205-1255-1247-1254-1250</t>
  </si>
  <si>
    <t>ΒΑΒΟΥΛΙΩΤΗ</t>
  </si>
  <si>
    <t>ΣΠΥΡΙΔΟΥΛΑ</t>
  </si>
  <si>
    <t>ΑΖ013110</t>
  </si>
  <si>
    <t>654,5</t>
  </si>
  <si>
    <t>1344,5</t>
  </si>
  <si>
    <t>1202-1204-1205-1219-1221-1223-1248-1255</t>
  </si>
  <si>
    <t>ΒΑΤΙΔΟΥ</t>
  </si>
  <si>
    <t>ΑΚ267760</t>
  </si>
  <si>
    <t>1248-1267-1253-1206-1204-1205-1255-1247-1202-1221-1223-1256-1203-1249-1254-1222-1201-1250-1218</t>
  </si>
  <si>
    <t>ΣΤΟΥΚΗΣ</t>
  </si>
  <si>
    <t>Μ872378</t>
  </si>
  <si>
    <t>1247-1254-1250-1248-1267-1253-1206-1249-1202-1255</t>
  </si>
  <si>
    <t>ΠΙΠΙΛΑΚΙΔΗΣ</t>
  </si>
  <si>
    <t>Ξ514596</t>
  </si>
  <si>
    <t>1204-1205-1202-1206-1217-1221-1223-1248-1247-1255-1256-1218-1249-1250-1251-1253-1254-1201</t>
  </si>
  <si>
    <t>ΓΚΟΓΚΟΥ</t>
  </si>
  <si>
    <t>ΑΖ514777</t>
  </si>
  <si>
    <t>1250-1247-1254-1248-1267-1203-1252-1201-1253-1249-1206-1255-1204-1205-1221-1202-1218</t>
  </si>
  <si>
    <t>ΚΑΤΣΙΜΠΑΣ</t>
  </si>
  <si>
    <t>Ρ467288</t>
  </si>
  <si>
    <t>1201-1255-1248-1249-1206-1250-1253-1254-1205-1202-1247</t>
  </si>
  <si>
    <t>ΡΕΧΑΣ</t>
  </si>
  <si>
    <t>ΑΗ316817</t>
  </si>
  <si>
    <t>1201-1202-1205-1206-1218-1221-1223-1247-1248-1249-1250-1253-1254-1255-1203-1267</t>
  </si>
  <si>
    <t>ΣΑΙΤΑ</t>
  </si>
  <si>
    <t>ΑΜ481404</t>
  </si>
  <si>
    <t>1255-1206-1205-1202-1254-1253-1250-1249-1247-1248-1267-1201</t>
  </si>
  <si>
    <t>ΚΩΣΤΑ</t>
  </si>
  <si>
    <t>ΑΑ381102</t>
  </si>
  <si>
    <t>865,7</t>
  </si>
  <si>
    <t>1343,7</t>
  </si>
  <si>
    <t>1248-1267-1253-1256-1254-1249-1250-1247-1255-1221-1202-1205-1206</t>
  </si>
  <si>
    <t>ΦΡΑΓΚΟΓΙΑΝΝΗ</t>
  </si>
  <si>
    <t>Χ276233</t>
  </si>
  <si>
    <t>755,7</t>
  </si>
  <si>
    <t>1221-1217-1218-1204-1205-1206-1202-1201-1219-1203-1223-1249-1250-1251-1253-1254-1255-1256-1247-1267</t>
  </si>
  <si>
    <t>ΚΑΡΑΔΕΡΜΙΤΖΟΓΛΟΥ</t>
  </si>
  <si>
    <t>ΑΕ864876</t>
  </si>
  <si>
    <t>1343,4</t>
  </si>
  <si>
    <t>1222-1206-1267-1248-1253-1247-1205-1255-1202-1254-1249-1250</t>
  </si>
  <si>
    <t>ΓΙΩΤΑ</t>
  </si>
  <si>
    <t>ΒΟΥΖΙΑΝΑ</t>
  </si>
  <si>
    <t>ΑΖ294385</t>
  </si>
  <si>
    <t>1342,6</t>
  </si>
  <si>
    <t>1249-1253-1256-1252-1219-1248-1206-1247-1201-1254-1217-1250-1205-1255-1221-1202</t>
  </si>
  <si>
    <t>ΑΝΑΓΝΩΣΤΗ</t>
  </si>
  <si>
    <t>Χ845461</t>
  </si>
  <si>
    <t>1341,8</t>
  </si>
  <si>
    <t>1253-1256-1219-1220-1249-1203-1222-1206-1252-1223-1204-1205-1255-1202-1254-1250-1221</t>
  </si>
  <si>
    <t>ΜΠΟΥΡΔΑΚΗ</t>
  </si>
  <si>
    <t>ΑΕ972577</t>
  </si>
  <si>
    <t>ΧΑΤΖΗΑΝΑΓΝΩΣΤΟΥ</t>
  </si>
  <si>
    <t>ΜΕΝΕΛΙΤΣΑ</t>
  </si>
  <si>
    <t>ΑΜ671611</t>
  </si>
  <si>
    <t>1341,6</t>
  </si>
  <si>
    <t>1255-1205-1221-1204</t>
  </si>
  <si>
    <t>ΓΙΑΝΝΟΠΟΥΛΟΥ</t>
  </si>
  <si>
    <t>ΑΕ707123</t>
  </si>
  <si>
    <t>1341,2</t>
  </si>
  <si>
    <t>1250-1247-1267-1248-1254-1253-1222-1206-1255-1249-1256</t>
  </si>
  <si>
    <t>ΚΩΔΟΥΝΑ</t>
  </si>
  <si>
    <t>ΑΗ295355</t>
  </si>
  <si>
    <t>1249-1253-1248-1254-1250-1255</t>
  </si>
  <si>
    <t>ΚΑΜΤΣΙΚΗ</t>
  </si>
  <si>
    <t>Χ239479</t>
  </si>
  <si>
    <t>1206-1248-1253-1203-1201-1218-1249-1254-1247-1250-1204-1205-1202-1255-1221-1267</t>
  </si>
  <si>
    <t>ΤΖΑΚΟΥ</t>
  </si>
  <si>
    <t>Ρ907896</t>
  </si>
  <si>
    <t>1201-1254-1249-1253-1248-1256-1247-1206-1250-1255-1205-1202-1267</t>
  </si>
  <si>
    <t>ΜΠΕΜΠΕΚΙΔΗΣ</t>
  </si>
  <si>
    <t>ΚΑΡΥΟΦΥΛΛΗΣ</t>
  </si>
  <si>
    <t>ΑΑ452125</t>
  </si>
  <si>
    <t>1340,9</t>
  </si>
  <si>
    <t>1206-1219-1248-1201-1253-1254-1247-1249-1250-1217-1255-1202-1205</t>
  </si>
  <si>
    <t>ΠΑΠΑ</t>
  </si>
  <si>
    <t>ΑΗ812519</t>
  </si>
  <si>
    <t>1340,7</t>
  </si>
  <si>
    <t>1253-1206-1248-1247-1249-1201-1250-1254-1256-1202-1205-1255</t>
  </si>
  <si>
    <t>ΣΟΥΛΕΛΕ</t>
  </si>
  <si>
    <t>ΑΙ205947</t>
  </si>
  <si>
    <t>1339,6</t>
  </si>
  <si>
    <t>1221-1205-1202-1201-1247-1248-1250-1255-1206-1253</t>
  </si>
  <si>
    <t>ΚΙΟΥΦΤΗ</t>
  </si>
  <si>
    <t>ΡΕΒΕΚΑ</t>
  </si>
  <si>
    <t>ΑΜ744723</t>
  </si>
  <si>
    <t>1217-1218-1219-1250-1254-1205-1255-1221</t>
  </si>
  <si>
    <t>ΦΛΟΥΡΗ</t>
  </si>
  <si>
    <t>Π965527</t>
  </si>
  <si>
    <t>1338,7</t>
  </si>
  <si>
    <t>1221-1255-1202</t>
  </si>
  <si>
    <t>ΒΕΡΩΝΗΣ</t>
  </si>
  <si>
    <t>Τ911805</t>
  </si>
  <si>
    <t>1338,5</t>
  </si>
  <si>
    <t>1204-1205-1202-1221-1248-1249-1206-1218-1247-1250-1253-1254-1255</t>
  </si>
  <si>
    <t>ΤΣΟΛΚΑ</t>
  </si>
  <si>
    <t>ΑΚ333323</t>
  </si>
  <si>
    <t>848,1</t>
  </si>
  <si>
    <t>1338,1</t>
  </si>
  <si>
    <t>1206-1247-1248-1249-1250-1253-1254-1255-1256</t>
  </si>
  <si>
    <t>ΣΦΗΚΑ</t>
  </si>
  <si>
    <t>ΑΒ092235</t>
  </si>
  <si>
    <t>1202-1203-1204-1205-1206-1217-1218-1223-1247-1248-1249-1250-1251-1252-1253-1254-1255-1256-1267</t>
  </si>
  <si>
    <t>ΔΡΑΚΑΚΗΣ</t>
  </si>
  <si>
    <t>ΜΙΧΑΛΗΣ</t>
  </si>
  <si>
    <t>ΑΜ382405</t>
  </si>
  <si>
    <t>1336,4</t>
  </si>
  <si>
    <t>1251-1249-1253-1206-1205-1255-1254-1256-1217-1250-1247-1202-1219-1248-1267-1201</t>
  </si>
  <si>
    <t>Μ532399</t>
  </si>
  <si>
    <t>1336,3</t>
  </si>
  <si>
    <t>1247-1250-1254-1218-1253-1252-1249-1255-1221</t>
  </si>
  <si>
    <t>ΠΑΡΑΛΟΠΟΥΛΟΣ</t>
  </si>
  <si>
    <t>ΑΙ212955</t>
  </si>
  <si>
    <t>1201-1203-1204-1205-1206-1217-1218-1219-1221-1247-1248-1249-1250-1252-1253-1255-1267</t>
  </si>
  <si>
    <t>ΣΑΒΒΙΔΗΣ</t>
  </si>
  <si>
    <t>ΑΖ325728</t>
  </si>
  <si>
    <t>1253-1249-1256-1267-1248-1220-1206-1203-1201-1252-1223-1254-1255-1204-1202-1221-1250-1247-1218-1205</t>
  </si>
  <si>
    <t>ΑΒ433274</t>
  </si>
  <si>
    <t>1335,3</t>
  </si>
  <si>
    <t>1249-1248-1267-1253-1206-1201-1256-1202-1205-1255-1254-1250-1247</t>
  </si>
  <si>
    <t>ΚΟΛΛΙΑ</t>
  </si>
  <si>
    <t>ΕΜΜΑΝΟΥΕΛΑ</t>
  </si>
  <si>
    <t>ΑΚ358366</t>
  </si>
  <si>
    <t>1334,8</t>
  </si>
  <si>
    <t>1201-1202-1203-1204-1205-1206-1218-1220-1221-1223-1247-1248-1249-1250-1252-1253-1254-1255-1256</t>
  </si>
  <si>
    <t>ΜΑΙΡΗ</t>
  </si>
  <si>
    <t>ΝΙΚΟΛΑ</t>
  </si>
  <si>
    <t>ΑΚ270793</t>
  </si>
  <si>
    <t>676,5</t>
  </si>
  <si>
    <t>1334,5</t>
  </si>
  <si>
    <t>1267-1248-1253-1206-1249-1255-1247</t>
  </si>
  <si>
    <t>ΜΑΡΤΙΜΙΑΝΑΚΗ</t>
  </si>
  <si>
    <t>ΑΜ954006</t>
  </si>
  <si>
    <t>1334,1</t>
  </si>
  <si>
    <t>1202-1221-1205-1255-1248-1267</t>
  </si>
  <si>
    <t>ΝΤΙΣΛΗ</t>
  </si>
  <si>
    <t>ΑΜ368544</t>
  </si>
  <si>
    <t>1202-1221-1205-1255-1248-1206-1247-1267-1249-1253-1256-1250-1254</t>
  </si>
  <si>
    <t>ΓΙΑΝΝΑΚΟΥ</t>
  </si>
  <si>
    <t>ΠΡΕΣΒΕΙΑ</t>
  </si>
  <si>
    <t>ΑΒ108495</t>
  </si>
  <si>
    <t>820,6</t>
  </si>
  <si>
    <t>1333,6</t>
  </si>
  <si>
    <t>1201-1267-1248-1254-1249-1247-1206-1256-1250-1253-1255-1202-1205</t>
  </si>
  <si>
    <t>ΚΑΜΑΡΗ</t>
  </si>
  <si>
    <t>ΑΑ374568</t>
  </si>
  <si>
    <t>1202-1221-1204-1255-1205</t>
  </si>
  <si>
    <t>ΔΗΝΑΚΗ</t>
  </si>
  <si>
    <t>ΦΙΛΙΠΠΙΑ</t>
  </si>
  <si>
    <t>ΑΒ702405</t>
  </si>
  <si>
    <t>1248-1253-1267-1206-1249-1201-1247-1250-1254-1255-1202-1205</t>
  </si>
  <si>
    <t>ΝΤΑΟΥΝΤΑΚΗ</t>
  </si>
  <si>
    <t>Χ993473</t>
  </si>
  <si>
    <t>1331,9</t>
  </si>
  <si>
    <t>ΝΙΚΟΛΟΥΔΑΚΗ</t>
  </si>
  <si>
    <t>ΑΜ482118</t>
  </si>
  <si>
    <t>1331,6</t>
  </si>
  <si>
    <t>1204-1205-1221-1255</t>
  </si>
  <si>
    <t>ΧΑΣΙΩΤΗ</t>
  </si>
  <si>
    <t>Χ910852</t>
  </si>
  <si>
    <t>851,4</t>
  </si>
  <si>
    <t>1331,4</t>
  </si>
  <si>
    <t>1202-1201-1204-1205-1206-1217-1218-1219-1220-1221-1222-1223-1247-1248-1249-1250-1251-1252-1253-1255-1254-1256</t>
  </si>
  <si>
    <t>ΒΕΡΝΑΔΑΚΗ</t>
  </si>
  <si>
    <t>ΘΕΑΝΩ</t>
  </si>
  <si>
    <t>ΣΟΦΟΚΛΗΣ</t>
  </si>
  <si>
    <t>ΑΖ974929</t>
  </si>
  <si>
    <t>1331,3</t>
  </si>
  <si>
    <t>1255-1248-1249-1250-1252-1253-1254</t>
  </si>
  <si>
    <t>ΜΟΣΧΟΠΟΥΛΟΥ</t>
  </si>
  <si>
    <t>ΑΗ830307</t>
  </si>
  <si>
    <t>1253-1221-1204-1203-1218-1206-1217-1247-1205-1255-1202-1250-1254-1219-1248-1249</t>
  </si>
  <si>
    <t>Παπαδάκη</t>
  </si>
  <si>
    <t xml:space="preserve"> Αρτεμισία</t>
  </si>
  <si>
    <t>Μιχαήλ</t>
  </si>
  <si>
    <t>ΑΖ973279</t>
  </si>
  <si>
    <t>1330,8</t>
  </si>
  <si>
    <t>ΜΑΚΡΗ</t>
  </si>
  <si>
    <t>ΑΑ317734</t>
  </si>
  <si>
    <t>1330,1</t>
  </si>
  <si>
    <t>1201-1202-1205-1206-1217-1219-1221-1222-1247-1248-1249-1250-1251-1253-1254-1255-1256</t>
  </si>
  <si>
    <t>ΚΟΚΟΦΤΟΠΟΥΛΟΥ</t>
  </si>
  <si>
    <t>ΑΙ357016</t>
  </si>
  <si>
    <t>1253-1248-1256-1206-1255-1254-1249-1247-1250</t>
  </si>
  <si>
    <t>ΤΣΟΥΠΟΥ</t>
  </si>
  <si>
    <t>Π500416</t>
  </si>
  <si>
    <t>1219-1267-1248-1220-1253-1206-1256-1222-1252-1201-1203-1249-1223-1254-1250-1217-1247-1218-1251-1204-1205-1255-1202-1221</t>
  </si>
  <si>
    <t>ΨΑΡΡΑ</t>
  </si>
  <si>
    <t>ΑΕ712323</t>
  </si>
  <si>
    <t>1327,9</t>
  </si>
  <si>
    <t>1255-1253-1250-1247-1219</t>
  </si>
  <si>
    <t>ΑΖ339638</t>
  </si>
  <si>
    <t>1248-1267-1206-1203-1253-1249-1201-1204-1221-1218-1223-1254-1247-1250-1205-1255-1202-1256</t>
  </si>
  <si>
    <t>ΖΟΡΖΟΒΙΛΗ</t>
  </si>
  <si>
    <t>ΖΗΝΩΝ</t>
  </si>
  <si>
    <t>Χ392614</t>
  </si>
  <si>
    <t>708,4</t>
  </si>
  <si>
    <t>1326,4</t>
  </si>
  <si>
    <t>1249-1206-1255-1253-1256-1247-1248-1250-1267-1254-1202-1218-1251-1252</t>
  </si>
  <si>
    <t>ΝΑΣΗ</t>
  </si>
  <si>
    <t>ΑΝ479307</t>
  </si>
  <si>
    <t>1326,2</t>
  </si>
  <si>
    <t>1255-1205-1202-1217-1250-1219-1248-1249-1247-1201-1206-1253-1254</t>
  </si>
  <si>
    <t>Ρ299547</t>
  </si>
  <si>
    <t>1254-1247-1248-1267-1250-1253-1201-1249-1206-1256-1255-1202-1205</t>
  </si>
  <si>
    <t>ΚΑΛΛΙΜΑΝΗ</t>
  </si>
  <si>
    <t>ΑΜ851896</t>
  </si>
  <si>
    <t>1325,4</t>
  </si>
  <si>
    <t>1249-1256-1267-1248-1206-1217-1247-1250-1253-1254-1255-1202</t>
  </si>
  <si>
    <t>ΜΑΡΕΝΤΑΚΗ</t>
  </si>
  <si>
    <t>ΑΖ473658</t>
  </si>
  <si>
    <t>1325,3</t>
  </si>
  <si>
    <t>ΑΙ840170</t>
  </si>
  <si>
    <t>666,6</t>
  </si>
  <si>
    <t>1324,6</t>
  </si>
  <si>
    <t>1201-1249-1254-1222-1253-1256-1219-1267-1248-1247-1206-1217-1250-1202-1205-1255</t>
  </si>
  <si>
    <t>ΧΑΛΕΠΟΠΟΥΛΟΥ</t>
  </si>
  <si>
    <t>ΑΝ204332</t>
  </si>
  <si>
    <t>1324,4</t>
  </si>
  <si>
    <t>1218-1249-1206-1253-1255-1254-1250-1248-1256</t>
  </si>
  <si>
    <t>ΜΑΥΡΑΕΙΔΗΣ</t>
  </si>
  <si>
    <t>ΑΑ482298</t>
  </si>
  <si>
    <t>674,3</t>
  </si>
  <si>
    <t>1322,3</t>
  </si>
  <si>
    <t>1247-1254-1250-1248-1255-1221-1219-1218-1217</t>
  </si>
  <si>
    <t>ΑΛΤΑΝΤΣΙΔΟΥ</t>
  </si>
  <si>
    <t>ΑΝ215562</t>
  </si>
  <si>
    <t>1256-1220-1219-1267-1253-1248-1206-1222-1249-1203-1252-1254-1247-1218-1255-1204-1205-1221-1202-1217-1223</t>
  </si>
  <si>
    <t>ΝΟΥΒΑΚΟΥΔΗ</t>
  </si>
  <si>
    <t>Ρ895492</t>
  </si>
  <si>
    <t>1253-1254-1249-1247-1250-1206-1248-1255-1205-1202</t>
  </si>
  <si>
    <t>ΑΛΕΞΟΠΟΥΛΟΥ</t>
  </si>
  <si>
    <t>Ξ982113</t>
  </si>
  <si>
    <t>1250-1249-1248-1253-1247-1254-1206-1205-1255-1202-1201</t>
  </si>
  <si>
    <t>ΑΠΟΣΤΟΛΟΠΟΥΛΟΥ</t>
  </si>
  <si>
    <t>ΑΒ783807</t>
  </si>
  <si>
    <t>1201-1202-1203-1204-1205-1206-1218-1221-1247-1248-1249-1250-1253-1254-1255</t>
  </si>
  <si>
    <t>ΓΚΙΡΤΣΟΥ</t>
  </si>
  <si>
    <t>ΑΕ689118</t>
  </si>
  <si>
    <t>1267-1248-1203-1222-1206-1201-1202-1205-1218-1221-1247-1249-1250-1253-1254-1255</t>
  </si>
  <si>
    <t>ΝΤΑΦΟΥ</t>
  </si>
  <si>
    <t>ΒΑΙΑ</t>
  </si>
  <si>
    <t>ΑΙ294789</t>
  </si>
  <si>
    <t>1201-1253-1254-1206-1247-1249-1250-1267-1248-1255-1205-1221-1202-1256</t>
  </si>
  <si>
    <t>ΤΣΙΟΤΣΙΑΣ</t>
  </si>
  <si>
    <t>ΑΖ293397</t>
  </si>
  <si>
    <t>1321,7</t>
  </si>
  <si>
    <t>1249-1222-1247-1248-1206-1253-1256-1250-1254-1255-1267</t>
  </si>
  <si>
    <t>ΜΑΥΡΑΚΗ</t>
  </si>
  <si>
    <t>ΑΥΓΕΡΙΝΟΣ</t>
  </si>
  <si>
    <t>ΑΕ277380</t>
  </si>
  <si>
    <t>1320,6</t>
  </si>
  <si>
    <t>1206-1247-1255-1267-1254-1253-1250-1248-1249</t>
  </si>
  <si>
    <t>ΦΤΑΚΑΣ</t>
  </si>
  <si>
    <t>ΑΜ851010</t>
  </si>
  <si>
    <t>1249-1253-1206-1205-1255-1254-1247-1248-1267-1250</t>
  </si>
  <si>
    <t xml:space="preserve">DE MARINIS </t>
  </si>
  <si>
    <t>ROLANDO</t>
  </si>
  <si>
    <t>RICARDO</t>
  </si>
  <si>
    <t>1319,8</t>
  </si>
  <si>
    <t>1201-1202-1203-1204-1205-1206-1218-1221-1222-1223-1247-1248-1249-1250-1253-1254-1255-1256-1267</t>
  </si>
  <si>
    <t>ΒΑΘΗΣ</t>
  </si>
  <si>
    <t>ΑΜ492091</t>
  </si>
  <si>
    <t>1247-1201-1205-1204-1206-1221-1248-1249-1250-1253-1254-1255</t>
  </si>
  <si>
    <t>ΦΟΥΛΙΡΑ</t>
  </si>
  <si>
    <t>ΔΑΜΙΑΝΟΥΛΑ</t>
  </si>
  <si>
    <t>ΑΙ333459</t>
  </si>
  <si>
    <t>1318,2</t>
  </si>
  <si>
    <t>1205-1255-1221-1206-1249-1256-1253-1248-1201-1247-1202-1254-1250</t>
  </si>
  <si>
    <t>ΜΗΓΓΟΥ</t>
  </si>
  <si>
    <t>ΧΡΙΣΤΟΦΟΡΟΣ</t>
  </si>
  <si>
    <t>Ξ647923</t>
  </si>
  <si>
    <t>1317,8</t>
  </si>
  <si>
    <t>1219-1249-1206-1253-1254-1256-1248-1217-1201-1202-1205-1250-1251-1255-1247</t>
  </si>
  <si>
    <t>ΓΕΩΡΓΙΟΥ</t>
  </si>
  <si>
    <t>ΑΙ880337</t>
  </si>
  <si>
    <t>1317,6</t>
  </si>
  <si>
    <t>1249-1256-1253-1248-1206-1222-1201-1254-1255-1204-1205-1223-1221-1247-1250-1202</t>
  </si>
  <si>
    <t>ΦΡΑΤΖΕΖΟΥ</t>
  </si>
  <si>
    <t>ΑΜ838259</t>
  </si>
  <si>
    <t>1317,1</t>
  </si>
  <si>
    <t>1201-1254-1247-1217-1250-1267-1255-1202-1206-1253-1248</t>
  </si>
  <si>
    <t>ΑΜ877669</t>
  </si>
  <si>
    <t>1253-1256-1249-1219-1267-1248-1220-1222-1201-1252-1203-1206-1223-1247-1254-1218-1250-1217-1255-1205-1204-1221-1202-1251</t>
  </si>
  <si>
    <t>ΑΗ475484</t>
  </si>
  <si>
    <t>1202-1203-1204-1205-1206-1217-1218-1219-1221-1247-1248-1249-1250-1253-1254-1255-1201-1267</t>
  </si>
  <si>
    <t>ΧΑΤΖΗ</t>
  </si>
  <si>
    <t>Χ487526</t>
  </si>
  <si>
    <t>1316,7</t>
  </si>
  <si>
    <t>1248-1219-1249-1256-1222-1253-1220-1206-1203-1217-1247-1254-1252-1250-1223-1204-1205-1255-1221-1202-1251-1218</t>
  </si>
  <si>
    <t>ΝΤΖΙΑΔΗΜΑ</t>
  </si>
  <si>
    <t>ΑΜ030121</t>
  </si>
  <si>
    <t>1316,5</t>
  </si>
  <si>
    <t>1202-1204-1205-1221-1255</t>
  </si>
  <si>
    <t>ΖΟΥΡΙΔΟΥ</t>
  </si>
  <si>
    <t>Σ996100</t>
  </si>
  <si>
    <t>ΜΕΓΑΠΑΝΟΣ</t>
  </si>
  <si>
    <t>ΑΕ282600</t>
  </si>
  <si>
    <t>1315,6</t>
  </si>
  <si>
    <t>1201-1202-1203-1204-1205-1206-1217-1218-1219-1247-1248-1249-1250-1252-1253-1254-1255-1267</t>
  </si>
  <si>
    <t>ΚΑΦΑΣΗ</t>
  </si>
  <si>
    <t>Τ372666</t>
  </si>
  <si>
    <t>1315,4</t>
  </si>
  <si>
    <t>1249-1253-1248-1206-1254-1247-1250-1255-1202</t>
  </si>
  <si>
    <t>ΠΕΤΡΟΠΟΥΛΟΥ</t>
  </si>
  <si>
    <t>ΑΗ203514</t>
  </si>
  <si>
    <t>1314,1</t>
  </si>
  <si>
    <t>1219-1248-1202-1205-1206-1247-1255-1204-1217-1221-1250-1218-1254-1267-1203-1220-1222-1223-1249-1251</t>
  </si>
  <si>
    <t>ΓΙΑΝΝΑΚΟΠΟΥΛΟΥ</t>
  </si>
  <si>
    <t>ΒΑΣΙΛΕΙΟ</t>
  </si>
  <si>
    <t>Ν479004</t>
  </si>
  <si>
    <t>1250-1247-1255-1254-1253-1248-1249</t>
  </si>
  <si>
    <t>ΤΡΙΑΝΤΑΦΥΛΛΟΥ</t>
  </si>
  <si>
    <t>Ρ475982</t>
  </si>
  <si>
    <t>1218-1247-1248-1206-1249-1250-1253-1254-1255-1267</t>
  </si>
  <si>
    <t>ΜΠΑΛΛΑΣΗΣ</t>
  </si>
  <si>
    <t>ΑΚ122233</t>
  </si>
  <si>
    <t>1313,2</t>
  </si>
  <si>
    <t>1252-1204-1221-1218-1202-1205-1220-1255-1250-1249-1253-1254-1247-1248-1201-1203-1206-1267-1222-1223</t>
  </si>
  <si>
    <t>ΑΓΑΠΙΟΣ</t>
  </si>
  <si>
    <t>ΑΖ300353</t>
  </si>
  <si>
    <t>1206-1247-1248-1249-1250-1251-1252-1253-1255-1254-1256</t>
  </si>
  <si>
    <t>ΚΑΒΟΥΡΑΣ</t>
  </si>
  <si>
    <t>ΑΜ931964</t>
  </si>
  <si>
    <t>1311,3</t>
  </si>
  <si>
    <t>1251-1219-1217-1202-1205-1248-1206-1247-1250-1254-1255-1253-1249-1256</t>
  </si>
  <si>
    <t>ΜΠΑΡΜΠΟΥΝΗ</t>
  </si>
  <si>
    <t>Σ981806</t>
  </si>
  <si>
    <t>1311,2</t>
  </si>
  <si>
    <t>1217-1254-1201-1247-1256-1253-1206-1255-1205-1202-1251-1248-1249</t>
  </si>
  <si>
    <t>ΠΑΠΑΔΗΜΑ</t>
  </si>
  <si>
    <t>ΑΙ884145</t>
  </si>
  <si>
    <t>1203-1206-1253-1248-1267-1247-1201-1255-1221-1202-1205-1250-1218-1249-1254</t>
  </si>
  <si>
    <t>ΛΑΜΠΡΑΚΗ</t>
  </si>
  <si>
    <t>ΑΙ299021</t>
  </si>
  <si>
    <t>1201-1252-1254-1248-1267-1247-1249-1206-1253-1250-1255</t>
  </si>
  <si>
    <t>ΑΣΛΑΝΙΔΗΣ</t>
  </si>
  <si>
    <t>Χ916406</t>
  </si>
  <si>
    <t>1221-1205-1204-1255-1202-1250-1247-1254-1203-1218-1248-1267-1206-1253-1201-1249</t>
  </si>
  <si>
    <t>ΣΚΥΛΛΑ</t>
  </si>
  <si>
    <t>ΑΗ287020</t>
  </si>
  <si>
    <t>1254-1248-1247-1206-1253-1250-1249-1205-1204-1202-1255-1221-1201-1218-1223-1222-1256</t>
  </si>
  <si>
    <t>ΤΣΕΡΚΕΖΗ</t>
  </si>
  <si>
    <t>Ρ724058</t>
  </si>
  <si>
    <t>1248-1253-1206-1249-1203-1201-1252-1202-1204-1205-1218-1221-1247-1250-1254-1255-1222-1220-1223-1251</t>
  </si>
  <si>
    <t>ΠΑΡΔΑΛΗ</t>
  </si>
  <si>
    <t>Χ368734</t>
  </si>
  <si>
    <t>1254-1247-1248-1267-1206-1201-1253-1249-1250-1255-1202</t>
  </si>
  <si>
    <t>ΚΟΤΡΩΝΗ</t>
  </si>
  <si>
    <t>ΑΖ496375</t>
  </si>
  <si>
    <t>1310,8</t>
  </si>
  <si>
    <t>1217-1254-1201-1202-1205-1206-1219-1247-1248-1249-1250-1253-1255-1267-1251-1256</t>
  </si>
  <si>
    <t>ΑΛΕΙΦΕΡΗ</t>
  </si>
  <si>
    <t>ΣΤΑΜΑΤΙΚΗ</t>
  </si>
  <si>
    <t>ΑΗ235799</t>
  </si>
  <si>
    <t>1310,3</t>
  </si>
  <si>
    <t>1250-1247-1254-1255-1248-1267-1253-1256-1249-1206</t>
  </si>
  <si>
    <t>ΤΡΙΚΚΑΣ</t>
  </si>
  <si>
    <t>ΑΜ477924</t>
  </si>
  <si>
    <t>1309,6</t>
  </si>
  <si>
    <t>ΒΑΣΙΛΟΠΟΥΛΟΥ</t>
  </si>
  <si>
    <t>ΑΚ532437</t>
  </si>
  <si>
    <t>1309,3</t>
  </si>
  <si>
    <t>1205-1255-1217-1247-1250</t>
  </si>
  <si>
    <t>ΣΤΡΑΚΑΛΗ</t>
  </si>
  <si>
    <t>Χ391573</t>
  </si>
  <si>
    <t>1249-1253-1248-1267-1254-1201-1202-1206-1255-1247-1250-1252-1221-1219-1217-1205-1251-1256-1223-1222-1218-1203-1204-1220</t>
  </si>
  <si>
    <t>ΚΑΡΑΜΠΟΥΤΗ</t>
  </si>
  <si>
    <t>Χ928737</t>
  </si>
  <si>
    <t>1202-1206-1217-1219-1247-1248-1249-1250-1251-1253-1254-1255-1256</t>
  </si>
  <si>
    <t>ΚΑΡΑΚΩΤΤΑ</t>
  </si>
  <si>
    <t>ΑΖ823661</t>
  </si>
  <si>
    <t>1253-1267-1205-1255-1202-1206</t>
  </si>
  <si>
    <t>ΤΕΡΕΖΙΟΥ</t>
  </si>
  <si>
    <t>ΕΛΙΑΝΑ</t>
  </si>
  <si>
    <t>ΝΤΙΛΑΒΕΡ</t>
  </si>
  <si>
    <t>ΑΜ859462</t>
  </si>
  <si>
    <t>1307,9</t>
  </si>
  <si>
    <t>1248-1249-1219-1206-1203-1253-1256-1201-1202-1221-1223-1247-1204-1205-1250-1251-1254-1255-1217-1218</t>
  </si>
  <si>
    <t>ΚΟΛΟΒΟΣ</t>
  </si>
  <si>
    <t>ΑΒ994600</t>
  </si>
  <si>
    <t>689,7</t>
  </si>
  <si>
    <t>1307,7</t>
  </si>
  <si>
    <t>1203-1205-1206-1218-1219-1221-1223-1247-1248-1250-1253-1254-1255-1267</t>
  </si>
  <si>
    <t>ΜΠΙΣΤΙΤΖΙΑΝΟΥ</t>
  </si>
  <si>
    <t>ΑΓΛΑΙΑ</t>
  </si>
  <si>
    <t>ΑΕ243963</t>
  </si>
  <si>
    <t>1254-1253-1249-1250-1255-1247-1248-1206-1205-1202-1201</t>
  </si>
  <si>
    <t>ΜΑΚΕΔΩΝ</t>
  </si>
  <si>
    <t>Π353450</t>
  </si>
  <si>
    <t>1306,8</t>
  </si>
  <si>
    <t>1247-1267-1248-1250-1254-1253-1256-1222-1249-1206-1201-1205-1255-1202-1219-1217-1203-1220-1252-1218-1204-1221-1223-1251</t>
  </si>
  <si>
    <t>ΤΡΥΦΩΝΟΠΟΥΛΟΥ</t>
  </si>
  <si>
    <t>Χ894916</t>
  </si>
  <si>
    <t>1306,6</t>
  </si>
  <si>
    <t>1203-1204-1205-1206-1202-1217-1218-1219-1220-1221-1222-1223-1247-1248-1249-1250-1251-1252-1253-1254-1255</t>
  </si>
  <si>
    <t>ΡΙΓΑΛΙΔΗ</t>
  </si>
  <si>
    <t>ΑΜ366517</t>
  </si>
  <si>
    <t>1306,1</t>
  </si>
  <si>
    <t>1203-1201-1267-1254-1249-1248-1253-1256-1222-1247-1223-1250-1218-1206-1204-1205-1255-1202-1221</t>
  </si>
  <si>
    <t>ΚΑΓΙΑΔΑΚΗ</t>
  </si>
  <si>
    <t>ΡΕΑ</t>
  </si>
  <si>
    <t>ΑΜ975271</t>
  </si>
  <si>
    <t>920,7</t>
  </si>
  <si>
    <t>1305,7</t>
  </si>
  <si>
    <t>ΚΟΥΚΟΥΡΑΚΗ</t>
  </si>
  <si>
    <t>ΧΡΥΣΟΒΑΛΑΝΤΗ-ΑΓΓΕΛΙΚΗ</t>
  </si>
  <si>
    <t>Τ490819</t>
  </si>
  <si>
    <t>1304,3</t>
  </si>
  <si>
    <t>1221-1218-1204-1205-1203-1255-1254-1202-1201-1206-1248-1247-1253-1249-1250-1267</t>
  </si>
  <si>
    <t>ΓΚΑΒΑΛΙΑΓΚΑ</t>
  </si>
  <si>
    <t>ΑΜ431153</t>
  </si>
  <si>
    <t>1222-1267-1206-1248-1249-1253-1218-1247-1254-1255-1256</t>
  </si>
  <si>
    <t>ΤΖΕΓΚΑΣ</t>
  </si>
  <si>
    <t>ΑΛΚΙΒΙΑΔΗΣ</t>
  </si>
  <si>
    <t>ΑΚ975610</t>
  </si>
  <si>
    <t>1206-1218-1247-1248-1249-1250-1253-1254-1255-1256-1267</t>
  </si>
  <si>
    <t>ΚΑΝΤΗΛΙΕΡΑΚΗ</t>
  </si>
  <si>
    <t>Σ993671</t>
  </si>
  <si>
    <t>849,2</t>
  </si>
  <si>
    <t>1302,2</t>
  </si>
  <si>
    <t>1255-1227-1205-1204</t>
  </si>
  <si>
    <t>ΧΑΡΙΣΗ</t>
  </si>
  <si>
    <t>ΘΕΟΦΑΝΗΣ</t>
  </si>
  <si>
    <t>Ρ332266</t>
  </si>
  <si>
    <t>684,2</t>
  </si>
  <si>
    <t>1247-1250-1255-1204-1202</t>
  </si>
  <si>
    <t>ΓΚΑΝΤΖΩΡΑΣ</t>
  </si>
  <si>
    <t>Χ656236</t>
  </si>
  <si>
    <t>1247-1250-1254-1201-1253-1206-1249-1255-1205-1202-1267-1248</t>
  </si>
  <si>
    <t>ΠΕΔΙΑΔΙΤΑΚΗ</t>
  </si>
  <si>
    <t>ΑΖ970715</t>
  </si>
  <si>
    <t>1301,9</t>
  </si>
  <si>
    <t>1221-1255</t>
  </si>
  <si>
    <t>ΜΑΚΡΑΚΗ</t>
  </si>
  <si>
    <t>ΑΡΜΟΔΙΟΣ</t>
  </si>
  <si>
    <t>ΑΑ443441</t>
  </si>
  <si>
    <t>1301,1</t>
  </si>
  <si>
    <t>1202-1201-1205-1247-1255-1254-1253-1206-1249-1250-1248-1267-1256</t>
  </si>
  <si>
    <t>ΓΑΣΤΕΡΑΤΟΥ</t>
  </si>
  <si>
    <t>ΑΗ719218</t>
  </si>
  <si>
    <t>1300,4</t>
  </si>
  <si>
    <t>1218-1219-1248-1267-1204-1205-1255-1221-1202-1201-1252-1254-1217-1250-1247-1203-1223-1251-1249-1206-1253-1256-1222-1220</t>
  </si>
  <si>
    <t>ΠΟΥΝΤΖΟΥΚΙΔΟΥ</t>
  </si>
  <si>
    <t>ΑΜ899545</t>
  </si>
  <si>
    <t>1220-1248-1206-1221-1252-1201-1202-1253-1249-1247-1254-1255</t>
  </si>
  <si>
    <t>ΓΑΛΑΝΗ</t>
  </si>
  <si>
    <t>ΑΕ987864</t>
  </si>
  <si>
    <t>1247-1202-1205-1248-1250-1255-1254-1253-1249</t>
  </si>
  <si>
    <t>ΑΗ094347</t>
  </si>
  <si>
    <t>1251-1201-1247-1206-1250-1249-1253-1255-1205</t>
  </si>
  <si>
    <t>ΜΠΑΛΛΑ</t>
  </si>
  <si>
    <t>ΧΑΡΑ</t>
  </si>
  <si>
    <t>ΑΚ021818</t>
  </si>
  <si>
    <t>1299,7</t>
  </si>
  <si>
    <t>1217-1250-1220-1204-1205-1255-1203-1206-1267-1218-1221-1247-1248-1249-1252-1253-1254</t>
  </si>
  <si>
    <t>ΖΟΥΡΛΑΔΑΝΗ</t>
  </si>
  <si>
    <t>Χ909368</t>
  </si>
  <si>
    <t>1201-1252-1249-1220-1219-1248-1222-1206-1247-1218-1254-1253-1217-1250-1256-1205-1255-1202-1204-1223</t>
  </si>
  <si>
    <t>ΤΣΑΛΙΔΟΥ</t>
  </si>
  <si>
    <t>ΑΖ788756</t>
  </si>
  <si>
    <t>1299,4</t>
  </si>
  <si>
    <t>1254-1249-1252-1201-1248-1219-1267-1253-1206-1217-1250-1218-1205-1255-1202-1247-1203-1204-1221</t>
  </si>
  <si>
    <t>ΑΓΓΕΛΗ</t>
  </si>
  <si>
    <t>ΑΖ254444</t>
  </si>
  <si>
    <t>680,9</t>
  </si>
  <si>
    <t>1298,9</t>
  </si>
  <si>
    <t>1202-1203-1206-1247-1250-1253-1254-1267-1255-1248-1223</t>
  </si>
  <si>
    <t>ΑΝΔΡΕΔΑΚΗ</t>
  </si>
  <si>
    <t>ΑΜ474705</t>
  </si>
  <si>
    <t>1221-1255-1205-1204-1202-1248-1267-1206-1250-1247-1253-1203-1218-1249-1254-1252</t>
  </si>
  <si>
    <t>ΡΑΠΑΝΟΥ</t>
  </si>
  <si>
    <t>ΑΕ232089</t>
  </si>
  <si>
    <t>1218-1250-1247-1201-1203-1254-1253-1267-1248-1249-1256-1206-1222-1223-1205-1204-1202-1221-1255</t>
  </si>
  <si>
    <t>ΤΟΠΑΝΤΖΑ</t>
  </si>
  <si>
    <t>ΓΙΟΝΙΑΝΤΑ</t>
  </si>
  <si>
    <t>ΗΛΙΑ</t>
  </si>
  <si>
    <t>ΑΝ339340</t>
  </si>
  <si>
    <t>1298,1</t>
  </si>
  <si>
    <t>1248-1223-1201-1254-1267-1253-1250-1249-1206-1222-1247-1218-1256-1255-1205-1202-1221</t>
  </si>
  <si>
    <t>ΠΛΙΑΤΣΙΚΑ</t>
  </si>
  <si>
    <t>ΑΕ373665</t>
  </si>
  <si>
    <t>1297,8</t>
  </si>
  <si>
    <t>1222-1206-1248-1255-1202-1249-1253-1254-1250-1201-1247-1204-1203-1218-1221</t>
  </si>
  <si>
    <t>ΚΛΑΨΙΝΟΥ</t>
  </si>
  <si>
    <t>ΑΕ474502</t>
  </si>
  <si>
    <t>709,5</t>
  </si>
  <si>
    <t>1297,5</t>
  </si>
  <si>
    <t>ΚΑΛΑΙΤΖΑΚΗ</t>
  </si>
  <si>
    <t>ΑΝΝΑ ΜΑΡΙΑ</t>
  </si>
  <si>
    <t>Σ992299</t>
  </si>
  <si>
    <t>1221-1205-1255-1202-1217-1250-1222-1206-1219-1253-1254-1252-1247-1248-1251-1249-1256-1220-1267</t>
  </si>
  <si>
    <t>ΒΕΡΕΝΤΖΙΩΤΗ</t>
  </si>
  <si>
    <t>ΑΧΙΛΛΕΥΣ</t>
  </si>
  <si>
    <t>ΑΗ290549</t>
  </si>
  <si>
    <t>1249-1253-1256-1267-1248-1203-1201-1206-1222-1254-1218-1223-1247-1204-1205-1255-1202-1221-1250</t>
  </si>
  <si>
    <t>ΠΑΠΠΑ</t>
  </si>
  <si>
    <t>Π851224</t>
  </si>
  <si>
    <t>1221-1205-1255-1206-1202-1201-1248-1249-1250-1253-1254-1247</t>
  </si>
  <si>
    <t>ΤΑΣΙΟΠΟΥΛΟΥ</t>
  </si>
  <si>
    <t>Τ354361</t>
  </si>
  <si>
    <t>1296,4</t>
  </si>
  <si>
    <t>1252-1254-1250-1247-1248-1255</t>
  </si>
  <si>
    <t>ΜΠΛΟΣΚΑ</t>
  </si>
  <si>
    <t>Ρ858840</t>
  </si>
  <si>
    <t>1249-1248-1206-1253-1254-1250-1247-1255</t>
  </si>
  <si>
    <t>ΑΡΒΑΝΙΤΗ</t>
  </si>
  <si>
    <t>ΑΗ973758</t>
  </si>
  <si>
    <t>1255-1248-1206-1267-1250-1253-1254-1247</t>
  </si>
  <si>
    <t>ΠΑΤΡΑΛΕΞΗ</t>
  </si>
  <si>
    <t>ΑΑ410400</t>
  </si>
  <si>
    <t>1296,1</t>
  </si>
  <si>
    <t>ΦΛΙΑΚΟΣ</t>
  </si>
  <si>
    <t>ΑΑ018634</t>
  </si>
  <si>
    <t>889,9</t>
  </si>
  <si>
    <t>1295,9</t>
  </si>
  <si>
    <t>1250-1217-1247-1206-1219-1248-1267-1251-1254-1253-1204-1205-1202-1218-1220-1222-1249-1252-1255-1256-1201</t>
  </si>
  <si>
    <t>ΠΟΛΥΖΩΓΟΠΟΥΛΟΥ</t>
  </si>
  <si>
    <t>ΚΩΣΤΑΝΤΙΝΟΣ</t>
  </si>
  <si>
    <t>ΑΗ409472</t>
  </si>
  <si>
    <t>678,7</t>
  </si>
  <si>
    <t>1295,7</t>
  </si>
  <si>
    <t>1219-1217-1205-1201-1202-1206-1250-1255-1253-1254-1248-1247-1249-1256-1251</t>
  </si>
  <si>
    <t>ΣΚΟΥΛΟΥΦΙΑΝΑΚΗ</t>
  </si>
  <si>
    <t>ΑΙΚΑΤΕΡΘΝΗ</t>
  </si>
  <si>
    <t>ΑΖ469872</t>
  </si>
  <si>
    <t>ΓΕΩΡΓΑΛΑ</t>
  </si>
  <si>
    <t>ΣΤΕΦΑΝΙΑ</t>
  </si>
  <si>
    <t>ΑΙ362426</t>
  </si>
  <si>
    <t>1294,5</t>
  </si>
  <si>
    <t>1204-1205-1206-1217-1218-1219-1220-1221-1222-1223-1247-1248-1249-1250-1251-1252-1253-1254-1255-1256</t>
  </si>
  <si>
    <t>ΠΑΝΚΟΥ</t>
  </si>
  <si>
    <t>ΑΑ962011</t>
  </si>
  <si>
    <t>882,2</t>
  </si>
  <si>
    <t>1294,2</t>
  </si>
  <si>
    <t>1222-1206-1248-1249-1247-1250-1254-1253-1201-1255-1202-1205</t>
  </si>
  <si>
    <t>ΒΑΣΙΛΙΚΗ ΙΩΑΝΝΑ</t>
  </si>
  <si>
    <t>ΑΜ477743</t>
  </si>
  <si>
    <t>1293,2</t>
  </si>
  <si>
    <t>1204-1255-1205-1221-1247-1250-1202-1203-1217-1267-1249-1251-1253-1254-1256-1222-1223-1218-1219-1220-1201-1248-1206</t>
  </si>
  <si>
    <t>Ατματζίδου</t>
  </si>
  <si>
    <t>Δήμητρα</t>
  </si>
  <si>
    <t>Νικόλαος</t>
  </si>
  <si>
    <t>ΑΑ976184</t>
  </si>
  <si>
    <t>1205-1255-1221-1254</t>
  </si>
  <si>
    <t>ΚΙΟΥΤΟΥΚΙΔΟΥ</t>
  </si>
  <si>
    <t>ΑΝΔΡΙΑΝΝΑ</t>
  </si>
  <si>
    <t>ΑΒ156686</t>
  </si>
  <si>
    <t>1219-1267-1248-1206-1202-1253-1255-1205-1247-1252-1201-1249-1254-1217-1250-1218</t>
  </si>
  <si>
    <t>ΧΑΜΟΥΡΤΖΙΑΔΟΥ</t>
  </si>
  <si>
    <t>ΑΝΤΙΓΟΝΗ</t>
  </si>
  <si>
    <t>ΑΗ689016</t>
  </si>
  <si>
    <t>1248-1267-1256-1253-1206-1249-1254-1247-1250-1255</t>
  </si>
  <si>
    <t>ΚΕΧΑΓΙΑΣ</t>
  </si>
  <si>
    <t>Χ888421</t>
  </si>
  <si>
    <t>1291,5</t>
  </si>
  <si>
    <t>1220-1219-1248-1253-1206-1249-1222-1252-1203-1247-1254-1255-1221-1223-1267</t>
  </si>
  <si>
    <t>ΤΣΙΦΤΣΙΑΝ</t>
  </si>
  <si>
    <t>ΑΜ235068</t>
  </si>
  <si>
    <t>1291,3</t>
  </si>
  <si>
    <t>1267-1248-1249-1253-1206-1250-1247-1254-1201-1255-1205-1202</t>
  </si>
  <si>
    <t>ΚΑΤΣΑΜΠΑΛΟΥ</t>
  </si>
  <si>
    <t>ΑΒ772952</t>
  </si>
  <si>
    <t>1217-1201-1250-1254-1253-1255-1249-1247-1248-1206-1219-1256-1251</t>
  </si>
  <si>
    <t>ΓΑΡΟΥΦΑΛΗ</t>
  </si>
  <si>
    <t>ΑΕ638250</t>
  </si>
  <si>
    <t>644,6</t>
  </si>
  <si>
    <t>1290,6</t>
  </si>
  <si>
    <t>1247-1250-1255</t>
  </si>
  <si>
    <t>ΚΑΖΑΚΟΥ</t>
  </si>
  <si>
    <t>Χ835035</t>
  </si>
  <si>
    <t>1289,8</t>
  </si>
  <si>
    <t>1218-1249-1248-1267-1247-1254-1255-1253-1206-1250-1256-1220-1222-1201-1202-1203-1204-1205-1221-1223-1219-1217-1251-1252</t>
  </si>
  <si>
    <t>ΛΥΚΟΥΔΗ</t>
  </si>
  <si>
    <t>ΑΖ047984</t>
  </si>
  <si>
    <t>1289,3</t>
  </si>
  <si>
    <t>1247-1250-1249-1254-1255-1267-1248-1206-1253</t>
  </si>
  <si>
    <t>ΑΝΑΣΤΑΣΙΑΔΟΥ</t>
  </si>
  <si>
    <t>ΝΙΚΟΛΕΤΑ</t>
  </si>
  <si>
    <t>ΑΒ690944</t>
  </si>
  <si>
    <t>1248-1249-1253-1201-1206-1205-1221-1218-1247-1250-1254-1255-1267</t>
  </si>
  <si>
    <t>ΓΙΑΝΝΟΥΛΗΣ</t>
  </si>
  <si>
    <t>ΑΕ987242</t>
  </si>
  <si>
    <t>1247-1250-1254-1201-1248-1267-1253-1249-1206-1255-1205-1202</t>
  </si>
  <si>
    <t>ΝΕΟΧΩΡΛΗΣ</t>
  </si>
  <si>
    <t>ΧΡΥΣΟΒΑΛΑΝΤΗΣ</t>
  </si>
  <si>
    <t>ΑΖ145776</t>
  </si>
  <si>
    <t>1288,4</t>
  </si>
  <si>
    <t>1267-1253-1248-1206-1255-1222-1256-1220-1252-1249-1250-1247-1218</t>
  </si>
  <si>
    <t>ΑΜ417361</t>
  </si>
  <si>
    <t>1253-1249-1254-1219-1221-1217-1206-1205-1202-1247-1248-1250-1255-1256-1251</t>
  </si>
  <si>
    <t>ΠΡΩΤΟΓΕΡΑΚΗ</t>
  </si>
  <si>
    <t>ΑΖ964119</t>
  </si>
  <si>
    <t>1255-1248-1250-1247-1249</t>
  </si>
  <si>
    <t>ΠΑΝΑΓΑΚΗ</t>
  </si>
  <si>
    <t>ΑΙ121111</t>
  </si>
  <si>
    <t>668,8</t>
  </si>
  <si>
    <t>1286,8</t>
  </si>
  <si>
    <t>1201-1202-1206-1217-1247-1248-1249-1250-1253-1254-1255-1256-1203-1267</t>
  </si>
  <si>
    <t>ΤΣΕΛΙΟΥ</t>
  </si>
  <si>
    <t>ΜΕΡΟΠΗ</t>
  </si>
  <si>
    <t>ΑΒ723774</t>
  </si>
  <si>
    <t>1286,5</t>
  </si>
  <si>
    <t>1253-1249-1248-1206-1247-1250-1255</t>
  </si>
  <si>
    <t>Σ447821</t>
  </si>
  <si>
    <t>667,7</t>
  </si>
  <si>
    <t>1285,7</t>
  </si>
  <si>
    <t>1250-1218-1254-1247-1248-1253-1255-1204-1221-1202-1201-1222-1206-1223-1249-1256</t>
  </si>
  <si>
    <t>ΛΕΙΒΑΔΙΤΟΥ</t>
  </si>
  <si>
    <t>ΚΩΝΣΤΑΝΤΙΝΙΑ</t>
  </si>
  <si>
    <t>ΑΕ883492</t>
  </si>
  <si>
    <t>1285,4</t>
  </si>
  <si>
    <t>1206-1219-1220-1255</t>
  </si>
  <si>
    <t>ΣΑΜΑΤΑ</t>
  </si>
  <si>
    <t>ΑΙΚΑΤΕΡΙΝΑ</t>
  </si>
  <si>
    <t>ΑΒ651691</t>
  </si>
  <si>
    <t>1283,9</t>
  </si>
  <si>
    <t>1205-1247-1248-1255-1206-1202-1250-1254-1249-1253</t>
  </si>
  <si>
    <t>ΜΑΓΝΗΣΑΛΗ</t>
  </si>
  <si>
    <t>ΘΕΟΦΑΝΙΑ</t>
  </si>
  <si>
    <t>ΑΙ159852</t>
  </si>
  <si>
    <t>1282,7</t>
  </si>
  <si>
    <t>1267-1248-1253-1249-1206-1201-1255-1250-1247-1202-1254-1256-1203</t>
  </si>
  <si>
    <t>ΚΟΥΤΡΟΥΛΟΥ</t>
  </si>
  <si>
    <t>ΑΒ135769</t>
  </si>
  <si>
    <t>1206-1203-1219-1205-1255-1248-1221-1222-1223-1252-1250</t>
  </si>
  <si>
    <t>ΚΑΛΥΒΑ</t>
  </si>
  <si>
    <t>ΤΡΙΑΝΤΑΦΥΛΛΟΣ</t>
  </si>
  <si>
    <t>ΑΙ750363</t>
  </si>
  <si>
    <t>1281,3</t>
  </si>
  <si>
    <t>1202-1204-1206-1218-1221-1247-1248-1249-1250-1253-1254-1255-1203-1267</t>
  </si>
  <si>
    <t>ΤΖΑΒΙΔΑ</t>
  </si>
  <si>
    <t>Σ461004</t>
  </si>
  <si>
    <t>1248-1249-1253-1254-1206-1247-1250-1255</t>
  </si>
  <si>
    <t>ΓΚΑΝΤΙΤΖΙΚΙΔΗΣ</t>
  </si>
  <si>
    <t>ΑΑ260909</t>
  </si>
  <si>
    <t>1203-1202-1204-1205-1206-1217-1218-1219-1247-1220-1221-1222-1223-1248-1249-1251-1250-1252-1253-1254-1255-1256-1267</t>
  </si>
  <si>
    <t>ΚΑΛΛΙΑΚΜΑΝΗΣ</t>
  </si>
  <si>
    <t>Σ784564</t>
  </si>
  <si>
    <t>1250-1247-1248-1206-1254-1253-1249-1255</t>
  </si>
  <si>
    <t>ΡΙΣΒΑΣ</t>
  </si>
  <si>
    <t>Χ781977</t>
  </si>
  <si>
    <t>1279,1</t>
  </si>
  <si>
    <t>1218-1253-1222-1249-1248-1217-1254-1251-1250-1202-1220-1256-1221-1223-1203-1252-1247-1255-1267-1206-1204-1205</t>
  </si>
  <si>
    <t>ΔΗΜΟΥ</t>
  </si>
  <si>
    <t>ΑΗ681884</t>
  </si>
  <si>
    <t>1222-1267-1248-1206-1253-1254-1249-1247-1250-1255-1221-1205</t>
  </si>
  <si>
    <t>ΒΑΛΣΑΜΑΚΗΣ</t>
  </si>
  <si>
    <t>ΑΜ651919</t>
  </si>
  <si>
    <t>1267-1248-1206-1255-1252</t>
  </si>
  <si>
    <t>ΑΗ467839</t>
  </si>
  <si>
    <t>1275,8</t>
  </si>
  <si>
    <t>ΜΑΓΓΙΝΑΣ</t>
  </si>
  <si>
    <t>ΦΑΝΟΥΡΙΟΣ ΒΑΣΙΛΕΙΟΣ</t>
  </si>
  <si>
    <t>Φ351590</t>
  </si>
  <si>
    <t>1275,3</t>
  </si>
  <si>
    <t>1250-1247-1254-1248-1249-1253-1255-1206-1256</t>
  </si>
  <si>
    <t>ΤΣΙΜΠΟΓΙΑΝΝΗΣ</t>
  </si>
  <si>
    <t>ΑΑ035272</t>
  </si>
  <si>
    <t>1204-1205-1217-1219-1221-1223-1247-1250-1251-1255</t>
  </si>
  <si>
    <t>ΖΑΡΧΑΝΗΣ</t>
  </si>
  <si>
    <t>ΑΗ564921</t>
  </si>
  <si>
    <t>1274,8</t>
  </si>
  <si>
    <t>1250-1247-1254-1253-1248-1249-1256-1206-1255</t>
  </si>
  <si>
    <t>ΑΒΟΥΡΗ</t>
  </si>
  <si>
    <t>ΜΑΡΙΝΟΣ</t>
  </si>
  <si>
    <t>ΑΗ623082</t>
  </si>
  <si>
    <t>1274,7</t>
  </si>
  <si>
    <t>1217-1247-1248-1249-1250-1254-1253-1255-1256-1201-1202-1205-1206-1251</t>
  </si>
  <si>
    <t>ΤΖΑΝΙΝΗ</t>
  </si>
  <si>
    <t>ΑΗ210104</t>
  </si>
  <si>
    <t>686,4</t>
  </si>
  <si>
    <t>1274,4</t>
  </si>
  <si>
    <t>1250-1247-1248-1255</t>
  </si>
  <si>
    <t>ΜΕΛΕΤΙΔΟΥ</t>
  </si>
  <si>
    <t>Χ450337</t>
  </si>
  <si>
    <t>1274,3</t>
  </si>
  <si>
    <t>1256-1253-1206-1250-1247-1255-1248-1249-1254-1219-1203-1223-1204-1205-1222-1202-1220-1218-1221</t>
  </si>
  <si>
    <t>ΑΡΒΑΝΙΤΗΣ</t>
  </si>
  <si>
    <t>Σ041588</t>
  </si>
  <si>
    <t>1218-1250-1247-1254-1267-1248-1255-1206-1249-1253</t>
  </si>
  <si>
    <t>ΠΑΠΑΣΗΜΑΚΟΠΟΥΛΟΣ</t>
  </si>
  <si>
    <t>ΑΛΕΞΙΟΣ</t>
  </si>
  <si>
    <t>ΑΝ250356</t>
  </si>
  <si>
    <t>1217-1250-1247-1254-1249-1219-1248-1256-1255</t>
  </si>
  <si>
    <t>ΞΑΝΘΟΥ</t>
  </si>
  <si>
    <t>Φ314535</t>
  </si>
  <si>
    <t>801,9</t>
  </si>
  <si>
    <t>1272,9</t>
  </si>
  <si>
    <t>1248-1267-1256-1253-1203-1206-1249-1204-1205-1255-1221-1202-1201-1254-1247-1250-1218-1223-1222</t>
  </si>
  <si>
    <t>ΒΑΛΚΑΜΕΛΗΣ</t>
  </si>
  <si>
    <t>ΑΕ142180</t>
  </si>
  <si>
    <t>614,9</t>
  </si>
  <si>
    <t>1201-1247-1253-1206-1248-1202-1255-1254-1250-1249</t>
  </si>
  <si>
    <t>ΓΑΪΤΑΝΙΔΟΥ</t>
  </si>
  <si>
    <t>ΞΕΝΟΦΩΝ</t>
  </si>
  <si>
    <t>Ν400391</t>
  </si>
  <si>
    <t>1272,2</t>
  </si>
  <si>
    <t>1248-1267-1253-1256-1206-1249-1254-1250-1247-1255-1219-1202-1217</t>
  </si>
  <si>
    <t>ΛΑΜΠΕΡΝΑΚΗ</t>
  </si>
  <si>
    <t>ΑΕ422304</t>
  </si>
  <si>
    <t>632,5</t>
  </si>
  <si>
    <t>1271,5</t>
  </si>
  <si>
    <t>1201-1202-1205-1206-1217-1219-1247-1248-1249-1250-1251-1253-1254-1255-1256</t>
  </si>
  <si>
    <t>ΑΗ935987</t>
  </si>
  <si>
    <t>907,5</t>
  </si>
  <si>
    <t>1270,5</t>
  </si>
  <si>
    <t>1201-1202-1205-1206-1247-1248-1249-1250-1253-1254-1255-1256-1267</t>
  </si>
  <si>
    <t>ΧΟΥΤΟΣ</t>
  </si>
  <si>
    <t>Π982190</t>
  </si>
  <si>
    <t>1201-1202-1204-1205-1206-1217-1218-1219-1221-1222-1247-1248-1249-1250-1251-1252-1253-1254-1255</t>
  </si>
  <si>
    <t>ΚΥΡΙΑΚΙΔΗΣ</t>
  </si>
  <si>
    <t>ΑΙ395036</t>
  </si>
  <si>
    <t>1206-1254-1255-1247-1250-1248-1249-1253</t>
  </si>
  <si>
    <t>ΔΟΝΤΑΚΗ</t>
  </si>
  <si>
    <t>ΑΑ050641</t>
  </si>
  <si>
    <t>1269,7</t>
  </si>
  <si>
    <t>1247-1250-1218-1219-1267-1203-1206-1248-1204-1205-1255-1202-1221-1201-1220-1223-1252-1249-1253-1254-1256</t>
  </si>
  <si>
    <t>ΜΑΥΡΟΔΗΜΟΥ</t>
  </si>
  <si>
    <t>ΑΝ386910</t>
  </si>
  <si>
    <t>1268,9</t>
  </si>
  <si>
    <t>1222-1206-1248-1249-1253-1256-1247-1254-1250-1255</t>
  </si>
  <si>
    <t>ΛΙΑΚΟΠΟΥΛΟΥ</t>
  </si>
  <si>
    <t>Χ995876</t>
  </si>
  <si>
    <t>ΦΙΛΚΑΣ</t>
  </si>
  <si>
    <t>ΠΡΟΔΡΟΜΟΣ</t>
  </si>
  <si>
    <t>ΑΕ813698</t>
  </si>
  <si>
    <t>1249-1253-1256-1267-1201-1248-1206-1255-1202-1247-1254</t>
  </si>
  <si>
    <t>ΠΑΓΩΝΗ</t>
  </si>
  <si>
    <t>ΑΚ850765</t>
  </si>
  <si>
    <t>1219-1248-1223-1204-1205-1255-1221-1251-1253-1256-1206-1203-1201-1254-1220-1222-1247</t>
  </si>
  <si>
    <t>ΤΖΑΝΟΣ</t>
  </si>
  <si>
    <t>ΓΕΏΡΓΙΟΣ</t>
  </si>
  <si>
    <t>ΑΙ132800</t>
  </si>
  <si>
    <t>1266,7</t>
  </si>
  <si>
    <t>1247-1250-1254-1255-1249-1248-1206-1253-1267</t>
  </si>
  <si>
    <t>ΚΑΡΑΔΗΜΗΤΡΙΟΥ</t>
  </si>
  <si>
    <t>ΑΜ034440</t>
  </si>
  <si>
    <t>1266,4</t>
  </si>
  <si>
    <t>1250-1247-1254-1248-1255-1249-1253-1206-1256</t>
  </si>
  <si>
    <t>ΣΑΚΚΑΛΗ</t>
  </si>
  <si>
    <t>ΑΕ814161</t>
  </si>
  <si>
    <t>1249-1253-1255-1205-1202-1206-1250-1254</t>
  </si>
  <si>
    <t>ΠΕΛΙΤΟΓΛΟΥ</t>
  </si>
  <si>
    <t>Σ759327</t>
  </si>
  <si>
    <t>1265,5</t>
  </si>
  <si>
    <t>ΚΑΡΑΓΚΟΥΝΗ</t>
  </si>
  <si>
    <t>ΑΙ860079</t>
  </si>
  <si>
    <t>1201-1254-1267-1256-1247-1248-1249-1253-1250-1255-1206-1205-1202</t>
  </si>
  <si>
    <t>ΠΕΤΡΕΝΤΣΗΣ</t>
  </si>
  <si>
    <t>Ρ351529</t>
  </si>
  <si>
    <t>1262,6</t>
  </si>
  <si>
    <t>1249-1248-1206-1253-1254-1250-1247-1255-1202</t>
  </si>
  <si>
    <t>ΜΙΧΑΛΑΤΟΥ</t>
  </si>
  <si>
    <t>Φ881023</t>
  </si>
  <si>
    <t>1261,6</t>
  </si>
  <si>
    <t>1218-1217-1250-1247-1203-1254-1201-1256-1253-1249-1222-1219-1248-1267-1206-1223-1251-1202-1204-1205-1255-1221</t>
  </si>
  <si>
    <t>ΚΑΒΟΥΡΙΝΟΣ</t>
  </si>
  <si>
    <t>ΑΒ668101</t>
  </si>
  <si>
    <t>1261,2</t>
  </si>
  <si>
    <t>1250-1254-1247-1255-1249-1253-1248-1206</t>
  </si>
  <si>
    <t>Χ451738</t>
  </si>
  <si>
    <t>1260,6</t>
  </si>
  <si>
    <t>1256-1267-1253-1206-1248-1249-1247-1254-1255-1250-1251-1220-1222</t>
  </si>
  <si>
    <t>ΖΟΡΜΠΑΣ</t>
  </si>
  <si>
    <t>Φ221541</t>
  </si>
  <si>
    <t>672,1</t>
  </si>
  <si>
    <t>1260,1</t>
  </si>
  <si>
    <t>1250-1218-1222-1247-1248-1206-1249-1253-1254-1255-1256</t>
  </si>
  <si>
    <t>ΑΒΡΑΑΜ</t>
  </si>
  <si>
    <t>Χ233352</t>
  </si>
  <si>
    <t>1259,8</t>
  </si>
  <si>
    <t>1267-1248-1256-1253-1206-1249-1254-1247-1250-1255</t>
  </si>
  <si>
    <t>ΜΙΧΟΥ</t>
  </si>
  <si>
    <t>ΑΑ335324</t>
  </si>
  <si>
    <t>1222-1247-1248-1249-1254-1255-1267</t>
  </si>
  <si>
    <t>ΣΟΛΑΝΑΚΗΣ</t>
  </si>
  <si>
    <t>Φ345620</t>
  </si>
  <si>
    <t>1258,5</t>
  </si>
  <si>
    <t>ΠΑΤΣΟ</t>
  </si>
  <si>
    <t>ΤΟΝΑ</t>
  </si>
  <si>
    <t>ΣΩΤΗΡΑΚ</t>
  </si>
  <si>
    <t>ΑΗ855440</t>
  </si>
  <si>
    <t>1256,6</t>
  </si>
  <si>
    <t>1201-1202-1206-1217-1219-1247-1248-1249-1253-1254-1255-1267</t>
  </si>
  <si>
    <t>ΑΒ433028</t>
  </si>
  <si>
    <t>1249-1253-1256-1248-1201-1206-1254-1247-1250-1255-1205-1202</t>
  </si>
  <si>
    <t>ΜΑΓΓΟΣ</t>
  </si>
  <si>
    <t>ΑΜ695600</t>
  </si>
  <si>
    <t>844,8</t>
  </si>
  <si>
    <t>1255,8</t>
  </si>
  <si>
    <t>1248-1267-1256-1253-1206-1249-1250-1247-1255-1205-1254</t>
  </si>
  <si>
    <t>ΚΑΡΑΒΙΤΑΚΗ</t>
  </si>
  <si>
    <t>ΑΙ464503</t>
  </si>
  <si>
    <t>1255,7</t>
  </si>
  <si>
    <t>ΜΕΡΜΗΓΚΑΣ</t>
  </si>
  <si>
    <t>ΓΕΩΡΓΙΟΣ ΑΛΕΞΙΟΣ</t>
  </si>
  <si>
    <t>ΑΝ028896</t>
  </si>
  <si>
    <t>1202-1205-1255-1250-1248-1247-1267</t>
  </si>
  <si>
    <t>ΙΟΡΔΑΝΟΓΛΟΥ</t>
  </si>
  <si>
    <t>ΚΛΕΙΣΘΕΝΗΣ</t>
  </si>
  <si>
    <t>ΑΜ593794</t>
  </si>
  <si>
    <t>1255,3</t>
  </si>
  <si>
    <t>1253-1247-1250-1255-1217-1205-1204-1219-1202-1254-1206-1221-1220-1223-1218-1251-1249-1256-1201</t>
  </si>
  <si>
    <t>ΦΑΡΜΑΚΗ</t>
  </si>
  <si>
    <t>ΕΛΕΑΝΑ</t>
  </si>
  <si>
    <t>ΑΒ807637</t>
  </si>
  <si>
    <t>1255,1</t>
  </si>
  <si>
    <t>1249-1218-1252-1253-1248-1254-1250-1247-1206-1255-1203</t>
  </si>
  <si>
    <t>ΚΑΤΣΟΥΛΙΔΟΥ</t>
  </si>
  <si>
    <t>ΑΗ921977</t>
  </si>
  <si>
    <t>1206-1253-1248-1249-1254-1250-1255</t>
  </si>
  <si>
    <t>ΚΟΝΙΔΑΡΗΣ</t>
  </si>
  <si>
    <t>ΑΜ040462</t>
  </si>
  <si>
    <t>1201-1202-1205-1206-1217-1219-1247-1248-1249-1250-1251-1252-1253-1254-1255-1256-1267</t>
  </si>
  <si>
    <t>ΠΑΡΙΣΗΣ</t>
  </si>
  <si>
    <t>ΑΗ277530</t>
  </si>
  <si>
    <t>1254,8</t>
  </si>
  <si>
    <t>1219-1267-1203-1201-1252-1247-1206-1248-1253-1257-1254-1249-1256-1222-1217-1250-1220-1218-1255-1204-1205-1202-1251-1221-1223</t>
  </si>
  <si>
    <t>ΤΣΙΤΣΩΝΗ</t>
  </si>
  <si>
    <t>ΦΕΒΡΩΝΙΑ</t>
  </si>
  <si>
    <t>Σ890418</t>
  </si>
  <si>
    <t>1201-1202-1204-1203-1205-1206-1217-1218-1219-1220-1221-1222-1223-1247-1248-1249-1250-1251-1252-1253-1254-1255-1256-1267</t>
  </si>
  <si>
    <t>ΜΠΑΖΑΝΗΣ</t>
  </si>
  <si>
    <t>ΑΚ642763</t>
  </si>
  <si>
    <t>1252-1250-1217-1247-1253-1249-1254-1255-1248-1221-1201-1202-1205-1218-1219-1206</t>
  </si>
  <si>
    <t>ΑΔΑΜΟΠΟΥΛΟΥ</t>
  </si>
  <si>
    <t>ΑΝΔΡΙΑΝΑ</t>
  </si>
  <si>
    <t>ΑΗ209714</t>
  </si>
  <si>
    <t>665,5</t>
  </si>
  <si>
    <t>1253,5</t>
  </si>
  <si>
    <t>1206-1249-1250-1253-1254-1255-1256-1247-1248-1251-1252</t>
  </si>
  <si>
    <t>ΣΤΑΓΑΚΗ</t>
  </si>
  <si>
    <t>Χ993568</t>
  </si>
  <si>
    <t>1253,4</t>
  </si>
  <si>
    <t>1202-1205-1248-1250-1255</t>
  </si>
  <si>
    <t>ΚΑΤΣΟΥΡΟΥ</t>
  </si>
  <si>
    <t>ΑΜΑΛΙΑ ΠΑΝΑΓΙΩΤΑ</t>
  </si>
  <si>
    <t>ΑΕ932427</t>
  </si>
  <si>
    <t>1253,3</t>
  </si>
  <si>
    <t>ΑΧΡΑΖΟΓΛΟΥ</t>
  </si>
  <si>
    <t>ΑΕ891097</t>
  </si>
  <si>
    <t>1251,7</t>
  </si>
  <si>
    <t>1203-1204-1205-1206-1218-1222-1223-1247-1248-1249-1250-1253-1254-1255-1256-1267</t>
  </si>
  <si>
    <t>ΚΑΨΑΛΗ</t>
  </si>
  <si>
    <t>ΝΙΚΗΤΑΣ</t>
  </si>
  <si>
    <t>ΑΑ012038</t>
  </si>
  <si>
    <t>1205-1255-1206-1202-1247-1267-1248-1254-1249-1253-1250</t>
  </si>
  <si>
    <t>ΔΙΝΟΒΙΤΣ</t>
  </si>
  <si>
    <t>ΑΚ668837</t>
  </si>
  <si>
    <t>1250,7</t>
  </si>
  <si>
    <t>1249-1248-1267-1253-1250-1202-1205-1255-1201-1247-1254-1206-1222</t>
  </si>
  <si>
    <t>ΒΡΑΚΑΤΟΥ</t>
  </si>
  <si>
    <t>ΑΝ427809</t>
  </si>
  <si>
    <t>1249,5</t>
  </si>
  <si>
    <t>1253-1254-1248-1206-1249-1247-1255-1201</t>
  </si>
  <si>
    <t>ΑΡΓΥΡΟΠΟΥΛΟΥ</t>
  </si>
  <si>
    <t>ΑΖ131926</t>
  </si>
  <si>
    <t>1249,1</t>
  </si>
  <si>
    <t>1247-1250-1254-1248-1206-1253-1255-1256-1267-1249</t>
  </si>
  <si>
    <t>ΣΟΥΛΟΥΤΑΣ</t>
  </si>
  <si>
    <t>ΑΖ536150</t>
  </si>
  <si>
    <t>1248,3</t>
  </si>
  <si>
    <t>1205-1219-1248-1255-1267-1202-1206-1217-1247-1250-1253-1249-1254-1201-1222-1256-1251-1252-1204-1203</t>
  </si>
  <si>
    <t>ΣΕΡΓΑΝΗΣ</t>
  </si>
  <si>
    <t>ΑΕ888408</t>
  </si>
  <si>
    <t>1206-1267-1248-1253-1255-1249-1250-1247-1254</t>
  </si>
  <si>
    <t>ΓΙΑΜΙΑΚΗ</t>
  </si>
  <si>
    <t>ΠΡΟΚΟΠΙΑ</t>
  </si>
  <si>
    <t>ΑΕ964459</t>
  </si>
  <si>
    <t>1247,9</t>
  </si>
  <si>
    <t>1204-1205-1255-1221</t>
  </si>
  <si>
    <t>ΚΟΥΡΚΟΥΤΑ</t>
  </si>
  <si>
    <t>Τ242579</t>
  </si>
  <si>
    <t>1247,8</t>
  </si>
  <si>
    <t>1218-1250-1201-1254-1203-1247-1249-1253-1206-1248-1267-1204-1205-1255-1221-1202-1217-1252-1219-1256-1220-1222-1223-1251</t>
  </si>
  <si>
    <t>ΖΕΡΒΟΥ</t>
  </si>
  <si>
    <t>Σ859493</t>
  </si>
  <si>
    <t>1247,1</t>
  </si>
  <si>
    <t>1202-1205-1255-1221-1204-1218-1254-1250-1217-1253-1256-1247-1248-1267-1219-1206-1203-1222-1201-1252-1249-1223-1251-1220</t>
  </si>
  <si>
    <t>ΤΣΕΛΕΜΠΗ</t>
  </si>
  <si>
    <t>Π826153</t>
  </si>
  <si>
    <t>1201-1202-1204-1205-1206-1217-1218-1219-1220-1221-1222-1223-1247-1248-1249-1250-1251-1252-1253-1254-1255-1256-1203-1267</t>
  </si>
  <si>
    <t>ΣΑΡΑΦΗ</t>
  </si>
  <si>
    <t>Χ888745</t>
  </si>
  <si>
    <t>1267-1248-1253-1206-1249-1201-1254-1247-1250-1202-1205-1255-1220-1256-1203-1204-1217-1218-1219-1221-1222-1223-1251-1252</t>
  </si>
  <si>
    <t>ΓΙΑΝΝΗΣ</t>
  </si>
  <si>
    <t>Φ344612</t>
  </si>
  <si>
    <t>1246,2</t>
  </si>
  <si>
    <t>ΣΚΑΛΙΔΑΚΗ</t>
  </si>
  <si>
    <t>ΓΕΩΡΓΙΑ-ΚΡΥΣΤΑΛΛΙΑ</t>
  </si>
  <si>
    <t>ΑΕ972236</t>
  </si>
  <si>
    <t>628,1</t>
  </si>
  <si>
    <t>1246,1</t>
  </si>
  <si>
    <t>ΔΙΑΛΛΑ</t>
  </si>
  <si>
    <t>ΑΕ851656</t>
  </si>
  <si>
    <t>1245,2</t>
  </si>
  <si>
    <t>ΧΟΥΤΟΥ</t>
  </si>
  <si>
    <t>ΠΑΡΑΣΚΕΗ</t>
  </si>
  <si>
    <t>ΠΡΟΚΟΠΙΟΣ</t>
  </si>
  <si>
    <t>Φ333738</t>
  </si>
  <si>
    <t>1245,1</t>
  </si>
  <si>
    <t>1201-1255-1267-1205-1202-1249-1247-1253-1256-1254-1248-1250</t>
  </si>
  <si>
    <t>ΒΕΡΓΟΥ</t>
  </si>
  <si>
    <t>ΑΒ752462</t>
  </si>
  <si>
    <t>691,9</t>
  </si>
  <si>
    <t>1244,9</t>
  </si>
  <si>
    <t>1202-1204-1205-1206-1247-1248-1249-1250-1252-1253-1254-1255-1251-1256-1217-1218-1219-1220-1221-1222-1223</t>
  </si>
  <si>
    <t>ΑΝΔΡΟΥΛΑΚΗ</t>
  </si>
  <si>
    <t>Ξ918541</t>
  </si>
  <si>
    <t>1244,7</t>
  </si>
  <si>
    <t>1205-1255-1206-1247-1248-1249-1250-1253-1254-1256</t>
  </si>
  <si>
    <t>ΠΟΛΥΜΕΡΟΥ</t>
  </si>
  <si>
    <t>ΣΥΝΟΔΗ</t>
  </si>
  <si>
    <t>ΑΙ863299</t>
  </si>
  <si>
    <t>Παπαδογιαννάκη</t>
  </si>
  <si>
    <t>Σοφία</t>
  </si>
  <si>
    <t>Εμμανουήλ</t>
  </si>
  <si>
    <t>Χ496831</t>
  </si>
  <si>
    <t>1243,9</t>
  </si>
  <si>
    <t>ΜΥΤΙΛΗΝΑΙΟΣ</t>
  </si>
  <si>
    <t>ΑΒ410045</t>
  </si>
  <si>
    <t>1243,6</t>
  </si>
  <si>
    <t>ΚΩΣΤΗ</t>
  </si>
  <si>
    <t>ΑΜ825095</t>
  </si>
  <si>
    <t>1267-1201-1248-1254-1249-1253-1206-1247-1250-1255-1202</t>
  </si>
  <si>
    <t>ΠΡΑΣΣΑ</t>
  </si>
  <si>
    <t>ΓΡΗΓΟΡΗΣ</t>
  </si>
  <si>
    <t>Ρ983254</t>
  </si>
  <si>
    <t>1240,8</t>
  </si>
  <si>
    <t>1254-1252-1247-1248-1249-1250-1251-1255-1256</t>
  </si>
  <si>
    <t>ΛΟΥΡΑΚΗ</t>
  </si>
  <si>
    <t>ΑΙ941146</t>
  </si>
  <si>
    <t>1240,7</t>
  </si>
  <si>
    <t>ΠΑΠΑΚΩΣΤΑ</t>
  </si>
  <si>
    <t>ΠΑΝΑΓΙΩ</t>
  </si>
  <si>
    <t>ΑΜ851639</t>
  </si>
  <si>
    <t>1239,2</t>
  </si>
  <si>
    <t>1249-1253-1255</t>
  </si>
  <si>
    <t>ΑΗ262180</t>
  </si>
  <si>
    <t>1201-1254-1256-1247-1206-1253-1205-1255</t>
  </si>
  <si>
    <t>ΜΑΡΚΟΣ</t>
  </si>
  <si>
    <t>Χ377044</t>
  </si>
  <si>
    <t>1238,3</t>
  </si>
  <si>
    <t>1203-1201-1267-1248-1219-1253-1254-1247-1249-1256-1220-1206-1217-1250-1222-1202-1218-1204-1205-1255-1221-1251-1223</t>
  </si>
  <si>
    <t>ΦΟΥΖΑ</t>
  </si>
  <si>
    <t>ΑΒ810849</t>
  </si>
  <si>
    <t>ΧΑΤΖΗΤΙΜΟΘΕΟΥ</t>
  </si>
  <si>
    <t>ΑΙ942402</t>
  </si>
  <si>
    <t>1255-1248-1267-1249-1250-1254-1247-1253</t>
  </si>
  <si>
    <t>ΜΑΝΟΥ</t>
  </si>
  <si>
    <t>ΑΗ668715</t>
  </si>
  <si>
    <t>1267-1253-1206-1249-1250-1254-1255</t>
  </si>
  <si>
    <t>ΠΡΟΜΠΟΝΑ</t>
  </si>
  <si>
    <t>Χ902464</t>
  </si>
  <si>
    <t>1235,7</t>
  </si>
  <si>
    <t>1202-1203-1204-1205-1206-1220-1221-1223-1247-1248-1249-1250-1253-1254-1255-1256</t>
  </si>
  <si>
    <t>ΚΟΤΟΥΜΠΑ</t>
  </si>
  <si>
    <t>Τ476428</t>
  </si>
  <si>
    <t>783,2</t>
  </si>
  <si>
    <t>1235,2</t>
  </si>
  <si>
    <t>1206-1247-1248-1249-1250-1253-1254-1255-1267</t>
  </si>
  <si>
    <t>ΠΑΤΕΔΑΚΗΣ</t>
  </si>
  <si>
    <t>ΑΙ957950</t>
  </si>
  <si>
    <t>881,1</t>
  </si>
  <si>
    <t>1235,1</t>
  </si>
  <si>
    <t>1201-1202-1205-1206-1217-1247-1248-1249-1250-1251-1253-1254-1255-1256-1267</t>
  </si>
  <si>
    <t>ΚΙΣΤΟΓΛΙΔΗΣ</t>
  </si>
  <si>
    <t>ΑΙ152450</t>
  </si>
  <si>
    <t>1248-1267-1253-1206-1249-1254-1255-1247</t>
  </si>
  <si>
    <t>ΚΑΖΑΝΤΖΗ</t>
  </si>
  <si>
    <t>ΕΛΕΝΑ</t>
  </si>
  <si>
    <t>ΑΒ883516</t>
  </si>
  <si>
    <t>1218-1250-1247-1267-1204-1205-1255-1202-1221-1253-1203-1201-1206-1249-1254-1248</t>
  </si>
  <si>
    <t>ΧΑΤΖΟΠΟΥΛΟΥ</t>
  </si>
  <si>
    <t>ΑΕ825513</t>
  </si>
  <si>
    <t>1267-1248-1256-1253-1206-1247-1249-1250-1254-1255-1202</t>
  </si>
  <si>
    <t>ΝΤΙΜΠ</t>
  </si>
  <si>
    <t>Χ122780</t>
  </si>
  <si>
    <t>1232,1</t>
  </si>
  <si>
    <t>1202-1204-1205-1206-1218-1220-1221-1222-1223-1249-1250-1252-1253-1254-1255-1256</t>
  </si>
  <si>
    <t>ΔΕΡΒΙΣΗ</t>
  </si>
  <si>
    <t>ΑΙ811020</t>
  </si>
  <si>
    <t>1231,4</t>
  </si>
  <si>
    <t>1248-1253-1252-1254-1256-1206-1222-1249-1218-1250-1247-1221-1255-1251-1223</t>
  </si>
  <si>
    <t>ΜΑΤΖΑΡΑΚΗΣ</t>
  </si>
  <si>
    <t>ΑΙ455798</t>
  </si>
  <si>
    <t>1230,7</t>
  </si>
  <si>
    <t>1202-1204-1205-1255</t>
  </si>
  <si>
    <t>ΠΟΥΛΙΟΥ</t>
  </si>
  <si>
    <t>ΑΝ314353</t>
  </si>
  <si>
    <t>894,3</t>
  </si>
  <si>
    <t>1230,3</t>
  </si>
  <si>
    <t>1203-1201-1252-1219-1267-1248-1254-1249-1253-1247-1206-1250-1217-1218-1223-1256-1222-1220-1202-1204-1205-1221-1255</t>
  </si>
  <si>
    <t>ΑΣΟΥΜΑΝΑΚΗΣ</t>
  </si>
  <si>
    <t>ΑΗ036362</t>
  </si>
  <si>
    <t>788,7</t>
  </si>
  <si>
    <t>1229,7</t>
  </si>
  <si>
    <t>ΜΑΚΡΥΓΙΑΝΝΗ</t>
  </si>
  <si>
    <t>ΑΚ968771</t>
  </si>
  <si>
    <t>951,5</t>
  </si>
  <si>
    <t>1229,5</t>
  </si>
  <si>
    <t>1203-1201-1267-1219-1254-1253-1256-1248-1222-1249-1206-1223-1218-1250-1217-1247-1255-1205-1202-1204-1221-1251-1252-1220</t>
  </si>
  <si>
    <t>ΣΑΡΑΚΑΤΣΙΑΝΟΣ</t>
  </si>
  <si>
    <t>Χ481397</t>
  </si>
  <si>
    <t>1201-1202-1206-1247-1248-1249-1250-1253-1254-1255-1256-1267</t>
  </si>
  <si>
    <t>ΠΑΠΑΔΗΜΗΤΡΙΟΥ</t>
  </si>
  <si>
    <t>ΠΟΛΥΞΕΝΗ</t>
  </si>
  <si>
    <t>Φ497065</t>
  </si>
  <si>
    <t>1228,8</t>
  </si>
  <si>
    <t>1249-1253-1248-1206-1250-1254-1247-1201-1204-1255-1202-1221</t>
  </si>
  <si>
    <t>ΒΑΧΑΝΕΛΙΔΟΥ</t>
  </si>
  <si>
    <t>ΑΜ298636</t>
  </si>
  <si>
    <t>1228,1</t>
  </si>
  <si>
    <t>1203-1218-1252-1221-1217-1223-1206-1219-1248-1253-1254-1201-1251-1247-1267-1249-1202-1205-1255-1250-1256</t>
  </si>
  <si>
    <t>ΜΗΛΙΤΣΗ</t>
  </si>
  <si>
    <t>Τ919286</t>
  </si>
  <si>
    <t>1249-1253-1256-1206-1248-1247-1254-1250-1255</t>
  </si>
  <si>
    <t>Χ775274</t>
  </si>
  <si>
    <t>767,8</t>
  </si>
  <si>
    <t>1227,8</t>
  </si>
  <si>
    <t>1219-1248-1217-1250-1201-1249-1206-1253-1254-1256-1247-1202-1205-1255-1221</t>
  </si>
  <si>
    <t>ΝΤΑΛΑΠΕΡΑ</t>
  </si>
  <si>
    <t>ΑΑ753339</t>
  </si>
  <si>
    <t>601,7</t>
  </si>
  <si>
    <t>1226,7</t>
  </si>
  <si>
    <t>1218-1250-1247-1254-1267-1248-1253-1249-1206-1255-1252</t>
  </si>
  <si>
    <t>ΚΥΡΙΑΖΗ</t>
  </si>
  <si>
    <t>Χ865572</t>
  </si>
  <si>
    <t>1225,6</t>
  </si>
  <si>
    <t>1267-1248-1249-1206-1218-1247-1250-1256-1253-1254-1255-1204-1205</t>
  </si>
  <si>
    <t>ΦΕΤΣΗ</t>
  </si>
  <si>
    <t>ΣΩΤΗΡΙΑ</t>
  </si>
  <si>
    <t>Ν461338</t>
  </si>
  <si>
    <t>1250-1217-1247-1254-1253-1255-1256-1248-1249-1251-1206-1218-1219-1220-1205-1204-1202-1203-1201</t>
  </si>
  <si>
    <t>Φ334090</t>
  </si>
  <si>
    <t>1222,5</t>
  </si>
  <si>
    <t>1249-1253-1254-1248-1250-1206-1247-1255-1202-1205</t>
  </si>
  <si>
    <t>ΚΑΡΠΑΘΙΩΤΑΚΗ</t>
  </si>
  <si>
    <t>Φ249766</t>
  </si>
  <si>
    <t>1222,4</t>
  </si>
  <si>
    <t>1202-1255-1248-1247-1250-1201-1206-1249-1253-1254</t>
  </si>
  <si>
    <t>ΑΡΧΙΤΕΚΤΟΝΙΔΟΥ</t>
  </si>
  <si>
    <t>ΣΤΕΛΛΑ</t>
  </si>
  <si>
    <t>ΑΑ761738</t>
  </si>
  <si>
    <t>1222,1</t>
  </si>
  <si>
    <t>1202-1249-1255-1206-1205-1252-1253-1247-1248-1256-1201</t>
  </si>
  <si>
    <t>ΒΙΟΛΑΚΗ</t>
  </si>
  <si>
    <t>ΑΜ847426</t>
  </si>
  <si>
    <t>1206-1250-1254-1247-1248-1267-1253-1249-1255</t>
  </si>
  <si>
    <t>ΤΖΩΡΤΖΟΥ</t>
  </si>
  <si>
    <t>ΑΑ408928</t>
  </si>
  <si>
    <t>1221,5</t>
  </si>
  <si>
    <t>1249-1253-1248-1256-1267-1206-1254-1201-1202-1203-1204-1205-1218-1221-1222-1223-1247-1250-1255</t>
  </si>
  <si>
    <t>ΚΑΡΥΣΤΙΝΑΙΟΣ-ΕΥΘΥΜΙΑΤΟΣ</t>
  </si>
  <si>
    <t>ΟΔΥΣΣΕΑΣ</t>
  </si>
  <si>
    <t>ΑΒ636844</t>
  </si>
  <si>
    <t>1221,2</t>
  </si>
  <si>
    <t>1250-1247-1255-1205-1202-1221-1254-1201-1267-1206-1248</t>
  </si>
  <si>
    <t>ΦΟΥΚΑΣ</t>
  </si>
  <si>
    <t>Σ507375</t>
  </si>
  <si>
    <t>799,7</t>
  </si>
  <si>
    <t>1219,7</t>
  </si>
  <si>
    <t>1219-1248-1217-1247-1250-1202-1205-1255-1254-1201-1206-1256-1253-1251-1249</t>
  </si>
  <si>
    <t>ΧΡΥΣΙΝΑΣ</t>
  </si>
  <si>
    <t>ΑΜ510315</t>
  </si>
  <si>
    <t>1214,7</t>
  </si>
  <si>
    <t>1202-1206-1247-1248-1249-1250-1253-1254-1255-1201</t>
  </si>
  <si>
    <t>ΑΛΛΕΓΚΡΕΤΤΙ</t>
  </si>
  <si>
    <t>ΠΑΟΛΑ</t>
  </si>
  <si>
    <t>ΑΝΤΖΕΛΟ</t>
  </si>
  <si>
    <t>ΑΖ706560</t>
  </si>
  <si>
    <t>1214,4</t>
  </si>
  <si>
    <t>1250-1247-1254-1248-1255-1253-1249-1206</t>
  </si>
  <si>
    <t>ΑΛΕΞΑΝΔΡΙΔΟΥ</t>
  </si>
  <si>
    <t>ΑΚ445310</t>
  </si>
  <si>
    <t>1206-1205-1201-1219-1202-1248-1253-1249-1254-1247-1255-1250-1267</t>
  </si>
  <si>
    <t>ΒΑΓΙΑ</t>
  </si>
  <si>
    <t>Φ181390</t>
  </si>
  <si>
    <t>1213,1</t>
  </si>
  <si>
    <t>1201-1205-1206-1217-1219-1247-1248-1249-1250-1251-1253-1254-1255-1256-1267</t>
  </si>
  <si>
    <t>ΛΑΒΑΝΤΣΙΩΤΗΣ</t>
  </si>
  <si>
    <t>ΑΙ285096</t>
  </si>
  <si>
    <t>1212,3</t>
  </si>
  <si>
    <t>ΣΙΟΥΤΚΑ</t>
  </si>
  <si>
    <t>Χ380669</t>
  </si>
  <si>
    <t>1202-1204-1205-1203-1255-1221-1201-1252-1247-1206-1223-1253-1219-1248-1249-1250-1222-1218-1217-1254-1256-1220-1251</t>
  </si>
  <si>
    <t>ΚΟΥΤΣΟΠΟΥΛΟΥ</t>
  </si>
  <si>
    <t xml:space="preserve"> ΣΟΦΙΑ</t>
  </si>
  <si>
    <t>Τ399620</t>
  </si>
  <si>
    <t>1209,7</t>
  </si>
  <si>
    <t>ΓΑΛΑΝΟΠΟΥΛΟΥ</t>
  </si>
  <si>
    <t>ΑΖ272871</t>
  </si>
  <si>
    <t>1209,5</t>
  </si>
  <si>
    <t>1201-1252-1203-1254-1253-1217-1250-1206-1219-1248-1267-1256-1247-1218-1202-1221-1255-1222-1205-1204</t>
  </si>
  <si>
    <t>ΦΕΚΟΣ</t>
  </si>
  <si>
    <t>ΑΕ829993</t>
  </si>
  <si>
    <t>1208,2</t>
  </si>
  <si>
    <t>1256-1255-1253-1254-1247-1248-1249-1250-1251-1252-1223-1222-1221-1220-1219-1218-1217-1206-1205-1204-1203-1202</t>
  </si>
  <si>
    <t>ΠΑΤΣΙΚΑΘΕΟΔΩΡΟΥ</t>
  </si>
  <si>
    <t>ΑΜ370789</t>
  </si>
  <si>
    <t>1207,3</t>
  </si>
  <si>
    <t>1203-1201-1256-1249-1248-1247-1253-1254-1223-1222-1206-1218-1221-1267-1250-1204-1205-1255-1202</t>
  </si>
  <si>
    <t>ΣΤΑΥΡΑΚΑΚΗ</t>
  </si>
  <si>
    <t>ΑΙ513711</t>
  </si>
  <si>
    <t>619,3</t>
  </si>
  <si>
    <t>ΛΙΟΛΙΟΥ</t>
  </si>
  <si>
    <t>ΑΕ430170</t>
  </si>
  <si>
    <t>1205,2</t>
  </si>
  <si>
    <t>1251-1206-1205-1202-1255-1249-1217-1267-1248-1256-1250-1254-1253</t>
  </si>
  <si>
    <t>ΝΑΣΤΟΥΛΗΣ</t>
  </si>
  <si>
    <t>Χ362136</t>
  </si>
  <si>
    <t>1204,9</t>
  </si>
  <si>
    <t>ΑΒ868867</t>
  </si>
  <si>
    <t>1201-1206-1249-1253-1256-1248-1267-1254-1250-1247-1255-1202</t>
  </si>
  <si>
    <t>ΚΟΥΝΑΛΑΚΗ</t>
  </si>
  <si>
    <t>Σ414608</t>
  </si>
  <si>
    <t>ΣΙΑΜΙΔΟΥ</t>
  </si>
  <si>
    <t>Χ892612</t>
  </si>
  <si>
    <t>1201,9</t>
  </si>
  <si>
    <t>ΑΗ938591</t>
  </si>
  <si>
    <t>1199,5</t>
  </si>
  <si>
    <t>1247-1250-1254-1255-1248-1206-1249-1253-1267</t>
  </si>
  <si>
    <t>ΑΝΑΒΕΝΙΔΟΥ</t>
  </si>
  <si>
    <t>ΘΕΜΙΣΤΟΚΛΗΣ</t>
  </si>
  <si>
    <t>Φ263025</t>
  </si>
  <si>
    <t>1196,6</t>
  </si>
  <si>
    <t>1206-1248-1253-1249-1201-1254-1247-1250-1255-1202</t>
  </si>
  <si>
    <t>ΙΟΥΛΙΑ</t>
  </si>
  <si>
    <t>ΑΚ294040</t>
  </si>
  <si>
    <t>1194,7</t>
  </si>
  <si>
    <t>1221-1255-1202-1205</t>
  </si>
  <si>
    <t>ΚΑΡΑΜΠΙΝΗ</t>
  </si>
  <si>
    <t>ΑΚ132355</t>
  </si>
  <si>
    <t>1193,7</t>
  </si>
  <si>
    <t>1247-1250-1254-1201-1206-1248-1253-1255-1202-1205-1249</t>
  </si>
  <si>
    <t>ΛΙΣΓΑΡΑ</t>
  </si>
  <si>
    <t>Ν779776</t>
  </si>
  <si>
    <t>1190,4</t>
  </si>
  <si>
    <t>1201-1206-1250-1253-1254-1256-1255-1252-1202-1205-1247-1248-1249-1222</t>
  </si>
  <si>
    <t>ΝΑΝΟΥ</t>
  </si>
  <si>
    <t>ΑΒ492808</t>
  </si>
  <si>
    <t>1190,3</t>
  </si>
  <si>
    <t>1206-1247-1254-1250-1205-1253-1248-1202-1255-1249</t>
  </si>
  <si>
    <t>ΦΡΑΓΚΟΣ</t>
  </si>
  <si>
    <t>ΑΖ859411</t>
  </si>
  <si>
    <t>1190,1</t>
  </si>
  <si>
    <t>1220-1248-1253-1256-1206-1249-1252-1247-1254-1218-1255</t>
  </si>
  <si>
    <t>ΑΝΔΡΙΑΝΟΠΟΥΛΟΣ</t>
  </si>
  <si>
    <t>ΧΑΡΑΛΑΜΠΟΣ - ΧΡΗΣΤΟΣ</t>
  </si>
  <si>
    <t>Χ437308</t>
  </si>
  <si>
    <t>1189,3</t>
  </si>
  <si>
    <t>1247-1250-1253-1202-1205-1206-1201-1248-1249-1254-1255-1256-1267</t>
  </si>
  <si>
    <t>ΣΑΧΤΟΥΡΗΣ</t>
  </si>
  <si>
    <t>Χ664065</t>
  </si>
  <si>
    <t>1188,2</t>
  </si>
  <si>
    <t>1205-1202-1221-1217-1247-1250-1255-1206-1201-1219-1248-1254-1253-1267-1249</t>
  </si>
  <si>
    <t>ΞΥΛΟΓΙΑΝΝΗ</t>
  </si>
  <si>
    <t>ΑΖ643275</t>
  </si>
  <si>
    <t>1253-1248-1206-1202-1255-1205-1250-1249-1254-1247-1267</t>
  </si>
  <si>
    <t>ΜΑΣΤΡΟΓΑΛΙΑ</t>
  </si>
  <si>
    <t xml:space="preserve">ΕΥΑΓΓΕΛΟΣ </t>
  </si>
  <si>
    <t>ΑΙ480657</t>
  </si>
  <si>
    <t>1247-1250-1254-1249-1253-1248-1256-1255</t>
  </si>
  <si>
    <t>ΣΤΑΘΟΠΟΥΛΟΥ</t>
  </si>
  <si>
    <t>ΑΙ546200</t>
  </si>
  <si>
    <t>1184,9</t>
  </si>
  <si>
    <t>1255-1251-1202-1204-1205-1221-1223-1250-1217-1218</t>
  </si>
  <si>
    <t>ΛΕΜΟΝΙΑ</t>
  </si>
  <si>
    <t>Τ494077</t>
  </si>
  <si>
    <t>1184,6</t>
  </si>
  <si>
    <t>ΑΖ643276</t>
  </si>
  <si>
    <t>1253-1255-1202-1250-1205-1206-1247-1248-1254-1249-1267</t>
  </si>
  <si>
    <t>ΔΕΡΜΕΝΤΖΟΓΛΟΥ</t>
  </si>
  <si>
    <t>ΑΗ164763</t>
  </si>
  <si>
    <t>1183,6</t>
  </si>
  <si>
    <t>1219-1248-1267-1253-1206-1249-1205-1255-1247-1250-1217-1202-1254</t>
  </si>
  <si>
    <t>ΑΔΑΜΑΚΗ</t>
  </si>
  <si>
    <t>ΑΒ868913</t>
  </si>
  <si>
    <t>1248-1267-1249-1222-1206-1256-1255-1253-1254-1250-1247</t>
  </si>
  <si>
    <t>ΓΕΩΡΓΟΥΛΑΚΗ</t>
  </si>
  <si>
    <t>ΑΙ500460</t>
  </si>
  <si>
    <t>1255-1202-1247-1250-1254-1201-1248-1252-1253-1206-1249</t>
  </si>
  <si>
    <t>ΑΙ865918</t>
  </si>
  <si>
    <t>1178,7</t>
  </si>
  <si>
    <t>1201-1248-1267-1249-1254-1253-1247-1250-1206-1256-1202-1205-1255</t>
  </si>
  <si>
    <t>ΠΕΤΡΟΥ</t>
  </si>
  <si>
    <t>ΜΑΡΙΑ ΜΑΡΘΑ</t>
  </si>
  <si>
    <t>ΑΖ286135</t>
  </si>
  <si>
    <t>798,6</t>
  </si>
  <si>
    <t>1178,6</t>
  </si>
  <si>
    <t>1247-1248-1201-1267-1249-1250-1253-1254-1255-1206-1205-1202-1221</t>
  </si>
  <si>
    <t>ΑΝΔΡΙΑΝΑΚΗ</t>
  </si>
  <si>
    <t>ΑΚ485683</t>
  </si>
  <si>
    <t>1177,7</t>
  </si>
  <si>
    <t>ΧΑΒΕΛΑΣ</t>
  </si>
  <si>
    <t>ΑΕ726606</t>
  </si>
  <si>
    <t>1247-1248-1201-1250-1249-1256-1253-1254-1257-1202-1221-1255</t>
  </si>
  <si>
    <t>ΑΒ413713</t>
  </si>
  <si>
    <t>899,8</t>
  </si>
  <si>
    <t>1174,8</t>
  </si>
  <si>
    <t>1218-1203-1221-1201-1202-1248-1247-1250-1254-1253-1249-1206-1255-1223-1256-1267</t>
  </si>
  <si>
    <t>ΣΤΑΥΡΙΔΟΥ</t>
  </si>
  <si>
    <t>ΑΒ716631</t>
  </si>
  <si>
    <t>1219-1248-1267-1253-1222-1256-1249-1206-1201-1247-1250-1217-1254-1202-1205-1221-1255-1251</t>
  </si>
  <si>
    <t>ΜΠΑΡΑΤΣΑΣ</t>
  </si>
  <si>
    <t>ΑΒ090001</t>
  </si>
  <si>
    <t>903,1</t>
  </si>
  <si>
    <t>1173,1</t>
  </si>
  <si>
    <t>1267-1248-1219-1253-1247-1256-1254-1250-1249-1217-1206-1205-1202-1201-1255-1251</t>
  </si>
  <si>
    <t>ΕΥΔΟΞΟΣ</t>
  </si>
  <si>
    <t>ΑΕ283757</t>
  </si>
  <si>
    <t>1219-1248-1267-1218-1220-1222-1217-1250-1254-1202-1204-1205-1255-1221-1247-1203-1201-1252-1206-1253-1256-1249-1223-1251</t>
  </si>
  <si>
    <t>ΤΕΝΕΚΕΤΖΗΣ</t>
  </si>
  <si>
    <t>ΑΖ341824</t>
  </si>
  <si>
    <t>1172,6</t>
  </si>
  <si>
    <t>1222-1206-1267-1248-1205-1202-1201-1255-1247-1249-1254-1257-1250-1253-1251-1256</t>
  </si>
  <si>
    <t>ΑΛΑΧΟΥΖΟΥ</t>
  </si>
  <si>
    <t>ΝΟΜΙΚΗ</t>
  </si>
  <si>
    <t>Τ071033</t>
  </si>
  <si>
    <t>1172,5</t>
  </si>
  <si>
    <t>1247-1206-1217-1248-1267-1250-1219-1254-1205-1255-1202-1253-1249-1201</t>
  </si>
  <si>
    <t>ΒΑΙΤΣΗΣ</t>
  </si>
  <si>
    <t>ΑΒ853387</t>
  </si>
  <si>
    <t>904,2</t>
  </si>
  <si>
    <t>1172,2</t>
  </si>
  <si>
    <t>1201-1202-1204-1205-1206-1218-1221-1247-1248-1249-1250-1253-1254-1255-1203-1267</t>
  </si>
  <si>
    <t>ΑΚ156795</t>
  </si>
  <si>
    <t>1171,8</t>
  </si>
  <si>
    <t>1250-1254-1247-1218-1248-1267-1253-1249-1206-1255</t>
  </si>
  <si>
    <t>ΧΑΡΑΛΑΜΠΟΥΣ</t>
  </si>
  <si>
    <t>ΑΙ915556</t>
  </si>
  <si>
    <t>ΞΑΡΧΑΚΟΥ</t>
  </si>
  <si>
    <t>Τ133430</t>
  </si>
  <si>
    <t>1170,5</t>
  </si>
  <si>
    <t>1251-1221-1247-1248-1249-1250-1252-1255-1267</t>
  </si>
  <si>
    <t>ΑΝΔΡΕΔΑΚΗΣ</t>
  </si>
  <si>
    <t>ΑΙ446500</t>
  </si>
  <si>
    <t>1169,5</t>
  </si>
  <si>
    <t>ΒΡΟΣΓΟΣ</t>
  </si>
  <si>
    <t>ΑΗ239829</t>
  </si>
  <si>
    <t>1168,3</t>
  </si>
  <si>
    <t>ΔΗΜΗΤΡΙΟΥ</t>
  </si>
  <si>
    <t>ΑΗ142248</t>
  </si>
  <si>
    <t>1166,1</t>
  </si>
  <si>
    <t>1254-1247-1248-1267-1253-1249-1206-1250-1255-1202</t>
  </si>
  <si>
    <t>ΒΟΥΓΙΟΥΚΑΛΑΚΗΣ</t>
  </si>
  <si>
    <t>ΑΗ 205615</t>
  </si>
  <si>
    <t>1165,8</t>
  </si>
  <si>
    <t>1249-1259-1205-1231-1255-1217-1250-1232-1253-1202-1266-1201-1206-1219-1247-1248-1251-1254-1256-1229-1261-1262-1263-1264-1265-1267</t>
  </si>
  <si>
    <t>ΠΑΡΘΕΝΑ</t>
  </si>
  <si>
    <t>ΑΜ910800</t>
  </si>
  <si>
    <t>1206-1204-1205-1202-1222-1248-1219-1249-1255</t>
  </si>
  <si>
    <t>ΑΕ820358</t>
  </si>
  <si>
    <t>1161,4</t>
  </si>
  <si>
    <t>1249-1256-1253-1248-1201-1206-1223-1250-1254-1247-1255-1205-1202</t>
  </si>
  <si>
    <t>ΚΗΡΥΚΟΥ</t>
  </si>
  <si>
    <t>ΑΚ342435</t>
  </si>
  <si>
    <t>1161,2</t>
  </si>
  <si>
    <t>1247-1248-1250-1217-1253-1255-1254-1256-1204-1205-1202-1201-1206-1249-1252-1218-1219-1221-1220</t>
  </si>
  <si>
    <t>ΡΕΒΕΝΑ</t>
  </si>
  <si>
    <t>ΑΕ321154</t>
  </si>
  <si>
    <t>1160,8</t>
  </si>
  <si>
    <t>1204-1218-1220-1223-1203-1252-1221-1201-1202-1205-1206-1249-1250-1256-1255-1254-1253</t>
  </si>
  <si>
    <t>ΔΑΛΑΣ</t>
  </si>
  <si>
    <t>ΑΗ896935</t>
  </si>
  <si>
    <t>1160,6</t>
  </si>
  <si>
    <t>1222-1205-1202-1219-1221-1248-1255-1223-1253-1254-1256-1247-1249-1250</t>
  </si>
  <si>
    <t>ΧΑΤΖΑΡΑ</t>
  </si>
  <si>
    <t>Σ920071</t>
  </si>
  <si>
    <t>1159,5</t>
  </si>
  <si>
    <t>1203-1201-1254-1223-1248-1249-1253-1206-1256-1218-1250-1247-1255-1205-1204-1202-1221</t>
  </si>
  <si>
    <t>ΜΠΟΥΖΙΚΑ</t>
  </si>
  <si>
    <t>ΑΑ789859</t>
  </si>
  <si>
    <t>925,1</t>
  </si>
  <si>
    <t>1159,1</t>
  </si>
  <si>
    <t>1250-1217-1218-1202-1252-1201-1205-1219-1254-1206-1247-1248-1249-1253-1255-1267-1222-1251-1256</t>
  </si>
  <si>
    <t>ΤΣΟΥΠΑ</t>
  </si>
  <si>
    <t>ΑΙ333128</t>
  </si>
  <si>
    <t>639,1</t>
  </si>
  <si>
    <t>1248-1219-1249-1206-1253-1247-1218-1254-1217-1255-1204-1205-1202-1220-1203-1222-1223-1251-1256</t>
  </si>
  <si>
    <t>Τ999037</t>
  </si>
  <si>
    <t>787,6</t>
  </si>
  <si>
    <t>1158,6</t>
  </si>
  <si>
    <t>ΚΩΣΤΑΚΗΣ</t>
  </si>
  <si>
    <t>ΑΡΗΣ-ΠΑΝΑΓΙΩΤΗΣ</t>
  </si>
  <si>
    <t>ΑΙ319768</t>
  </si>
  <si>
    <t>1158,3</t>
  </si>
  <si>
    <t>ΜΑΝΔΗΛΑ</t>
  </si>
  <si>
    <t>ΑΕ793360</t>
  </si>
  <si>
    <t>658,9</t>
  </si>
  <si>
    <t>1157,9</t>
  </si>
  <si>
    <t>1221-1255-1205-1201-1247-1202-1253-1206-1254-1267-1248-1250-1249</t>
  </si>
  <si>
    <t>ΑΥΓΕΡΙΝΟΥ</t>
  </si>
  <si>
    <t>ΠΕΡΣΕΦΟΝΗ</t>
  </si>
  <si>
    <t>ΑΑ322868</t>
  </si>
  <si>
    <t>1156,5</t>
  </si>
  <si>
    <t>1202-1205-1206-1219-1247-1248-1249-1250-1253-1254-1255-1267-1201</t>
  </si>
  <si>
    <t>ΚΑΤΣΑΔΟΥΡΑΣ</t>
  </si>
  <si>
    <t>Χ983489</t>
  </si>
  <si>
    <t>1254-1252-1218-1247-1203-1217-1250-1255-1205-1204-1221-1206-1202</t>
  </si>
  <si>
    <t>ΤΣΙΓΑΡΑΣ</t>
  </si>
  <si>
    <t>ΑΒ490105</t>
  </si>
  <si>
    <t>1155,7</t>
  </si>
  <si>
    <t>1254-1201-1247-1267-1248-1250-1206-1249-1253-1256-1255-1205-1202-1218-1223-1222</t>
  </si>
  <si>
    <t>ΔΗΜΟΣΘΕΝΗΣ</t>
  </si>
  <si>
    <t>ΑΚ987231</t>
  </si>
  <si>
    <t>1154,2</t>
  </si>
  <si>
    <t>1256-1253-1248-1206-1249-1247-1250-1255-1254</t>
  </si>
  <si>
    <t>ΗΛΙΟΠΟΥΛΟΥ</t>
  </si>
  <si>
    <t>ΣΤΑΜΑΤΙΟΣ</t>
  </si>
  <si>
    <t>ΑΗ709030</t>
  </si>
  <si>
    <t>1151,1</t>
  </si>
  <si>
    <t>1219-1221-1222-1223-1217-1247-1248-1249-1250-1252-1253-1254-1255-1256</t>
  </si>
  <si>
    <t>ΠΑΡΠΟΥΤΖΙΔΟΥ</t>
  </si>
  <si>
    <t>Χ751028</t>
  </si>
  <si>
    <t>1150,9</t>
  </si>
  <si>
    <t>1219-1248-1267-1253-1249-1206-1201-1203-1252-1204-1205-1202-1217-1218-1221-1247-1250-1255-1254</t>
  </si>
  <si>
    <t>ΣΑΚΟΓΛΟΥ</t>
  </si>
  <si>
    <t>ΑΕ814544</t>
  </si>
  <si>
    <t>1150,8</t>
  </si>
  <si>
    <t>1205-1202-1255-1249-1253-1248-1219-1267-1201-1206-1217-1218-1222-1247-1254-1250-1256-1251</t>
  </si>
  <si>
    <t>ΚΑΡΑΜΑΝΛΗΣ</t>
  </si>
  <si>
    <t>ΑΑ229808</t>
  </si>
  <si>
    <t>1150,7</t>
  </si>
  <si>
    <t>1219-1248-1267-1253-1206-1249-1201-1202-1205-1247-1255</t>
  </si>
  <si>
    <t>Χ574046</t>
  </si>
  <si>
    <t>1205-1255-1254-1202-1247-1250-1201</t>
  </si>
  <si>
    <t>ΔΕΣΚΑΤΑ</t>
  </si>
  <si>
    <t>ΑΒ422716</t>
  </si>
  <si>
    <t>1149,8</t>
  </si>
  <si>
    <t>1255-1254-1253-1256-1249-1267-1248-1247-1250-1206</t>
  </si>
  <si>
    <t>ΚΑΡΑΓΑΤΣΟΣ</t>
  </si>
  <si>
    <t>ΑΙ999281</t>
  </si>
  <si>
    <t>910,8</t>
  </si>
  <si>
    <t>1148,8</t>
  </si>
  <si>
    <t>1254-1252-1219-1206-1222-1221-1223-1255-1256-1247-1248-1249-1250-1251</t>
  </si>
  <si>
    <t>ΓΑΡΕΔΑΚΗ</t>
  </si>
  <si>
    <t>Φ347965</t>
  </si>
  <si>
    <t>1148,7</t>
  </si>
  <si>
    <t>ΜΙΧΕΑ</t>
  </si>
  <si>
    <t>ΑΙ328571</t>
  </si>
  <si>
    <t>1148,3</t>
  </si>
  <si>
    <t>1248-1253-1206-1247-1249-1255-1252-1254-1250-1256</t>
  </si>
  <si>
    <t>ΔΡΟΥΓΓΟΣ</t>
  </si>
  <si>
    <t>ΑΚ276631</t>
  </si>
  <si>
    <t>1147,7</t>
  </si>
  <si>
    <t>1255-1206-1253-1249-1267-1248-1254-1247-1250</t>
  </si>
  <si>
    <t>ΚΑΡΑΛΙΔΟΥ</t>
  </si>
  <si>
    <t>Φ315143</t>
  </si>
  <si>
    <t>1146,3</t>
  </si>
  <si>
    <t>1202-1206-1221-1247-1248-1249-1250-1253-1254-1255-1267</t>
  </si>
  <si>
    <t>ΚΑΤΩΤΙΚΙΔΗ</t>
  </si>
  <si>
    <t>Φ329239</t>
  </si>
  <si>
    <t>1145,7</t>
  </si>
  <si>
    <t>1222-1219-1248-1206-1255-1205-1217-1250-1253-1249-1201-1254-1247-1251-1202</t>
  </si>
  <si>
    <t>ΚΑΤΣΟΥΛΙΔΗ</t>
  </si>
  <si>
    <t>ΑΕ757208</t>
  </si>
  <si>
    <t>1145,1</t>
  </si>
  <si>
    <t>1249-1201-1253-1254-1248-1250-1247-1206-1205-1202-1255-1256-1251</t>
  </si>
  <si>
    <t>ΤΣΑΝΗΣ</t>
  </si>
  <si>
    <t>Χ378520</t>
  </si>
  <si>
    <t>1143,3</t>
  </si>
  <si>
    <t>1249-1253-1206-1248-1247-1250-1254-1252-1255-1267-1218</t>
  </si>
  <si>
    <t>ΜΑΝΔΕΧΟΥ</t>
  </si>
  <si>
    <t>ΑΒ908074</t>
  </si>
  <si>
    <t>830,5</t>
  </si>
  <si>
    <t>1142,5</t>
  </si>
  <si>
    <t>1206-1222-1219-1248-1249-1223-1220-1256-1202-1204-1205-1201-1217-1218-1221-1247-1250-1251-1252-1253-1254-1255</t>
  </si>
  <si>
    <t>ΤΣΑΚΙΡΙΔΗΣ</t>
  </si>
  <si>
    <t>ΑΙ323987</t>
  </si>
  <si>
    <t>1249-1253-1248-1206-1255-1247-1250-1254</t>
  </si>
  <si>
    <t>ΓΕΩΡΓΑΤΖΗ</t>
  </si>
  <si>
    <t>ΑΚ765896</t>
  </si>
  <si>
    <t>970,2</t>
  </si>
  <si>
    <t>1140,2</t>
  </si>
  <si>
    <t>1203-1252-1254-1217-1250-1223-1247-1249-1206-1267-1219-1248-1218-1222-1220-1253-1256-1202-1204-1205-1255-1221-1201</t>
  </si>
  <si>
    <t>ΤΑΒΟΥΛΑΡΕΑ</t>
  </si>
  <si>
    <t>ΑΜ767360</t>
  </si>
  <si>
    <t>1069,2</t>
  </si>
  <si>
    <t>1139,2</t>
  </si>
  <si>
    <t>1247-1217-1250-1255-1205-1202-1219-1248-1253-1256-1254-1206-1249-1251-1201</t>
  </si>
  <si>
    <t>ΜΠΑΡΑ</t>
  </si>
  <si>
    <t>ΕΛΕΝΗ ΕΛΠΙΔΑ</t>
  </si>
  <si>
    <t>Τ988441</t>
  </si>
  <si>
    <t>1138,8</t>
  </si>
  <si>
    <t>1201-1254-1249-1248-1267-1247-1253-1250-1206-1221-1255-1202-1205</t>
  </si>
  <si>
    <t>ΤΑΤΣΙΟΣ</t>
  </si>
  <si>
    <t>Τ407844</t>
  </si>
  <si>
    <t>1203-1204-1206-1202-1205-1217-1218-1219-1220-1221-1222-1223-1267-1247-1248-1249-1250-1251-1252-1253-1254-1255-1256</t>
  </si>
  <si>
    <t>ΤΕΡΖΗΣ</t>
  </si>
  <si>
    <t>ΑΚ445913</t>
  </si>
  <si>
    <t>1138,1</t>
  </si>
  <si>
    <t>1206-1251-1223-1249-1254-1255-1250-1217-1218-1221</t>
  </si>
  <si>
    <t>ΦΑΜΕΛΛΟΥ</t>
  </si>
  <si>
    <t>ΑΙ770583</t>
  </si>
  <si>
    <t>1137,4</t>
  </si>
  <si>
    <t>1250-1247-1217-1254-1201-1202-1248-1205-1255-1249-1253-1206-1251-1256</t>
  </si>
  <si>
    <t>ΓΑΤΗ</t>
  </si>
  <si>
    <t>ΑΗ999999</t>
  </si>
  <si>
    <t>1137,3</t>
  </si>
  <si>
    <t>1201-1202-1254-1250-1253-1249-1255-1206-1205</t>
  </si>
  <si>
    <t>ΖΑΜΠΟΥΝΗ</t>
  </si>
  <si>
    <t>ΑΖ832552</t>
  </si>
  <si>
    <t>1267-1206-1247-1248-1249-1250-1253-1254-1255</t>
  </si>
  <si>
    <t>ΦΩΤΙΑΔΟΥ</t>
  </si>
  <si>
    <t>ΕΥΔΟΚΙΑ</t>
  </si>
  <si>
    <t>ΑΑ870213</t>
  </si>
  <si>
    <t>1133,9</t>
  </si>
  <si>
    <t>1248-1253-1254-1249-1206-1201-1255</t>
  </si>
  <si>
    <t>ΓΚΑΝΑ</t>
  </si>
  <si>
    <t>Σ380553</t>
  </si>
  <si>
    <t>1133,4</t>
  </si>
  <si>
    <t>1249-1267-1248-1206-1250-1247-1253-1254-1201-1255-1205-1202-1256</t>
  </si>
  <si>
    <t>ΚΑΡΑΜΠΕΡΗ</t>
  </si>
  <si>
    <t>ΑΕ028706</t>
  </si>
  <si>
    <t>1133,2</t>
  </si>
  <si>
    <t>1250-1201-1248-1205-1255-1247-1202-1253-1206-1249-1254-1256</t>
  </si>
  <si>
    <t>ΦΕΛΕΚΗ</t>
  </si>
  <si>
    <t>Χ472794</t>
  </si>
  <si>
    <t>1131,2</t>
  </si>
  <si>
    <t>1222-1217-1219-1220-1221-1223-1247-1248-1249-1250-1251-1252-1253-1254-1255-1256-1267-1202-1203-1204-1205-1206</t>
  </si>
  <si>
    <t>ΦΥΤΟΠΟΥΛΟΥ</t>
  </si>
  <si>
    <t xml:space="preserve">ΛΑΖΑΡΟΣ </t>
  </si>
  <si>
    <t>ΑΗ819939</t>
  </si>
  <si>
    <t>1247-1201-1253-1249-1206-1248-1202-1255-1254</t>
  </si>
  <si>
    <t>ΚΑΤΙΚΑΡΙΔΟΥ</t>
  </si>
  <si>
    <t>Ρ363591</t>
  </si>
  <si>
    <t>1130,7</t>
  </si>
  <si>
    <t>1201-1202-1205-1206-1247-1248-1250-1253-1254-1255</t>
  </si>
  <si>
    <t>ΦΟΥΝΤΖΟΥΛΑ</t>
  </si>
  <si>
    <t>ΑΕ241771</t>
  </si>
  <si>
    <t>690,8</t>
  </si>
  <si>
    <t>1129,8</t>
  </si>
  <si>
    <t>1201-1202-1204-1203-1206-1254-1217-1219-1250-1251-1248-1247-1249-1253-1255-1256</t>
  </si>
  <si>
    <t>ΣΤΕΡΚΟΥΔΗ</t>
  </si>
  <si>
    <t>ΑΖ710355</t>
  </si>
  <si>
    <t>1127,8</t>
  </si>
  <si>
    <t>1250-1201-1202-1206-1249-1253-1254-1255-1205-1247-1248</t>
  </si>
  <si>
    <t>ΘΕΟΔΩΡΑΚΟΠΟΥΛΟΥ</t>
  </si>
  <si>
    <t>ΑΒ402459</t>
  </si>
  <si>
    <t>1201-1254-1206-1249-1247-1250-1253-1248-1205-1255-1202</t>
  </si>
  <si>
    <t>ΑΘΑΝΑΣΟΠΟΥΛΟΥ</t>
  </si>
  <si>
    <t>ΑΒ779373</t>
  </si>
  <si>
    <t>1127,1</t>
  </si>
  <si>
    <t>1250-1247-1254-1255-1248-1267-1253-1206</t>
  </si>
  <si>
    <t>ΑΒ380472</t>
  </si>
  <si>
    <t>1125,8</t>
  </si>
  <si>
    <t>1250-1254-1247-1249-1253-1256-1248-1255</t>
  </si>
  <si>
    <t>ΜΟΥΣΑΔΑΚΗΣ</t>
  </si>
  <si>
    <t>ΑΗ977365</t>
  </si>
  <si>
    <t>ΜΟΝΑΣΤΗΡΛΗ</t>
  </si>
  <si>
    <t>ΣΤΑΜΑΤΙΑ ΣΟΦΙΑ</t>
  </si>
  <si>
    <t>ΑΕ377832</t>
  </si>
  <si>
    <t>1119,9</t>
  </si>
  <si>
    <t>1222-1206-1248-1256-1253-1249-1254-1247-1250-1218-1255</t>
  </si>
  <si>
    <t>ΛΕΟΥΝΑΚΗΣ</t>
  </si>
  <si>
    <t>ΤΖΑΝΗΣ</t>
  </si>
  <si>
    <t>ΑΑ492428</t>
  </si>
  <si>
    <t>1119,4</t>
  </si>
  <si>
    <t>1255-1205-1221-1202-1204</t>
  </si>
  <si>
    <t>ΣΙΝΗΣ</t>
  </si>
  <si>
    <t>ΑΕ583423</t>
  </si>
  <si>
    <t>1119,1</t>
  </si>
  <si>
    <t>1202-1203-1204-1205-1206-1217-1218-1219-1220-1221-1222-1223-1247-1248-1249-1250-1252-1253-1254-1255</t>
  </si>
  <si>
    <t>ΑΡΑΜΠΑΤΖΗ</t>
  </si>
  <si>
    <t>Χ386938</t>
  </si>
  <si>
    <t>1206-1248-1267-1256-1253-1249-1201-1247-1254-1202-1250-1255-1205</t>
  </si>
  <si>
    <t>ΖΕΥΓΑΡΑ</t>
  </si>
  <si>
    <t>ΣΤΕΡΓIANH</t>
  </si>
  <si>
    <t>ΑΜ389413</t>
  </si>
  <si>
    <t>1201-1254-1267-1247-1250-1206-1253-1248-1249-1255-1202</t>
  </si>
  <si>
    <t>ΚΟΝΤΟΓΕΩΡΓΟΣ</t>
  </si>
  <si>
    <t>ΑΜ484748</t>
  </si>
  <si>
    <t>1118,9</t>
  </si>
  <si>
    <t>1254-1247-1201-1217-1250-1255-1202-1248-1219-1206</t>
  </si>
  <si>
    <t>ΜΑΡΚΗΣΙΑ</t>
  </si>
  <si>
    <t>Φ316488</t>
  </si>
  <si>
    <t>710,6</t>
  </si>
  <si>
    <t>1118,6</t>
  </si>
  <si>
    <t>1256-1206-1253-1248-1201-1249-1247-1254-1255-1205-1202-1250</t>
  </si>
  <si>
    <t>ΦΡΟΥΔΑΚΗ</t>
  </si>
  <si>
    <t>ΑΑ493253</t>
  </si>
  <si>
    <t>1118,5</t>
  </si>
  <si>
    <t>ΓΙΑΝΝΑΚΙΔΟΥ</t>
  </si>
  <si>
    <t>ΘΕΟΧΑΡΟΥΛΑ</t>
  </si>
  <si>
    <t>ΑΖ906189</t>
  </si>
  <si>
    <t>1206-1248-1267-1253-1249-1252-1203-1201-1247-1254-1250-1218-1202-1221-1205-1255</t>
  </si>
  <si>
    <t>ΠΑΝΑΓΑΡΗ</t>
  </si>
  <si>
    <t>Χ336454</t>
  </si>
  <si>
    <t>1114,1</t>
  </si>
  <si>
    <t>1248-1255-1206-1250-1254-1247-1249-1253</t>
  </si>
  <si>
    <t>ΜΟΥΡΟΥΦΑ</t>
  </si>
  <si>
    <t xml:space="preserve">ΕΛΕΝΗ </t>
  </si>
  <si>
    <t>Τ963130</t>
  </si>
  <si>
    <t>1113,4</t>
  </si>
  <si>
    <t>1201-1206-1247-1253-1254-1255-1256-1202-1248-1249-1250</t>
  </si>
  <si>
    <t>ΧΡΙΣΤΝΑ</t>
  </si>
  <si>
    <t>ΑΗ476513</t>
  </si>
  <si>
    <t>1112,1</t>
  </si>
  <si>
    <t>1202-1201-1203-1204-1220-1252-1222-1223-1218-1217-1221-1247-1248-1255-1253-1267-1256-1205-1206-1249-1254-1250-1219</t>
  </si>
  <si>
    <t>ΧΡΙΣΤΟΥΛΑΚΗ</t>
  </si>
  <si>
    <t>Σ994934</t>
  </si>
  <si>
    <t>1111,8</t>
  </si>
  <si>
    <t>ΜΟΥΓΙΟΥ</t>
  </si>
  <si>
    <t>Τ420604</t>
  </si>
  <si>
    <t>ΒΡΕΤΤΟΣ</t>
  </si>
  <si>
    <t>Χ326218</t>
  </si>
  <si>
    <t>1108,3</t>
  </si>
  <si>
    <t>1247-1250-1254-1248-1267-1255-1206</t>
  </si>
  <si>
    <t>ΑΕ234595</t>
  </si>
  <si>
    <t>1106,5</t>
  </si>
  <si>
    <t>1250-1254-1247-1248-1253-1256-1206-1249-1267-1255-1202</t>
  </si>
  <si>
    <t>ΓΚΟΥΒΡΑ</t>
  </si>
  <si>
    <t>Τ235859</t>
  </si>
  <si>
    <t>1105,4</t>
  </si>
  <si>
    <t>1218-1250-1254-1247-1249-1253-1248-1206-1255-1267-1256</t>
  </si>
  <si>
    <t>ΣΑΡΓΙΩΤΗ</t>
  </si>
  <si>
    <t>Φ334137</t>
  </si>
  <si>
    <t>1105,1</t>
  </si>
  <si>
    <t>1202-1204-1206-1247-1248-1249-1250-1253-1254-1255-1201-1267</t>
  </si>
  <si>
    <t>ΝΤΑΦΟΠΟΥΛΟΥ</t>
  </si>
  <si>
    <t>Ρ348557</t>
  </si>
  <si>
    <t>1102,6</t>
  </si>
  <si>
    <t>1201-1202-1205-1206-1219-1217-1247-1248-1249-1250-1253-1254-1255-1267-1222-1251-1256</t>
  </si>
  <si>
    <t>ΣΒΙΡΟΥ</t>
  </si>
  <si>
    <t>ΑΒ868456</t>
  </si>
  <si>
    <t>1102,5</t>
  </si>
  <si>
    <t>1255-1254-1253-1250-1249-1248-1247-1219-1218-1217-1206-1205-1204-1203-1202</t>
  </si>
  <si>
    <t>ΑΜ417245</t>
  </si>
  <si>
    <t>1101,6</t>
  </si>
  <si>
    <t>1253-1248-1219-1267-1249-1206-1203-1202-1204-1205-1255-1221-1247-1201</t>
  </si>
  <si>
    <t>ΙΩΑΚΕΙΜΙΔΟΥ</t>
  </si>
  <si>
    <t>ΝΕΟΦΥΤΟΣ</t>
  </si>
  <si>
    <t>ΑΒ703031</t>
  </si>
  <si>
    <t>1267-1248-1253-1256-1206-1249-1255-1205-1202-1247-1250-1252-1254</t>
  </si>
  <si>
    <t>ΚΟΥΡΚΟΥΤΑΚΗ</t>
  </si>
  <si>
    <t>ΕΛΠΙΔΑ</t>
  </si>
  <si>
    <t>ΑΒ972698</t>
  </si>
  <si>
    <t>1096,3</t>
  </si>
  <si>
    <t>1255-1204-1205-1221-1202-1219-1217-1250-1247-1206-1252-1254-1253-1249-1203-1218-1248</t>
  </si>
  <si>
    <t>ΝΑΚΟΣ</t>
  </si>
  <si>
    <t>Χ861182</t>
  </si>
  <si>
    <t>1219-1248-1249-1254-1204-1206-1217-1218-1247-1222-1250-1253-1256-1255-1223-1221-1202</t>
  </si>
  <si>
    <t>ΑΜ366079</t>
  </si>
  <si>
    <t>1093,7</t>
  </si>
  <si>
    <t>1201-1267-1219-1248-1249-1206-1253-1254-1256-1205-1255-1202-1247-1217-1250</t>
  </si>
  <si>
    <t>ΣΚΑΡΑ</t>
  </si>
  <si>
    <t>ΑΒ092788</t>
  </si>
  <si>
    <t>1092,6</t>
  </si>
  <si>
    <t>1249-1248-1267-1201-1253-1250-1247-1206-1254-1202-1205-1255</t>
  </si>
  <si>
    <t>ΝΙΚΟΥ</t>
  </si>
  <si>
    <t>Σ870049</t>
  </si>
  <si>
    <t>1247-1217-1219-1248-1249-1253-1254-1256-1267-1206-1205-1202-1201-1250-1251-1255</t>
  </si>
  <si>
    <t>ΠΙΣΤΑ</t>
  </si>
  <si>
    <t>Χ306027</t>
  </si>
  <si>
    <t>1090,8</t>
  </si>
  <si>
    <t>1250-1254-1253-1255-1247-1206-1205-1202-1201-1248-1249</t>
  </si>
  <si>
    <t>ΕΥΚΑΡΠΙΔΗΣ</t>
  </si>
  <si>
    <t>ΑΒ919613</t>
  </si>
  <si>
    <t>856,9</t>
  </si>
  <si>
    <t>1086,9</t>
  </si>
  <si>
    <t>1248-1206-1202-1253-1255-1249-1205-1250-1254-1201-1247-1267-1256</t>
  </si>
  <si>
    <t>ΔΑΟΥΛΑΡΗ</t>
  </si>
  <si>
    <t>ΑΜ749378</t>
  </si>
  <si>
    <t>1247-1250-1254-1206-1201-1253-1256-1202-1205-1255</t>
  </si>
  <si>
    <t>ΚΑΡΟΥΜΠΑ</t>
  </si>
  <si>
    <t>ΑΚ430905</t>
  </si>
  <si>
    <t>916,3</t>
  </si>
  <si>
    <t>1086,3</t>
  </si>
  <si>
    <t>1218-1222-1202-1205-1201-1206-1253-1254-1250-1249-1247-1255-1248-1256-1267</t>
  </si>
  <si>
    <t>ΜΑΓΚΟΥΣΟΧΑΤΖΑΚΗ</t>
  </si>
  <si>
    <t>Σ424102</t>
  </si>
  <si>
    <t>1202-1221-1204-1205-1250-1247-1248-1249-1255-1267-1253-1201</t>
  </si>
  <si>
    <t>ΜΑΝΤΖΙΑΡΑΣ</t>
  </si>
  <si>
    <t>ΑΜ844391</t>
  </si>
  <si>
    <t>1085,2</t>
  </si>
  <si>
    <t>1201-1253-1254-1249-1267-1248-1247-1206-1255-1205-1202-1250</t>
  </si>
  <si>
    <t>ΤΣΕΡΕΒΕΛΑΚΗ</t>
  </si>
  <si>
    <t>ΑΒ181010</t>
  </si>
  <si>
    <t>1084,3</t>
  </si>
  <si>
    <t>ΒΛΑΧΟΥ</t>
  </si>
  <si>
    <t>ΑΗ291593</t>
  </si>
  <si>
    <t>1083,6</t>
  </si>
  <si>
    <t>1253-1249-1256-1248-1247-1250-1255-1254-1251-1252-1219-1223-1217-1221-1267-1205-1204-1202-1206-1203</t>
  </si>
  <si>
    <t>ΜΠΟΜΠΟΛΑΚΗΣ</t>
  </si>
  <si>
    <t>Σ499521</t>
  </si>
  <si>
    <t>1205-1255-1202-1247-1250-1248-1267-1201-1206-1256-1254-1253-1249</t>
  </si>
  <si>
    <t>ΚΡΟΣΤΑΛΛΗΣ</t>
  </si>
  <si>
    <t>Χ891143</t>
  </si>
  <si>
    <t>1081,4</t>
  </si>
  <si>
    <t>1249-1248-1253-1206-1250-1251-1247-1254-1255-1256</t>
  </si>
  <si>
    <t>ΠΑΤΡΙΝΟΥ</t>
  </si>
  <si>
    <t>Ρ475512</t>
  </si>
  <si>
    <t>1254-1250-1247-1248-1249-1253-1255</t>
  </si>
  <si>
    <t>ΚΑΛΟΓΙΑΝΝΗ</t>
  </si>
  <si>
    <t>ΑΒ080163</t>
  </si>
  <si>
    <t>1079,6</t>
  </si>
  <si>
    <t>1217-1250-1247-1254-1219-1248-1201-1249-1253-1255-1202-1206</t>
  </si>
  <si>
    <t>ΜΑΤΕΑ</t>
  </si>
  <si>
    <t>ΕΛΙΣΣΑΒΕΤ</t>
  </si>
  <si>
    <t>Φ493441</t>
  </si>
  <si>
    <t>1222-1267-1201-1202-1204-1205-1206-1217-1218-1219-1220-1221-1223-1247-1248-1249-1250-1251-1252-1253-1254-1255-1256</t>
  </si>
  <si>
    <t>ΛΑΖΑΡΙΔΗ</t>
  </si>
  <si>
    <t>Χ876698</t>
  </si>
  <si>
    <t>888,8</t>
  </si>
  <si>
    <t>1077,8</t>
  </si>
  <si>
    <t>1201-1202-1206-1217-1219-1247-1248-1249-1250-1251-1253-1254-1255-1256-1267</t>
  </si>
  <si>
    <t>ΚΟΥΤΡΟΥΜΠΑ</t>
  </si>
  <si>
    <t>ΑΜ351323</t>
  </si>
  <si>
    <t>1248-1267-1202-1201-1206-1247-1249-1250-1253-1254-1256-1255-1205-1252-1251-1218-1203-1204-1217-1219-1220-1221-1222-1223</t>
  </si>
  <si>
    <t>ΛΑΓΟΓΙΑΝΝΗ</t>
  </si>
  <si>
    <t>ΑΑ072289</t>
  </si>
  <si>
    <t>1247-1250-1248-1255-1202</t>
  </si>
  <si>
    <t>ΜΑΓΙΑΦΑΣ</t>
  </si>
  <si>
    <t>ΑΚ329566</t>
  </si>
  <si>
    <t>1267-1248-1255-1253-1249-1206-1254-1247-1250-1256</t>
  </si>
  <si>
    <t>ΑΓΓΕΛΗΣ</t>
  </si>
  <si>
    <t>Χ982853</t>
  </si>
  <si>
    <t>1075,6</t>
  </si>
  <si>
    <t>1254-1255-1256-1253-1267-1203-1202-1204-1205-1206-1218-1221-1223-1247-1248-1249-1250</t>
  </si>
  <si>
    <t>ΠΙΠΙΛΑ</t>
  </si>
  <si>
    <t>Χ409843</t>
  </si>
  <si>
    <t>1074,3</t>
  </si>
  <si>
    <t>ΦΩΤΟΠΟΥΛΟΣ</t>
  </si>
  <si>
    <t>ΑΗ734277</t>
  </si>
  <si>
    <t>1073,2</t>
  </si>
  <si>
    <t>1250-1202-1203-1221-1255-1204-1205-1254-1218-1267-1201-1223-1206-1249-1253-1256</t>
  </si>
  <si>
    <t>ΓΚΡΕΚΟΣ</t>
  </si>
  <si>
    <t>Χ977412</t>
  </si>
  <si>
    <t>1072,2</t>
  </si>
  <si>
    <t>1201-1219-1217-1254-1247-1250-1249-1248-1206-1253-1202-1205-1255</t>
  </si>
  <si>
    <t>ΘΩΜΟΠΟΥΛΟΥ</t>
  </si>
  <si>
    <t>ΑΗ730153</t>
  </si>
  <si>
    <t>1071,7</t>
  </si>
  <si>
    <t>1267-1202-1205-1206-1247-1248-1249-1250-1253-1254-1255-1256</t>
  </si>
  <si>
    <t>ΣΤΙΒΑΝΑΚΗ</t>
  </si>
  <si>
    <t>Π994185</t>
  </si>
  <si>
    <t>1255-1247-1250-1254-1206-1248-1267-1253-1249</t>
  </si>
  <si>
    <t>ΚΑΡΑΝΤΩΝΗ</t>
  </si>
  <si>
    <t>ΔΗΜΗΤΡΑ ΧΑΡΑ</t>
  </si>
  <si>
    <t>ΑΕ867512</t>
  </si>
  <si>
    <t>1068,1</t>
  </si>
  <si>
    <t>1219-1267-1206-1248-1201-1253-1249-1254-1255-1205-1221-1202-1250-1247-1217-1256</t>
  </si>
  <si>
    <t xml:space="preserve">Παπαϊωάννου </t>
  </si>
  <si>
    <t>Βασιλικη</t>
  </si>
  <si>
    <t xml:space="preserve">Ευάγγελος </t>
  </si>
  <si>
    <t>ΑΕ343226</t>
  </si>
  <si>
    <t>1249-1256-1206-1253-1248-1267-1254-1247-1205-1255-1204</t>
  </si>
  <si>
    <t>ΣΤΑΜΑΤΟΠΟΥΛΟΣ</t>
  </si>
  <si>
    <t>ΑΝΑΣΤΑΣΗΣ</t>
  </si>
  <si>
    <t>ΑΙ405861</t>
  </si>
  <si>
    <t>1067,7</t>
  </si>
  <si>
    <t>1206-1219-1248-1253-1256-1254-1201-1249-1247-1250-1217-1202-1255-1251</t>
  </si>
  <si>
    <t>ΛΙΑΠΑΤΗΣ</t>
  </si>
  <si>
    <t>Χ863275</t>
  </si>
  <si>
    <t>1067,5</t>
  </si>
  <si>
    <t>1202-1203-1204-1205-1206-1247-1248-1249-1250-1251-1252-1253-1254-1255-1256</t>
  </si>
  <si>
    <t>ΡΟΒΥΘΑΚΗ</t>
  </si>
  <si>
    <t>ΑΜ453840</t>
  </si>
  <si>
    <t>1067,2</t>
  </si>
  <si>
    <t>1202-1205-1255-1221-1248-1249-1247-1250-1253-1256-1206-1267-1254-1201</t>
  </si>
  <si>
    <t>ΑΥΓΕΡΗΣ</t>
  </si>
  <si>
    <t>Χ362404</t>
  </si>
  <si>
    <t>1066,8</t>
  </si>
  <si>
    <t>1219-1267-1248-1222-1217-1250-1249-1203-1247-1220-1253-1256-1251-1223-1252-1218-1206-1254-1204-1205-1255-1221</t>
  </si>
  <si>
    <t>ΣΑΡΤΖΕΤΑΚΗ</t>
  </si>
  <si>
    <t>Χ995907</t>
  </si>
  <si>
    <t>1065,8</t>
  </si>
  <si>
    <t>1255-1205-1202-1221-1248-1201-1247-1253-1254-1206-1250-1249-1222-1256</t>
  </si>
  <si>
    <t>ΠΑΠΑΛΕΟΝΤΗΣ</t>
  </si>
  <si>
    <t>ΑΙ360605</t>
  </si>
  <si>
    <t>1065,2</t>
  </si>
  <si>
    <t>1220-1206-1217-1218-1219-1223-1247-1248-1249-1250-1251-1252-1253-1254-1255-1256</t>
  </si>
  <si>
    <t>ΚΟΝΤΟΒΑ</t>
  </si>
  <si>
    <t>Φ301814</t>
  </si>
  <si>
    <t>1064,4</t>
  </si>
  <si>
    <t>ΣΑΜΑΝΔΗ</t>
  </si>
  <si>
    <t>ΠΑΣΧΑΛΙΝΑ</t>
  </si>
  <si>
    <t>ΑΒ442202</t>
  </si>
  <si>
    <t>1064,2</t>
  </si>
  <si>
    <t>1219-1248-1267-1253-1206-1249-1201-1254-1247-1217-1250-1202-1255-1205-1256-1220-1222-1203-1252-1218-1204-1221-1223-1251</t>
  </si>
  <si>
    <t>ΑΖ798170</t>
  </si>
  <si>
    <t>1063,2</t>
  </si>
  <si>
    <t>1219-1248-1267-1249-1253-1252-1201-1203-1206-1254-1202-1204-1205-1255-1221-1218-1217-1250-1247-1222</t>
  </si>
  <si>
    <t>ΑΖ744979</t>
  </si>
  <si>
    <t>1248-1267-1247-1206-1255-1253-1254-1256-1250-1249-1252-1201</t>
  </si>
  <si>
    <t>ΣΥΛΕΟΥΝΗ</t>
  </si>
  <si>
    <t>ΑΗ785843</t>
  </si>
  <si>
    <t>1062,9</t>
  </si>
  <si>
    <t>1201-1254-1247-1267-1253-1249-1206-1250-1248-1255-1205-1202-1222-1256</t>
  </si>
  <si>
    <t>ΣΤΕΛΛΑ-ΜΑΡΙΑ</t>
  </si>
  <si>
    <t>Ρ710352</t>
  </si>
  <si>
    <t>1248-1247-1253-1206-1249-1250-1254-1202-1205-1221-1255</t>
  </si>
  <si>
    <t>ΓΙΑΝΝΟΥΛΑ</t>
  </si>
  <si>
    <t>ΑΒ545349</t>
  </si>
  <si>
    <t>1059,9</t>
  </si>
  <si>
    <t>1206-1204-1205-1255-1202-1203-1249-1250-1253-1254-1256-1221-1218-1223-1219-1201</t>
  </si>
  <si>
    <t>ΜΑΥΡΟΘΑΛΑΣΣΙΤΗΣ</t>
  </si>
  <si>
    <t>ΑΖ944052</t>
  </si>
  <si>
    <t>1059,2</t>
  </si>
  <si>
    <t>1202-1255-1205-1247-1248-1250-1253-1201-1254-1206-1249</t>
  </si>
  <si>
    <t>ΚΟΥΝΤΑΣ</t>
  </si>
  <si>
    <t>Χ868719</t>
  </si>
  <si>
    <t>1058,3</t>
  </si>
  <si>
    <t>1206-1267-1255-1204-1203-1202-1221-1248-1247-1249-1250</t>
  </si>
  <si>
    <t>ΓΚΙΚΑ</t>
  </si>
  <si>
    <t>ΙΣΤΡΟΣ</t>
  </si>
  <si>
    <t>ΑΚ767811</t>
  </si>
  <si>
    <t>1253-1219-1248-1250-1217-1247-1254-1201-1249-1206-1202-1205-1255</t>
  </si>
  <si>
    <t>ΚΟΚΟΛΑΚΗ</t>
  </si>
  <si>
    <t>Φ251411</t>
  </si>
  <si>
    <t>1056,6</t>
  </si>
  <si>
    <t>1202-1205-1255-1221-1204</t>
  </si>
  <si>
    <t>ΧΡΙΣΤΟΔΟΥΛΟΥ</t>
  </si>
  <si>
    <t>ΜΑΡΙΛΕΝΑ</t>
  </si>
  <si>
    <t>Χ496886</t>
  </si>
  <si>
    <t>1053,9</t>
  </si>
  <si>
    <t>ΚΕΡΑΜΗΔΑΣ</t>
  </si>
  <si>
    <t>ΑΝ118516</t>
  </si>
  <si>
    <t>ΠΛΟΥΜΗ</t>
  </si>
  <si>
    <t>ΜΑΡΙΑ ΠΑΡΑΣΚΕΥΗ</t>
  </si>
  <si>
    <t>ΑΖ971170</t>
  </si>
  <si>
    <t>1051,7</t>
  </si>
  <si>
    <t>1205-1267-1217-1255-1202-1219-1252-1248-1201-1206-1250-1247-1249-1254-1253</t>
  </si>
  <si>
    <t>ΚΥΡΚΟΥ</t>
  </si>
  <si>
    <t>ΑΙ840921</t>
  </si>
  <si>
    <t>1256-1201-1255-1202-1205-1206-1248-1249-1247-1253-1254-1250</t>
  </si>
  <si>
    <t>ΓΕΡΟΔΗΜΟΣ</t>
  </si>
  <si>
    <t>ΑΜ654538</t>
  </si>
  <si>
    <t>1048,1</t>
  </si>
  <si>
    <t>ΚΟΡΟΒΕΣΗΣ</t>
  </si>
  <si>
    <t>ΑΝ139286</t>
  </si>
  <si>
    <t>1047,7</t>
  </si>
  <si>
    <t>1247-1250-1254-1255-1217-1248</t>
  </si>
  <si>
    <t>ΚΩΣΤΑΡΕΛΟΥ</t>
  </si>
  <si>
    <t>Φ265436</t>
  </si>
  <si>
    <t>1047,4</t>
  </si>
  <si>
    <t>1202-1206-1247-1248-1249-1250-1253-1254-1255</t>
  </si>
  <si>
    <t>ΛΙΑΝΤΑΣ</t>
  </si>
  <si>
    <t>Χ761747</t>
  </si>
  <si>
    <t>1047,3</t>
  </si>
  <si>
    <t>1248-1219-1222-1202-1203-1204-1205-1206-1217-1218-1220-1221-1223-1247-1249-1250-1251-1252-1253-1254-1255-1256</t>
  </si>
  <si>
    <t>ΜΗΤΡΟΥΣΗ</t>
  </si>
  <si>
    <t>Ρ457687</t>
  </si>
  <si>
    <t>1222-1206-1248-1253-1205-1255-1202-1247-1201-1249-1217-1250-1254</t>
  </si>
  <si>
    <t>Χ979150</t>
  </si>
  <si>
    <t>1046,8</t>
  </si>
  <si>
    <t>1201-1248-1219-1223-1255-1252-1220-1267-1205-1247-1202-1217-1206-1221-1254-1204-1249-1222-1256-1203-1253-1218-1251</t>
  </si>
  <si>
    <t>ΠΟΥΛΤΣΙΔΗ</t>
  </si>
  <si>
    <t>ΑΜ161042</t>
  </si>
  <si>
    <t>1045,3</t>
  </si>
  <si>
    <t>1201-1253-1206-1248-1249-1256-1254-1250-1247-1255-1202-1205</t>
  </si>
  <si>
    <t>ΤΣΑΠΑΚΗ</t>
  </si>
  <si>
    <t>ΤΕΡΨΙΧΟΡΗ</t>
  </si>
  <si>
    <t>ΑΙ460896</t>
  </si>
  <si>
    <t>1044,8</t>
  </si>
  <si>
    <t>ΑΕ801197</t>
  </si>
  <si>
    <t>1042,6</t>
  </si>
  <si>
    <t>1201-1206-1249-1254-1219-1248-1253-1256-1218-1205-1255-1202</t>
  </si>
  <si>
    <t>ΑΝΑΓΝΩΣΤΑΚΗΣ</t>
  </si>
  <si>
    <t>Χ835052</t>
  </si>
  <si>
    <t>1039,8</t>
  </si>
  <si>
    <t>1254-1247-1217-1250-1202-1205-1255-1219-1248-1267-1253-1249-1206-1256-1251</t>
  </si>
  <si>
    <t>ΦΟΥΝΤΟΥΛΑΚΗ</t>
  </si>
  <si>
    <t>ΑΜ965871</t>
  </si>
  <si>
    <t>1039,6</t>
  </si>
  <si>
    <t>ΠΑΛΑΜΙΩΤΗ</t>
  </si>
  <si>
    <t>ΑΖ784307</t>
  </si>
  <si>
    <t>1037,3</t>
  </si>
  <si>
    <t>1201-1254-1248-1247-1206-1249-1253-1250-1205-1255-1202</t>
  </si>
  <si>
    <t>ΑΛΕΞΙΑΔΟΥ</t>
  </si>
  <si>
    <t>ΑΒ433877</t>
  </si>
  <si>
    <t>1249-1253-1248-1267-1206-1254-1250-1247-1255-1219-1252-1217-1204-1205-1221-1202</t>
  </si>
  <si>
    <t>ΚΑΤΗ</t>
  </si>
  <si>
    <t>ΑΡΤΕΜΙΣ</t>
  </si>
  <si>
    <t>ΑΙ838662</t>
  </si>
  <si>
    <t>1036,9</t>
  </si>
  <si>
    <t>1205-1257-1267-1255-1202-1206-1247-1248-1249-1250-1253-1256-1203</t>
  </si>
  <si>
    <t>ΓΟΥΣΗ</t>
  </si>
  <si>
    <t>ΓΛΥΚΕΡΙΑ</t>
  </si>
  <si>
    <t>ΑΒ549920</t>
  </si>
  <si>
    <t>1034,5</t>
  </si>
  <si>
    <t>ΧΑΤΖΗΜΙΧΑΛΗ</t>
  </si>
  <si>
    <t>ΑΒ122283</t>
  </si>
  <si>
    <t>1222-1206-1248-1267-1253-1249-1254-1247-1255</t>
  </si>
  <si>
    <t>ΓΑΛΑΝΟΠΟΥΛΟΣ</t>
  </si>
  <si>
    <t>ΣΑΡΑΝΤΗΣ</t>
  </si>
  <si>
    <t>ΑΗ408899</t>
  </si>
  <si>
    <t>1206-1248-1249-1254-1253-1247-1255-1250-1222-1256</t>
  </si>
  <si>
    <t>ΣΚΟΥΡΑΣ</t>
  </si>
  <si>
    <t>ΑΑ025844</t>
  </si>
  <si>
    <t>1032,6</t>
  </si>
  <si>
    <t>ΓΚΙΖΑ</t>
  </si>
  <si>
    <t>ΑΖ742238</t>
  </si>
  <si>
    <t>1032,5</t>
  </si>
  <si>
    <t>1248-1249-1253-1206-1201-1250-1254-1255-1243-1205-1202-1267-1256</t>
  </si>
  <si>
    <t>ΠΡΙΝΤΖΗ</t>
  </si>
  <si>
    <t>ΑΑ113216</t>
  </si>
  <si>
    <t>800,8</t>
  </si>
  <si>
    <t>1031,8</t>
  </si>
  <si>
    <t>ΤΑΜΠΑΚΗ</t>
  </si>
  <si>
    <t>ΑΕ344464</t>
  </si>
  <si>
    <t>1031,6</t>
  </si>
  <si>
    <t>1219-1217-1251-1249-1248-1247-1206-1205-1202-1255-1253-1254-1201-1256-1267</t>
  </si>
  <si>
    <t>ΣΟΒΙΣΛΗΣ</t>
  </si>
  <si>
    <t>ΑΑ479396</t>
  </si>
  <si>
    <t>1030,9</t>
  </si>
  <si>
    <t>1249-1253-1256-1206-1248-1255-1247-1250-1254</t>
  </si>
  <si>
    <t>ΣΤΑΜΠΟΥΛΙΔΟΥ</t>
  </si>
  <si>
    <t>Σ385236</t>
  </si>
  <si>
    <t>1253-1267-1206-1201-1249-1254-1247-1250-1221-1255-1202-1205-1248-1203-1218</t>
  </si>
  <si>
    <t>ΜΙΝΤΖΙΒΗΡΗ</t>
  </si>
  <si>
    <t>Χ982836</t>
  </si>
  <si>
    <t>1027,4</t>
  </si>
  <si>
    <t>1254-1247-1248-1250-1206-1253-1249-1255</t>
  </si>
  <si>
    <t>ΛΥΤΗΣ</t>
  </si>
  <si>
    <t>ΔΗΜΗΤΡΗΣ</t>
  </si>
  <si>
    <t>ΑΚ497108</t>
  </si>
  <si>
    <t>1027,2</t>
  </si>
  <si>
    <t>1247-1250-1217-1254-1201-1248-1267-1219-1253-1256-1249-1206-1205-1202-1255-1251</t>
  </si>
  <si>
    <t>ΣΟΥΛΙΩΤΑΚΗΣ</t>
  </si>
  <si>
    <t>ΑΜ461055</t>
  </si>
  <si>
    <t>647,9</t>
  </si>
  <si>
    <t>1025,9</t>
  </si>
  <si>
    <t>1202-1204-1205-1255-1221-1219-1248-1267-1206-1252-1201-1251-1254-1220-1249-1218-1203-1247-1222-1217-1250-1223-1253-1256</t>
  </si>
  <si>
    <t>ΓΕΙΤΟΝΑ</t>
  </si>
  <si>
    <t>ΑΚ978357</t>
  </si>
  <si>
    <t>1025,6</t>
  </si>
  <si>
    <t>1249-1253-1248-1267-1206-1201-1202-1247-1250-1254-1255</t>
  </si>
  <si>
    <t>ΑΡΜΕΝΙΑΚΟΥ</t>
  </si>
  <si>
    <t>ΒΕΡΟΝΙΚΑ</t>
  </si>
  <si>
    <t>ΑΗ743896</t>
  </si>
  <si>
    <t>1025,5</t>
  </si>
  <si>
    <t>ΚΟΝΤΟΣ</t>
  </si>
  <si>
    <t>ΑΖ339496</t>
  </si>
  <si>
    <t>1025,3</t>
  </si>
  <si>
    <t>1206-1248-1267-1249-1253-1256-1201-1254-1250-1247-1202-1255-1205</t>
  </si>
  <si>
    <t>Σ848900</t>
  </si>
  <si>
    <t>630,3</t>
  </si>
  <si>
    <t>1023,3</t>
  </si>
  <si>
    <t>1217-1219-1205-1201-1247-1250-1255-1206-1254-1253-1202-1267-1222</t>
  </si>
  <si>
    <t>ΚΑΛΛΙΝΙΚΟΥ</t>
  </si>
  <si>
    <t>ΑΙ496660</t>
  </si>
  <si>
    <t>1247-1250-1254-1248-1201-1249-1253-1256-1255-1205-1202-1206</t>
  </si>
  <si>
    <t>ΚΕΜΕΚΕΝΙΔΟΥ</t>
  </si>
  <si>
    <t>Χ771545</t>
  </si>
  <si>
    <t>1021,3</t>
  </si>
  <si>
    <t>1219-1248-1267-1201-1206-1249-1217-1250-1253-1254-1255-1202-1205</t>
  </si>
  <si>
    <t>ΧΑΤΖΗΜΠΟΖΙΝΗΣ</t>
  </si>
  <si>
    <t>Χ243955</t>
  </si>
  <si>
    <t>871,2</t>
  </si>
  <si>
    <t>1021,2</t>
  </si>
  <si>
    <t>1267-1248-1256-1206-1253-1249-1254-1247-1250-1255</t>
  </si>
  <si>
    <t>ΝΤΖΟΥΜΑΝΙΚΑ</t>
  </si>
  <si>
    <t>Φ213896</t>
  </si>
  <si>
    <t>1248-1206-1250-1255-1254-1253-1247-1249-1256</t>
  </si>
  <si>
    <t>ΑΕ334939</t>
  </si>
  <si>
    <t>1020,5</t>
  </si>
  <si>
    <t>1249-1253-1201-1206-1248-1247-1254-1255-1202-1250</t>
  </si>
  <si>
    <t>ΒΡΟΝΤΑΚΗ</t>
  </si>
  <si>
    <t>Τ487587</t>
  </si>
  <si>
    <t>1018,7</t>
  </si>
  <si>
    <t>ΦΕΥΓΑ</t>
  </si>
  <si>
    <t>ΑΕ802478</t>
  </si>
  <si>
    <t>1017,3</t>
  </si>
  <si>
    <t>1223-1203-1201-1267-1248-1247-1254-1250-1249-1206-1253-1256-1221-1255-1202-1205</t>
  </si>
  <si>
    <t>ΞΑΝΘΗ-ΠΑΡΑΣΚΕΥΗ</t>
  </si>
  <si>
    <t>ΑΕ796281</t>
  </si>
  <si>
    <t>1254-1267-1247-1248-1249-1253-1255-1256-1206-1250</t>
  </si>
  <si>
    <t>ΚΟΛΚΑ</t>
  </si>
  <si>
    <t>Χ488948</t>
  </si>
  <si>
    <t>915,2</t>
  </si>
  <si>
    <t>1017,2</t>
  </si>
  <si>
    <t>1249-1248-1267-1252-1253-1254-1247-1250-1206-1255</t>
  </si>
  <si>
    <t>ΜΗΤΣΙΜΠΟΝΑ</t>
  </si>
  <si>
    <t>ΒΑΛΕΝΤΙΝΗ</t>
  </si>
  <si>
    <t>ΑΗ230474</t>
  </si>
  <si>
    <t>1249-1267-1253-1254-1248-1247-1206-1250-1255</t>
  </si>
  <si>
    <t>ΜΠΑΝΤΗ</t>
  </si>
  <si>
    <t>ΑΖ812740</t>
  </si>
  <si>
    <t>1015,4</t>
  </si>
  <si>
    <t>1248-1253-1249-1254-1206-1201-1247-1205-1202-1250-1255</t>
  </si>
  <si>
    <t>ΜΕΡΕΣΙΤΖΗ</t>
  </si>
  <si>
    <t>ΑΑ411986</t>
  </si>
  <si>
    <t>1015,2</t>
  </si>
  <si>
    <t>1206-1267-1253-1248-1249-1247-1254-1255-1250</t>
  </si>
  <si>
    <t>ΚΟΥΤΣΟΘΕΟΔΩΡΟΥ</t>
  </si>
  <si>
    <t>Τ480107</t>
  </si>
  <si>
    <t>1014,7</t>
  </si>
  <si>
    <t>1254-1247-1248-1267-1221-1250-1255-1202-1249-1253-1256-1206</t>
  </si>
  <si>
    <t>ΦΛΟΥΡΕΝΤΖΟΥ</t>
  </si>
  <si>
    <t>ΑΜ091846</t>
  </si>
  <si>
    <t>1014,5</t>
  </si>
  <si>
    <t>1250-1247-1267-1248-1255-1249-1253-1254-1206</t>
  </si>
  <si>
    <t>ΠΑΠΑΘΕΟΔΩΡΟΥ</t>
  </si>
  <si>
    <t>ΑΒ362172</t>
  </si>
  <si>
    <t>1255-1202-1205-1206-1247-1248-1249-1250-1253-1254-1267</t>
  </si>
  <si>
    <t>ΜΠΛΕΥΡΑΚΗΣ</t>
  </si>
  <si>
    <t>ΑΖ467278</t>
  </si>
  <si>
    <t>1013,7</t>
  </si>
  <si>
    <t>1255-1248-1247-1222-1250-1254-1253-1256-1218-1249</t>
  </si>
  <si>
    <t>ΓΚΟΓΚΟΛΑΣ</t>
  </si>
  <si>
    <t>ΑΗ436870</t>
  </si>
  <si>
    <t>1013,3</t>
  </si>
  <si>
    <t>1201-1202-1204-1205-1206-1217-1218-1219-1220-1221-1247-1248-1249-1250-1252-1253-1254-1255</t>
  </si>
  <si>
    <t>ΜΠΟΥΡΑ</t>
  </si>
  <si>
    <t>Π405704</t>
  </si>
  <si>
    <t>1219-1267-1248-1206-1249-1203-1201-1253-1254-1256-1250-1247-1202-1205-1251-1255-1217-1222-1223-1220</t>
  </si>
  <si>
    <t>ΣΠΑΧΟΥ</t>
  </si>
  <si>
    <t>Σ744620</t>
  </si>
  <si>
    <t>1012,6</t>
  </si>
  <si>
    <t>1206-1249-1253-1248-1254-1255-1247-1250</t>
  </si>
  <si>
    <t>ΠΛΙΑΜΕΡΗ</t>
  </si>
  <si>
    <t>Σ775208</t>
  </si>
  <si>
    <t>ΣΑΤΣΙΟΣ</t>
  </si>
  <si>
    <t>ΑΖ400994</t>
  </si>
  <si>
    <t>1011,4</t>
  </si>
  <si>
    <t>1219-1248-1252-1249-1201-1254-1247-1250-1255-1202</t>
  </si>
  <si>
    <t>ΒΟΝΟΡΤΑ</t>
  </si>
  <si>
    <t>ΑΒ998866</t>
  </si>
  <si>
    <t>1011,1</t>
  </si>
  <si>
    <t>1248-1267-1201-1254-1250-1247-1255-1205-1202-1206</t>
  </si>
  <si>
    <t>ΚΩΣΤΑΡΑΣ</t>
  </si>
  <si>
    <t>ΑΙ874110</t>
  </si>
  <si>
    <t>1009,5</t>
  </si>
  <si>
    <t>1217-1249-1253-1256-1248-1219-1206-1201-1254-1247-1250-1255-1202-1251</t>
  </si>
  <si>
    <t>ΦΩΤΙΟΥ</t>
  </si>
  <si>
    <t>ΑΚ969582</t>
  </si>
  <si>
    <t>1009,4</t>
  </si>
  <si>
    <t>1201-1267-1248-1254-1247-1253-1250-1249-1255-1202-1206-1264-1262-1216-1263-1259-1265-1257-1229-1231-1232-1227</t>
  </si>
  <si>
    <t>ΑΝΑΣΤΑΣΙΑΔΗΣ</t>
  </si>
  <si>
    <t>ΑΝ914178</t>
  </si>
  <si>
    <t>1008,4</t>
  </si>
  <si>
    <t>1267-1248-1256-1206-1253-1249-1219-1247-1201-1254-1250-1251-1255-1205-1202-1217</t>
  </si>
  <si>
    <t>ΜΑΔΙΚΑ</t>
  </si>
  <si>
    <t>ΑΙ350924</t>
  </si>
  <si>
    <t>1008,2</t>
  </si>
  <si>
    <t>1249-1253-1248-1267-1255-1256-1206-1218-1247-1254</t>
  </si>
  <si>
    <t>ΤΟΠΑΛΙΔΗΣ</t>
  </si>
  <si>
    <t>ΑΗ839257</t>
  </si>
  <si>
    <t>1206-1219-1267-1248-1253-1249-1254-1247-1201-1205-1255-1202-1217-1250</t>
  </si>
  <si>
    <t>ΑΜ399979</t>
  </si>
  <si>
    <t>1005,3</t>
  </si>
  <si>
    <t>1206-1255-1202-1217-1254-1253-1201-1249</t>
  </si>
  <si>
    <t>ΑΠΟΣΤΟΛΑΚΟΥ</t>
  </si>
  <si>
    <t>Τ887662</t>
  </si>
  <si>
    <t>1004,6</t>
  </si>
  <si>
    <t>1217-1250-1219-1267-1201-1248-1205-1255-1221-1202-1206-1249-1253-1254-1247</t>
  </si>
  <si>
    <t>ΤΣΟΥΜΑΡΗ</t>
  </si>
  <si>
    <t>ΤΑΤΙΑΝΑ ΔΗΜΗΤΡΑ</t>
  </si>
  <si>
    <t>ΑΖ265929</t>
  </si>
  <si>
    <t>883,3</t>
  </si>
  <si>
    <t>1004,3</t>
  </si>
  <si>
    <t>1250-1254-1247-1202-1205-1255-1206-1201-1248-1249-1253-1256</t>
  </si>
  <si>
    <t>ΝΤΕΛΛΑΣ</t>
  </si>
  <si>
    <t>ΓΕΩΡΓ</t>
  </si>
  <si>
    <t>Ξ822210</t>
  </si>
  <si>
    <t>1253-1206-1254-1248-1249-1247-1250-1255-1202-1201</t>
  </si>
  <si>
    <t>ΠΑΤΙΛΗ</t>
  </si>
  <si>
    <t>ΑΑ315891</t>
  </si>
  <si>
    <t>1201-1202-1203-1204-1205-1206-1249-1250-1251-1252-1253-1254-1255-1256</t>
  </si>
  <si>
    <t>ΗΛΙΑΚΗ</t>
  </si>
  <si>
    <t>ΑΜΑΛΙΑ</t>
  </si>
  <si>
    <t>ΑΖ974968</t>
  </si>
  <si>
    <t>1001,6</t>
  </si>
  <si>
    <t>ΔΡΟΥΓΚΑΣ</t>
  </si>
  <si>
    <t>ΑΝ902255</t>
  </si>
  <si>
    <t>1000,5</t>
  </si>
  <si>
    <t>ΣΙΑΚΑΜΠΕΝΗ</t>
  </si>
  <si>
    <t>ΦΡΕΙΔΕΡΙΚΗ</t>
  </si>
  <si>
    <t>ΑΝ247543</t>
  </si>
  <si>
    <t>998,5</t>
  </si>
  <si>
    <t>1219-1217-1202-1201-1248-1267-1250-1255-1247-1254-1253-1249-1206-1256</t>
  </si>
  <si>
    <t>ΜΠΟΡΟΖΗ</t>
  </si>
  <si>
    <t>ΜΕΛΠΟΜΕΝΗ</t>
  </si>
  <si>
    <t>ΑΙ848956</t>
  </si>
  <si>
    <t>997,2</t>
  </si>
  <si>
    <t>1201-1202-1206-1217-1219-1247-1248-1249-1250-1253-1254-1255-1267</t>
  </si>
  <si>
    <t>ΚΟΝΤΑΚΟΥ</t>
  </si>
  <si>
    <t>ΑΕ753342</t>
  </si>
  <si>
    <t>1250-1202-1205-1255-1248-1254-1253-1247-1201-1249-1256-1223-1251-1222-1220</t>
  </si>
  <si>
    <t>ΧΑΤΖΗΓΕΩΡΓΙΑΔΟΥ</t>
  </si>
  <si>
    <t>ΑΕ899797</t>
  </si>
  <si>
    <t>1206-1219-1267-1255-1205-1202-1253-1201-1254-1217</t>
  </si>
  <si>
    <t>ΜΥΛΩΝΑ</t>
  </si>
  <si>
    <t>ΙΦΙΓΕΝΕΙΑ</t>
  </si>
  <si>
    <t>ΑΜ353625</t>
  </si>
  <si>
    <t>1249-1201-1248-1219-1252-1253-1256-1251-1220-1222-1250-1247-1255-1202-1206-1218-1205</t>
  </si>
  <si>
    <t>ΣΑΧΛΑ</t>
  </si>
  <si>
    <t>Χ938470</t>
  </si>
  <si>
    <t>994,5</t>
  </si>
  <si>
    <t>1250-1249-1247-1248-1253-1254-1255</t>
  </si>
  <si>
    <t>ΖΑΧΑΡΟΠΟΥΛΟΥ</t>
  </si>
  <si>
    <t>ΑΚ302368</t>
  </si>
  <si>
    <t>993,2</t>
  </si>
  <si>
    <t>1248-1267-1256-1253-1249-1206-1250-1247-1254-1255</t>
  </si>
  <si>
    <t>ΠΑΠΑΝΙΚΟΛΑΟΥ</t>
  </si>
  <si>
    <t>Χ780789</t>
  </si>
  <si>
    <t>1248-1202-1205-1254-1253-1267-1255-1249-1247-1250-1201</t>
  </si>
  <si>
    <t>ΧΑΚΙΜ</t>
  </si>
  <si>
    <t>ΑΑ014825</t>
  </si>
  <si>
    <t>991,6</t>
  </si>
  <si>
    <t>1255-1205-1202-1219-1248-1201-1251-1206-1217-1247-1249-1250-1253-1254-1256</t>
  </si>
  <si>
    <t>ΚΡΥΟΝΕΡΙΤΗΣ</t>
  </si>
  <si>
    <t>ΑΙ983536</t>
  </si>
  <si>
    <t>991,3</t>
  </si>
  <si>
    <t>1219-1201-1253-1254-1255-1206-1205-1217-1248-1249-1250-1202-1247-1267-1251-1256</t>
  </si>
  <si>
    <t>ΖΑΦΕΙΡΗΣ</t>
  </si>
  <si>
    <t>Ρ991075</t>
  </si>
  <si>
    <t>991,1</t>
  </si>
  <si>
    <t>1254-1248-1247-1249-1250-1253-1255-1256-1201-1202-1205-1206</t>
  </si>
  <si>
    <t>ΑΚ387015</t>
  </si>
  <si>
    <t>1205-1255-1202-1248-1249-1250-1247-1253-1254-1206-1256</t>
  </si>
  <si>
    <t>ΑΒ431730</t>
  </si>
  <si>
    <t>990,3</t>
  </si>
  <si>
    <t>ΑΖ914161</t>
  </si>
  <si>
    <t>988,7</t>
  </si>
  <si>
    <t>1219-1248-1267-1222-1220-1256-1204-1205-1202-1255-1221-1206-1203-1253-1249-1252-1247-1250-1217-1254-1218-1251</t>
  </si>
  <si>
    <t>ΣΤΕΦΑΝΟΥ</t>
  </si>
  <si>
    <t>Χ936640</t>
  </si>
  <si>
    <t>622,6</t>
  </si>
  <si>
    <t>988,6</t>
  </si>
  <si>
    <t>1205-1206-1247-1248-1249-1250-1253-1254-1255-1256</t>
  </si>
  <si>
    <t>ΚΑΠΕΡΩΝΗ</t>
  </si>
  <si>
    <t>ΑΙ295021</t>
  </si>
  <si>
    <t>987,4</t>
  </si>
  <si>
    <t>1201-1202-1203-1205-1206-1247-1248-1249-1250-1253-1254-1255-1256-1267</t>
  </si>
  <si>
    <t>ΔΡΙΤΣΑΣ</t>
  </si>
  <si>
    <t>Χ898533</t>
  </si>
  <si>
    <t>986,6</t>
  </si>
  <si>
    <t>1250-1247-1254-1206-1255</t>
  </si>
  <si>
    <t>ΦΙΛΗ</t>
  </si>
  <si>
    <t>ΜΗΤΣΗΣ</t>
  </si>
  <si>
    <t>ΑΖ751069</t>
  </si>
  <si>
    <t>986,2</t>
  </si>
  <si>
    <t>1205-1249-1201-1248-1206-1253-1254-1250-1247-1202-1255-1267</t>
  </si>
  <si>
    <t>ΧΑΝΙΩΤΑΚΗ</t>
  </si>
  <si>
    <t>ΑΜ470523</t>
  </si>
  <si>
    <t>1202-1255-1248-1247-1201-1250-1253-1249-1206-1254</t>
  </si>
  <si>
    <t>ΑΗ485985</t>
  </si>
  <si>
    <t>610,5</t>
  </si>
  <si>
    <t>984,5</t>
  </si>
  <si>
    <t>ΔΡΕΤΑΚΗ</t>
  </si>
  <si>
    <t>ΑΙ940373</t>
  </si>
  <si>
    <t>983,8</t>
  </si>
  <si>
    <t>1202-1205-1255-1248-1247-1250-1201-1253-1254-1256-1206-1249</t>
  </si>
  <si>
    <t>ΜΠΟΛΑΝΑΚΗ</t>
  </si>
  <si>
    <t>ΑΑ496415</t>
  </si>
  <si>
    <t>983,6</t>
  </si>
  <si>
    <t>ΙΩΑΝΝΟΥ</t>
  </si>
  <si>
    <t>Χ360092</t>
  </si>
  <si>
    <t>983,2</t>
  </si>
  <si>
    <t>1201-1202-1205-1206-1247-1248-1249-1250-1253-1254-1255-1256</t>
  </si>
  <si>
    <t>ΜΑΛΤΕΖΟΥ</t>
  </si>
  <si>
    <t>Χ118458</t>
  </si>
  <si>
    <t>982,7</t>
  </si>
  <si>
    <t>1201-1250-1247-1248-1254-1267-1255-1256-1202-1205-1206-1249-1253</t>
  </si>
  <si>
    <t>ΑΖ342847</t>
  </si>
  <si>
    <t>982,1</t>
  </si>
  <si>
    <t>1222-1220-1219-1206-1203-1248-1249-1256-1252-1253-1254-1247-1217-1250-1218-1223-1251-1221-1255-1202-1204-1205</t>
  </si>
  <si>
    <t>ΓΙΑΚΟΥΜΑΚΗΣ</t>
  </si>
  <si>
    <t>ΑΗ958247</t>
  </si>
  <si>
    <t>981,8</t>
  </si>
  <si>
    <t>1202-1204-1205-1219-1221-1255</t>
  </si>
  <si>
    <t>ΠΕΡΚΑ</t>
  </si>
  <si>
    <t>ΑΒ836479</t>
  </si>
  <si>
    <t>981,3</t>
  </si>
  <si>
    <t>1219-1267-1248-1201-1253-1247-1249-1254-1256-1206-1250-1217-1202-1205-1255-1251</t>
  </si>
  <si>
    <t>ΛΥΜΠΕΡΟΠΟΥΛΟΣ</t>
  </si>
  <si>
    <t>ΒΑΙΟΣ</t>
  </si>
  <si>
    <t>Ρ818460</t>
  </si>
  <si>
    <t>980,8</t>
  </si>
  <si>
    <t>1201-1254-1247-1217-1250-1248-1219-1206-1249-1256-1222-1253-1255-1205-1202-1251</t>
  </si>
  <si>
    <t>ΤΣΟΓΚΑΣ</t>
  </si>
  <si>
    <t>ΑΙ235993</t>
  </si>
  <si>
    <t>980,4</t>
  </si>
  <si>
    <t>1250-1247-1248-1254-1253-1256-1255-1249-1252</t>
  </si>
  <si>
    <t>ΚΑΠΕΤΑΝΑΚΗΣ</t>
  </si>
  <si>
    <t>ΑΒ485223</t>
  </si>
  <si>
    <t>980,2</t>
  </si>
  <si>
    <t>1255-1248-1254-1247-1256-1206-1249-1253-1250</t>
  </si>
  <si>
    <t>ΝΤΑΟΥΤΗ</t>
  </si>
  <si>
    <t>ΑΖ410803</t>
  </si>
  <si>
    <t>1206-1219-1252-1253-1254-1255-1249-1247-1248-1218</t>
  </si>
  <si>
    <t>ΓΚΟΛΦΩ</t>
  </si>
  <si>
    <t>ΑΕ232184</t>
  </si>
  <si>
    <t>977,3</t>
  </si>
  <si>
    <t>ΔΕΛΝΙΩΤΟΥ</t>
  </si>
  <si>
    <t>Σ901371</t>
  </si>
  <si>
    <t>1249-1253-1206-1256-1254-1250-1255</t>
  </si>
  <si>
    <t>ΚΑΨΟΠΟΥΛΟΣ</t>
  </si>
  <si>
    <t>ΑΑ376166</t>
  </si>
  <si>
    <t>976,7</t>
  </si>
  <si>
    <t>1205-1249-1206-1247-1202-1250-1253-1254-1201-1248-1255-1267</t>
  </si>
  <si>
    <t>ΑΜ048133</t>
  </si>
  <si>
    <t>974,6</t>
  </si>
  <si>
    <t>1201-1202-1204-1205-1206-1217-1218-1219-1220-1221-1222-1223-1253-1254-1256-1247-1248-1249-1250-1251-1252-1255</t>
  </si>
  <si>
    <t>ΣΑΒΒΑΤΙΑΝΟΥ</t>
  </si>
  <si>
    <t>ΑΕ865230</t>
  </si>
  <si>
    <t>1255-1205-1202-1219-1267-1206-1247-1250-1217-1254-1253-1249-1248-1201</t>
  </si>
  <si>
    <t>ΑΠΙΔΟΠΟΥΛΟΥ</t>
  </si>
  <si>
    <t>Χ988639</t>
  </si>
  <si>
    <t>972,5</t>
  </si>
  <si>
    <t>1249-1256-1253-1267-1248-1206-1254-1247-1250-1255-1202</t>
  </si>
  <si>
    <t>ΑΝΤΟΥΡΑΚΗ</t>
  </si>
  <si>
    <t>ΑΙΚΑΤΡΕΙΝΗ</t>
  </si>
  <si>
    <t>ΑΑ464642</t>
  </si>
  <si>
    <t>971,9</t>
  </si>
  <si>
    <t>ΝΙΚΟΛΑΚΟΠΟΥΛΟΣ</t>
  </si>
  <si>
    <t>ΑΙ768443</t>
  </si>
  <si>
    <t>940,5</t>
  </si>
  <si>
    <t>970,5</t>
  </si>
  <si>
    <t>1250-1247-1254-1201-1253-1249-1267-1248-1206-1205-1255-1202-1256-1222</t>
  </si>
  <si>
    <t>ΣΦΕΤΚΟΣ</t>
  </si>
  <si>
    <t>ΑΕ827295</t>
  </si>
  <si>
    <t>1248-1267-1249-1256-1253-1206-1247-1255-1254-1250-1217-1223</t>
  </si>
  <si>
    <t>ΚΑΤΣΑΒΡΙΑ</t>
  </si>
  <si>
    <t>Χ312666</t>
  </si>
  <si>
    <t>969,2</t>
  </si>
  <si>
    <t>1249-1201-1202-1205-1206-1247-1248-1250-1253-1254-1255-1267</t>
  </si>
  <si>
    <t>ΜΑΣΑ</t>
  </si>
  <si>
    <t>Π883402</t>
  </si>
  <si>
    <t>640,2</t>
  </si>
  <si>
    <t>1253-1248-1249-1206-1254-1250-1255</t>
  </si>
  <si>
    <t>ΑΒ057815</t>
  </si>
  <si>
    <t>968,8</t>
  </si>
  <si>
    <t>1217-1218-1219-1220-1221-1222-1223-1253-1254-1206-1203-1204-1205-1247-1248-1249-1250-1251-1252-1255-1256-1201-1202-1267</t>
  </si>
  <si>
    <t>ΠΑΝΩΡΑΙΑ</t>
  </si>
  <si>
    <t>Τ315271</t>
  </si>
  <si>
    <t>968,3</t>
  </si>
  <si>
    <t>1247-1250-1254-1255-1253-1256-1248-1206-1249-1267</t>
  </si>
  <si>
    <t>ΠΡΑΠΑΣ</t>
  </si>
  <si>
    <t>Χ848508</t>
  </si>
  <si>
    <t>968,2</t>
  </si>
  <si>
    <t>1253-1249-1206-1248-1201-1254-1247-1250-1255-1202</t>
  </si>
  <si>
    <t>ΑΡΟΥΤΙΟΥΝΙΑΝ</t>
  </si>
  <si>
    <t>ΓΚΑΓΙΑΝΕ</t>
  </si>
  <si>
    <t>ΓΚΑΓΚΙΚ</t>
  </si>
  <si>
    <t>ΑΗ913180</t>
  </si>
  <si>
    <t>966,5</t>
  </si>
  <si>
    <t>ΝΤΡΕΚΗ</t>
  </si>
  <si>
    <t>Χ829003</t>
  </si>
  <si>
    <t>817,3</t>
  </si>
  <si>
    <t>966,3</t>
  </si>
  <si>
    <t>1247-1248-1267-1254-1255-1206</t>
  </si>
  <si>
    <t>ΝΑΝΟΣ</t>
  </si>
  <si>
    <t>ΤΡΑΙΑΝΟΣ</t>
  </si>
  <si>
    <t>ΑΚ433718</t>
  </si>
  <si>
    <t>966,1</t>
  </si>
  <si>
    <t>1256-1206-1248-1253-1247-1249-1255-1205-1254-1250-1202-1201-1222</t>
  </si>
  <si>
    <t>ΑΙΒΑΝΟΥΛΗ</t>
  </si>
  <si>
    <t>ΑΒ438139</t>
  </si>
  <si>
    <t>965,9</t>
  </si>
  <si>
    <t>1202-1205-1206-1247-1248-1249-1250-1253-1254-1255-1256</t>
  </si>
  <si>
    <t>ΑΜ851923</t>
  </si>
  <si>
    <t>964,8</t>
  </si>
  <si>
    <t>1249-1253-1248-1267-1206-1201-1247-1254-1250-1255-1205-1202-1256-1220-1222-1203-1252-1217-1219-1218-1204-1221-1223-1251</t>
  </si>
  <si>
    <t>ΤΖΩΡΤΖΑΚΗ</t>
  </si>
  <si>
    <t>ΑΗ468652</t>
  </si>
  <si>
    <t>ΤΖΙΟΥΒΙΛΑ</t>
  </si>
  <si>
    <t>ΑΑ383745</t>
  </si>
  <si>
    <t>962,9</t>
  </si>
  <si>
    <t>1202-1253-1201-1203-1205-1206-1247-1248-1249-1250-1254-1255-1256-1267</t>
  </si>
  <si>
    <t>Ρ982880</t>
  </si>
  <si>
    <t>962,3</t>
  </si>
  <si>
    <t>1254-1201-1202-1204-1206-1217-1247-1248-1249-1250-1253-1255</t>
  </si>
  <si>
    <t>ΠΑΠΑΧΑΤΖΟΠΟΥΛΟΥ</t>
  </si>
  <si>
    <t>ΑΚ025561</t>
  </si>
  <si>
    <t>961,9</t>
  </si>
  <si>
    <t>1250-1247-1254-1203-1202-1221-1255-1205-1267-1248-1218-1201-1249-1253-1206</t>
  </si>
  <si>
    <t>ΑΑ266055</t>
  </si>
  <si>
    <t>961,7</t>
  </si>
  <si>
    <t>1219-1249-1248-1253-1206-1201-1255-1205-1202-1221-1247-1250-1252-1254</t>
  </si>
  <si>
    <t>ΒΕΛΕΝΤΖΑ</t>
  </si>
  <si>
    <t>ΑΑ304702</t>
  </si>
  <si>
    <t>961,5</t>
  </si>
  <si>
    <t>1218-1255-1204-1205-1247</t>
  </si>
  <si>
    <t>ΘΕΟΔΩΡΟΥ</t>
  </si>
  <si>
    <t>Φ234920</t>
  </si>
  <si>
    <t>959,4</t>
  </si>
  <si>
    <t>1247-1250-1254-1255-1267-1248-1253-1206-1249</t>
  </si>
  <si>
    <t>ΓΟΥΝΑΡΙΔΗ</t>
  </si>
  <si>
    <t>ΑΔΑΜΑΝΤΙΑ</t>
  </si>
  <si>
    <t>ΑΑ319392</t>
  </si>
  <si>
    <t>959,3</t>
  </si>
  <si>
    <t>1205-1255-1202-1221-1219-1248-1267-1201-1206-1249-1253-1254-1203-1247</t>
  </si>
  <si>
    <t>ΕΥΑΓΓΕΛΟΥ</t>
  </si>
  <si>
    <t>ΑΕ829285</t>
  </si>
  <si>
    <t>959,1</t>
  </si>
  <si>
    <t>1249-1219-1248-1267-1256-1253-1206-1252-1201-1247-1217-1250-1254-1255-1202-1251</t>
  </si>
  <si>
    <t>ΣΦΕΝΔΩΝΗ</t>
  </si>
  <si>
    <t>909,7</t>
  </si>
  <si>
    <t>958,7</t>
  </si>
  <si>
    <t>1249-1222-1253-1219-1248-1201-1252-1256-1220-1204-1205-1255-1223-1221-1206-1247-1218-1202-1203-1251</t>
  </si>
  <si>
    <t>ΑΚ427556</t>
  </si>
  <si>
    <t>ΝΑΝΟΥΔΗΣ</t>
  </si>
  <si>
    <t>Χ948554</t>
  </si>
  <si>
    <t>1256-1253-1267-1248-1249-1206-1201-1205-1255-1247-1250-1254-1202</t>
  </si>
  <si>
    <t>ΦΕΡΕΤΖΑΚΗΣ</t>
  </si>
  <si>
    <t>Τ324874</t>
  </si>
  <si>
    <t>955,9</t>
  </si>
  <si>
    <t>1255-1250-1253-1247-1256-1254-1249</t>
  </si>
  <si>
    <t>ΜΑΥΡΟΓΕΩΡΓΗΣ</t>
  </si>
  <si>
    <t>ΕΜΜΑΝΟΥΗΛ ΔΗΜΗΤΡΙΟΣ</t>
  </si>
  <si>
    <t>Χ024493</t>
  </si>
  <si>
    <t>642,4</t>
  </si>
  <si>
    <t>952,4</t>
  </si>
  <si>
    <t>1247-1250-1248-1254-1204-1205-1255-1206-1253-1249-1203-1221-1202-1218</t>
  </si>
  <si>
    <t>ΜΠΟΥΖΑΝΗ</t>
  </si>
  <si>
    <t>ΑΒ410122</t>
  </si>
  <si>
    <t>1267-1248-1206-1249-1250-1253-1201-1247-1254-1202-1205-1255</t>
  </si>
  <si>
    <t>ΖΙΩΖΙΟΣ</t>
  </si>
  <si>
    <t>ΑΒ199750</t>
  </si>
  <si>
    <t>951,9</t>
  </si>
  <si>
    <t>1254-1201-1247-1222-1248-1256-1267-1249-1250-1253-1206-1218-1203-1223-1220-1219-1217-1252-1251-1255-1205-1202-1221-1204</t>
  </si>
  <si>
    <t>ΠΕΤΑΣΑΚΗΣ</t>
  </si>
  <si>
    <t>ΒΑΛΕΝΤΙΝΟΣ</t>
  </si>
  <si>
    <t>ΑΗ125716</t>
  </si>
  <si>
    <t>1202-1205-1255-1247-1254-1250-1206-1201-1253-1249-1248</t>
  </si>
  <si>
    <t>ΚΑΡΑΚΑΝΤΑ</t>
  </si>
  <si>
    <t>Τ984606</t>
  </si>
  <si>
    <t>629,2</t>
  </si>
  <si>
    <t>951,2</t>
  </si>
  <si>
    <t>1254-1249-1253-1247-1248-1206-1250-1255</t>
  </si>
  <si>
    <t>ΑΕ452967</t>
  </si>
  <si>
    <t>951,1</t>
  </si>
  <si>
    <t>1255-1205-1202-1247-1217-1250-1206-1219-1267-1248</t>
  </si>
  <si>
    <t>ΧΑΡΙΛΑΟΥ</t>
  </si>
  <si>
    <t>ΑΙ260024</t>
  </si>
  <si>
    <t>1218-1253-1256-1206-1254-1267-1202-1205-1255</t>
  </si>
  <si>
    <t>ΑΜ983456</t>
  </si>
  <si>
    <t>950,9</t>
  </si>
  <si>
    <t>1254-1252-1201-1218-1247-1219-1220-1248-1249-1223-1250-1251-1253-1255-1256-1202-1204-1205</t>
  </si>
  <si>
    <t>ΚΕΝΑΝΙΔΗΣ</t>
  </si>
  <si>
    <t>ΑΖ796709</t>
  </si>
  <si>
    <t>948,5</t>
  </si>
  <si>
    <t>1248-1202-1206-1247-1255-1249-1250-1253-1254-1201</t>
  </si>
  <si>
    <t>ΣΕΡΔΕΝΕ</t>
  </si>
  <si>
    <t>ΑΜ790850</t>
  </si>
  <si>
    <t>946,5</t>
  </si>
  <si>
    <t>1217-1219-1202-1250-1249-1247-1248-1253-1254-1255-1256-1206-1251</t>
  </si>
  <si>
    <t>ΠΑΣΧΑΛΙΑ</t>
  </si>
  <si>
    <t>ΑΕ838813</t>
  </si>
  <si>
    <t>945,1</t>
  </si>
  <si>
    <t>1248-1253-1201-1249-1206-1247-1202-1205-1255</t>
  </si>
  <si>
    <t>ΑΝΔΡΟΜΑΧΗ</t>
  </si>
  <si>
    <t>ΑΖ301418</t>
  </si>
  <si>
    <t>942,2</t>
  </si>
  <si>
    <t>1248-1267-1249-1253-1255-1205-1202-1206-1250-1201-1247-1254-1256</t>
  </si>
  <si>
    <t>ΚΑΚΟΥΡΑΤΟΥ</t>
  </si>
  <si>
    <t>ΑΖ458332</t>
  </si>
  <si>
    <t>941,8</t>
  </si>
  <si>
    <t>1202-1255-1201-1206-1247-1248-1249-1250-1253-1254-1256</t>
  </si>
  <si>
    <t>ΚΑΡΑΚΟΛΗΣ</t>
  </si>
  <si>
    <t>ΑΒ113012</t>
  </si>
  <si>
    <t>941,7</t>
  </si>
  <si>
    <t>1249-1248-1267-1256-1201-1202-1205-1206-1247-1250-1253-1254-1255</t>
  </si>
  <si>
    <t>ΑΜ530527</t>
  </si>
  <si>
    <t>1202-1250-1247-1255-1205-1201-1267-1248-1206-1253-1249-1254</t>
  </si>
  <si>
    <t>ΜΑΜΑΚΟΣ</t>
  </si>
  <si>
    <t>ΑΕ430766</t>
  </si>
  <si>
    <t>940,8</t>
  </si>
  <si>
    <t>1248-1206-1256-1247-1253-1249-1202-1205-1255-1201-1250-1254</t>
  </si>
  <si>
    <t>ΚΙΟΥΛΗ</t>
  </si>
  <si>
    <t>ΕΛΙΣΑ</t>
  </si>
  <si>
    <t>ΒΑΣΙΛΗΣ</t>
  </si>
  <si>
    <t>ΑΚ336360</t>
  </si>
  <si>
    <t>940,4</t>
  </si>
  <si>
    <t>1202-1205-1206-1218-1221-1247-1248-1249-1250-1253-1254-1255</t>
  </si>
  <si>
    <t>ΔΡΟΜΠΟΥΡΑΣ</t>
  </si>
  <si>
    <t>ΑΕ338695</t>
  </si>
  <si>
    <t>939,9</t>
  </si>
  <si>
    <t>1217-1219-1251-1249-1248-1267-1223-1247-1252-1203-1253-1250-1218-1206-1256-1254-1202-1205-1255-1204</t>
  </si>
  <si>
    <t>ΘΥΜΑΡΑ</t>
  </si>
  <si>
    <t>Χ120216</t>
  </si>
  <si>
    <t>939,7</t>
  </si>
  <si>
    <t>1250-1247-1217-1204-1205-1202-1248-1255-1206-1267-1201-1219-1221-1252-1251-1203-1249-1253-1254-1256-1223</t>
  </si>
  <si>
    <t>ΛΕΝΤΗΣ</t>
  </si>
  <si>
    <t>ΑΑ311984</t>
  </si>
  <si>
    <t>936,7</t>
  </si>
  <si>
    <t>1251-1255-1202-1205-1221-1201-1206-1217-1218-1219-1247-1248-1249-1250-1253-1254-1256-1267</t>
  </si>
  <si>
    <t>ΑΚ201092</t>
  </si>
  <si>
    <t>1247-1250-1254-1267-1248-1255-1205-1202-1253-1249-1201-1206-1256</t>
  </si>
  <si>
    <t>ΜΠΙΝΟΥ</t>
  </si>
  <si>
    <t>Χ447698</t>
  </si>
  <si>
    <t>936,5</t>
  </si>
  <si>
    <t>1256-1253-1267-1248-1249-1206-1201-1254-1247-1250-1202-1205-1255</t>
  </si>
  <si>
    <t>ΛΑΖΑΡΗ</t>
  </si>
  <si>
    <t>MΑΥΡΑ</t>
  </si>
  <si>
    <t>ΑΙ205657</t>
  </si>
  <si>
    <t>936,2</t>
  </si>
  <si>
    <t>1202-1247-1248-1255-1205-1250</t>
  </si>
  <si>
    <t>ΓΕΡΑΣΙΜΟΥ</t>
  </si>
  <si>
    <t>ΝΟΠΗ</t>
  </si>
  <si>
    <t>ΑΒ913024</t>
  </si>
  <si>
    <t>934,7</t>
  </si>
  <si>
    <t>1247-1250-1254-1248-1267-1206-1201-1253-1249-1205-1255-1202</t>
  </si>
  <si>
    <t>ΛΑΔΟΠΟΥΛΟΣ</t>
  </si>
  <si>
    <t>ΝΕΚΤΑΡΙΟΣ</t>
  </si>
  <si>
    <t>Χ995218</t>
  </si>
  <si>
    <t>631,4</t>
  </si>
  <si>
    <t>934,4</t>
  </si>
  <si>
    <t>ΚΡΑΜΠΟΚΟΥΚΗΣ</t>
  </si>
  <si>
    <t>Χ374769</t>
  </si>
  <si>
    <t>1256-1204-1205-1203-1247-1248-1249-1250-1251-1252-1255-1202</t>
  </si>
  <si>
    <t>ΓΚΟΓΚΑΣ</t>
  </si>
  <si>
    <t>ΑΙ257964</t>
  </si>
  <si>
    <t>933,7</t>
  </si>
  <si>
    <t>Χ891159</t>
  </si>
  <si>
    <t>933,5</t>
  </si>
  <si>
    <t>1219-1248-1217-1218-1249-1202-1201-1206-1255-1247-1253-1254-1221-1205-1267-1203-1204-1250-1252-1256-1222-1223-1220-1251</t>
  </si>
  <si>
    <t>ΚΥΡΙΑΚΟΠΟΥΛΟΣ</t>
  </si>
  <si>
    <t>ΑΒ399815</t>
  </si>
  <si>
    <t>641,3</t>
  </si>
  <si>
    <t>933,3</t>
  </si>
  <si>
    <t>1250-1247-1248-1267-1254-1206-1255-1249-1253-1256-1218-1252-1201-1205-1202-1204</t>
  </si>
  <si>
    <t>ΔΑΓΓΑ ΔΑΒΙΛΟΥΔΗ</t>
  </si>
  <si>
    <t>ΝΑΤΑΛΙΑ</t>
  </si>
  <si>
    <t>ΑΖ648930</t>
  </si>
  <si>
    <t>932,1</t>
  </si>
  <si>
    <t>1248-1267-1219-1222-1220-1206-1252-1203-1249-1256-1253-1217-1218-1250-1254-1223-1247-1251-1202-1204-1205-1255-1221</t>
  </si>
  <si>
    <t>ΓΙΑΝΝΗ</t>
  </si>
  <si>
    <t>ΑΖ787214</t>
  </si>
  <si>
    <t>931,3</t>
  </si>
  <si>
    <t>1201-1202-1203-1204-1205-1206-1218-1221-1222-1223-1247-1248-1249-1250-1251-1252-1253-1254-1255-1256-1267</t>
  </si>
  <si>
    <t>ΔΕΡΜΙΤΖΑΚΗΣ</t>
  </si>
  <si>
    <t>Χ916317</t>
  </si>
  <si>
    <t>930,9</t>
  </si>
  <si>
    <t>1255-1221-1202-1204-1205</t>
  </si>
  <si>
    <t>ΠΕΤΡΙΔΟΥ</t>
  </si>
  <si>
    <t>ΑΙΜΗΛΙΟΣ</t>
  </si>
  <si>
    <t>ΑΗ838290</t>
  </si>
  <si>
    <t>930,7</t>
  </si>
  <si>
    <t>1203-1254-1247-1252-1253-1206-1222-1204-1205-1255-1202-1217-1218-1249-1250-1219-1221-1248-1267-1201</t>
  </si>
  <si>
    <t>ΑΒ075866</t>
  </si>
  <si>
    <t>930,5</t>
  </si>
  <si>
    <t>1250-1255-1267-1201-1248-1206-1253-1254-1202-1247-1249</t>
  </si>
  <si>
    <t>ΕΛΕΥΘΕΡΙΑΔΟΥ</t>
  </si>
  <si>
    <t>ΕΛΕΩΝΟΡΑ</t>
  </si>
  <si>
    <t>ΑΜ908818</t>
  </si>
  <si>
    <t>930,3</t>
  </si>
  <si>
    <t>1206-1248-1253-1249-1254-1255-1247-1250-1256</t>
  </si>
  <si>
    <t>ΓΙΑΝΤΣΗΣ</t>
  </si>
  <si>
    <t>ΤΡΑΓΙΑΝΟΣ</t>
  </si>
  <si>
    <t>ΑΒ114023</t>
  </si>
  <si>
    <t>929,6</t>
  </si>
  <si>
    <t>1256-1267-1248-1253-1249-1250-1247-1254-1255</t>
  </si>
  <si>
    <t xml:space="preserve">Ψάρρα </t>
  </si>
  <si>
    <t xml:space="preserve">Ελένη </t>
  </si>
  <si>
    <t xml:space="preserve">Ιωάννης </t>
  </si>
  <si>
    <t>ΑΑ431359</t>
  </si>
  <si>
    <t>928,5</t>
  </si>
  <si>
    <t>ΔΗΜΗΤΡΟΠΟΥΛΟΥ</t>
  </si>
  <si>
    <t>ΑΖ203928</t>
  </si>
  <si>
    <t>927,1</t>
  </si>
  <si>
    <t>1202-1206-1217-1247-1248-1249-1250-1253-1254-1255</t>
  </si>
  <si>
    <t>ΙΟΡΔΑΝΙΔΗΣ</t>
  </si>
  <si>
    <t>ΑΗ788784</t>
  </si>
  <si>
    <t>926,3</t>
  </si>
  <si>
    <t>1249-1267-1219-1248-1253-1206-1205-1202-1217-1247-1250-1254-1255-1256-1251</t>
  </si>
  <si>
    <t>ΠΑΠΑΧΡΙΣΤΟΥ</t>
  </si>
  <si>
    <t>ΧΡΙΣΤΟΣ</t>
  </si>
  <si>
    <t>ΑΕ736139</t>
  </si>
  <si>
    <t>925,6</t>
  </si>
  <si>
    <t>1217-1250-1202-1204-1205-1206-1218-1219-1220-1221-1222-1223-1247-1248-1249-1251-1252-1253-1255-1201-1254-1256</t>
  </si>
  <si>
    <t>ΝΤΙΟ</t>
  </si>
  <si>
    <t>ΑΒ858364</t>
  </si>
  <si>
    <t>1249-1253-1219-1248-1267-1201-1252-1256-1223-1221-1204-1205-1255-1202-1251-1222-1206-1220-1218-1247-1254-1217-1250</t>
  </si>
  <si>
    <t>ΑΖ291969</t>
  </si>
  <si>
    <t>727,1</t>
  </si>
  <si>
    <t>1249-1248-1253-1201-1255-1202-1256-1221-1205-1247-1222-1250-1206-1254-1267</t>
  </si>
  <si>
    <t>ΚΥΡΙΑΚΑΤΗ</t>
  </si>
  <si>
    <t>ΒΙΟΛΕΤΤΑ</t>
  </si>
  <si>
    <t>ΑΑ320548</t>
  </si>
  <si>
    <t>1254-1250-1247-1248-1206-1249-1253-1255-1256</t>
  </si>
  <si>
    <t>ΣΙΜΟΥ</t>
  </si>
  <si>
    <t>Φ318681</t>
  </si>
  <si>
    <t>924,5</t>
  </si>
  <si>
    <t>1221-1248-1267-1253-1254-1249-1247-1201-1250-1206-1202-1255-1222-1252-1256-1219-1220-1217-1218-1203-1205-1204-1223-1251</t>
  </si>
  <si>
    <t>ΣΚΟΡΔΑ</t>
  </si>
  <si>
    <t>ΑΗ293771</t>
  </si>
  <si>
    <t>924,3</t>
  </si>
  <si>
    <t>1249-1253-1248-1206-1201-1254-1247-1250-1255-1205-1202</t>
  </si>
  <si>
    <t>ΣΥΡΙΟΥ</t>
  </si>
  <si>
    <t>ΕΛΕΝΗ-ΜΑΡΙΑ</t>
  </si>
  <si>
    <t>ΑΝ174062</t>
  </si>
  <si>
    <t>923,9</t>
  </si>
  <si>
    <t>1217-1247-1250-1254-1201-1267-1255-1202-1248-1204-1205-1206-1218-1219-1220-1221-1222-1223</t>
  </si>
  <si>
    <t>ΡΕΝΤΙΦΗΣ</t>
  </si>
  <si>
    <t>Χ983919</t>
  </si>
  <si>
    <t>923,4</t>
  </si>
  <si>
    <t>1254-1247-1250-1256-1267-1249-1206-1253-1248-1255</t>
  </si>
  <si>
    <t>ΜΑΚΡΗΣ</t>
  </si>
  <si>
    <t>ΑΒ104636</t>
  </si>
  <si>
    <t>922,9</t>
  </si>
  <si>
    <t>ΦΑΣΟΥΛΑΚΗ</t>
  </si>
  <si>
    <t>Χ497738</t>
  </si>
  <si>
    <t>922,6</t>
  </si>
  <si>
    <t>ΠΟΡΤΟΚΑΛΑΚΗ</t>
  </si>
  <si>
    <t>ΑΖ916677</t>
  </si>
  <si>
    <t>922,4</t>
  </si>
  <si>
    <t>1206-1205-1255-1202-1247-1250-1254-1253-1201-1249-1248</t>
  </si>
  <si>
    <t>ΒΑΓΕΝΑΣ</t>
  </si>
  <si>
    <t>ΑΒ730235</t>
  </si>
  <si>
    <t>921,8</t>
  </si>
  <si>
    <t>1219-1206-1248-1267-1255-1202-1205-1249-1250-1247-1251-1253-1254-1256-1217-1201</t>
  </si>
  <si>
    <t>ΑΗ268618</t>
  </si>
  <si>
    <t>920,4</t>
  </si>
  <si>
    <t>1201-1204-1205-1206-1249-1247-1250-1248-1255-1253-1254-1256-1257-1267</t>
  </si>
  <si>
    <t>ΣΤΑΜΟΣ</t>
  </si>
  <si>
    <t>ΑΗ314431</t>
  </si>
  <si>
    <t>920,2</t>
  </si>
  <si>
    <t>1219-1248-1253-1206-1249-1254-1247-1217-1250-1205-1255-1202</t>
  </si>
  <si>
    <t>ΣΠΥΡΙΔΑΚΗ</t>
  </si>
  <si>
    <t>ΑΜ972952</t>
  </si>
  <si>
    <t>1221-1255-1205-1202</t>
  </si>
  <si>
    <t>ΚΑΜΠΟΥΡΑΚΗ</t>
  </si>
  <si>
    <t>ΑΝΘΗ</t>
  </si>
  <si>
    <t>ΑΗ969665</t>
  </si>
  <si>
    <t>ΖΑΜΠΟΥ</t>
  </si>
  <si>
    <t>Χ286493</t>
  </si>
  <si>
    <t>819,5</t>
  </si>
  <si>
    <t>919,5</t>
  </si>
  <si>
    <t>1250-1247-1254-1206-1267-1201-1205-1255-1248-1202-1253</t>
  </si>
  <si>
    <t>ΔΡΑΓΩΓΙΑ</t>
  </si>
  <si>
    <t>ΑΡΧΟΝΤΗ</t>
  </si>
  <si>
    <t>ΑΡΓΥΡΙΟΣ</t>
  </si>
  <si>
    <t>ΑΙ329687</t>
  </si>
  <si>
    <t>1249-1253-1252-1256-1222-1220-1219-1223-1255-1250-1221-1218-1251-1254</t>
  </si>
  <si>
    <t>ΓΟΥΝΑΡΗ</t>
  </si>
  <si>
    <t>ΑΕ320956</t>
  </si>
  <si>
    <t>918,7</t>
  </si>
  <si>
    <t>1201-1252-1216-1219-1248-1256-1253-1254-1249-1247-1217-1206-1205-1204-1255-1202-1221-1250-1218</t>
  </si>
  <si>
    <t>ΜΠΑΖΑΝΗ</t>
  </si>
  <si>
    <t>Ρ347893</t>
  </si>
  <si>
    <t>917,7</t>
  </si>
  <si>
    <t>ΔΑΛΛΑ</t>
  </si>
  <si>
    <t>ΑΕ194758</t>
  </si>
  <si>
    <t>916,2</t>
  </si>
  <si>
    <t>1267-1248-1206-1249-1205-1255-1202</t>
  </si>
  <si>
    <t>ΝΑΙΣΙΔΗΣ</t>
  </si>
  <si>
    <t>Χ225823</t>
  </si>
  <si>
    <t>914,8</t>
  </si>
  <si>
    <t>1219-1267-1248-1253-1255</t>
  </si>
  <si>
    <t>ΜΙΧΑΛΑΚΑ</t>
  </si>
  <si>
    <t>ΑΖ166951</t>
  </si>
  <si>
    <t>884,4</t>
  </si>
  <si>
    <t>914,4</t>
  </si>
  <si>
    <t>1248-1249-1253-1250-1201-1206-1202-1205-1247-1254-1255</t>
  </si>
  <si>
    <t>ΝΤΟΣΤΑ</t>
  </si>
  <si>
    <t>ΑΙ876347</t>
  </si>
  <si>
    <t>913,3</t>
  </si>
  <si>
    <t>1256-1249-1248-1247-1254-1201-1250-1202-1255</t>
  </si>
  <si>
    <t>ΔΕΜΕΡΤΖΗΣ</t>
  </si>
  <si>
    <t>ΑΚ854437</t>
  </si>
  <si>
    <t>913,2</t>
  </si>
  <si>
    <t>1203-1219-1248-1202-1252-1205-1255-1254-1250-1217-1222-1206-1249-1253</t>
  </si>
  <si>
    <t>ΚΟΛΑΤΣΟΥ</t>
  </si>
  <si>
    <t>ΑΖ319906</t>
  </si>
  <si>
    <t>912,4</t>
  </si>
  <si>
    <t>1206-1248-1247-1254-1253-1255-1249</t>
  </si>
  <si>
    <t>ΧΑΡΑΛΑΜΠΙΔΗΣ</t>
  </si>
  <si>
    <t>Σ344365</t>
  </si>
  <si>
    <t>911,8</t>
  </si>
  <si>
    <t>1248-1253-1206-1249-1247-1250-1255-1254-1201-1202-1205</t>
  </si>
  <si>
    <t>ΠΑΤΣΙΑΟΥΡΑΣ</t>
  </si>
  <si>
    <t>ΑΜ376944</t>
  </si>
  <si>
    <t>911,2</t>
  </si>
  <si>
    <t>1201-1202-1204-1205-1206-1247-1248-1249-1250-1253-1254-1255-1256-1267</t>
  </si>
  <si>
    <t>ΠΑΠΑΦΙΛΗ</t>
  </si>
  <si>
    <t>ΑΕ255838</t>
  </si>
  <si>
    <t>910,2</t>
  </si>
  <si>
    <t>1206-1250-1247-1248-1253-1254-1255-1249-1267</t>
  </si>
  <si>
    <t>ΜΠΑΤΑΛΙΑ</t>
  </si>
  <si>
    <t>ΑΙ239738</t>
  </si>
  <si>
    <t>1250-1248-1253-1254-1206-1202-1205-1255-1249-1247</t>
  </si>
  <si>
    <t>ΚΑΤΣΙΑΜΑΝΗ</t>
  </si>
  <si>
    <t>ΑΒ104026</t>
  </si>
  <si>
    <t>1201-1219-1248-1253-1249-1250-1217-1267-1256-1247-1255-1205-1202-1251</t>
  </si>
  <si>
    <t>ΤΣΑΠΑΝΗ</t>
  </si>
  <si>
    <t>ΑΖ917997</t>
  </si>
  <si>
    <t>908,7</t>
  </si>
  <si>
    <t>1206-1205-1202-1255-1267-1248-1247-1256-1254-1253-1250-1201</t>
  </si>
  <si>
    <t>ΜΩΡΑΙΤΗΣ</t>
  </si>
  <si>
    <t>ΑΗ329472</t>
  </si>
  <si>
    <t>908,5</t>
  </si>
  <si>
    <t>1253-1249-1248-1219-1256-1206-1254-1250-1247-1255</t>
  </si>
  <si>
    <t>ΓΡΙΒΑ</t>
  </si>
  <si>
    <t>Χ477392</t>
  </si>
  <si>
    <t>906,5</t>
  </si>
  <si>
    <t>1201-1202-1205-1206-1247-1248-1249-1250-1253-1254-1255-1256-1218</t>
  </si>
  <si>
    <t>ΤΖΑΤΣΟΣ Η ΤΣΑΤΣΟΣ</t>
  </si>
  <si>
    <t>Π510592</t>
  </si>
  <si>
    <t>1253-1249-1248-1254-1256-1206-1250-1255-1247</t>
  </si>
  <si>
    <t>ΚΛΕΟΝΙΚΗ</t>
  </si>
  <si>
    <t>ΑΗ397203</t>
  </si>
  <si>
    <t>904,8</t>
  </si>
  <si>
    <t>1206-1248-1219-1267-1253-1249-1254-1247-1217-1250-1205-1202-1255-1201</t>
  </si>
  <si>
    <t>ΑΗ296303</t>
  </si>
  <si>
    <t>833,8</t>
  </si>
  <si>
    <t>903,8</t>
  </si>
  <si>
    <t>1201-1202-1205-1206-1217-1219-1247-1248-1249-1250-1251-1252-1253-1254-1255-1256</t>
  </si>
  <si>
    <t>ΓΩΓΟΥΛΟΣ</t>
  </si>
  <si>
    <t>ΑΙ851883</t>
  </si>
  <si>
    <t>903,6</t>
  </si>
  <si>
    <t>1201-1247-1254-1205-1253-1202-1206-1248-1250-1249-1255</t>
  </si>
  <si>
    <t>ΤΣΑΒΔΑΡΙΔΟΥ</t>
  </si>
  <si>
    <t>ΑΖ921484</t>
  </si>
  <si>
    <t>1206-1248-1267-1253-1249-1254-1250-1255</t>
  </si>
  <si>
    <t>ΑΓΑΘΑΚΗΣ</t>
  </si>
  <si>
    <t>ΑΗ387568</t>
  </si>
  <si>
    <t>901,9</t>
  </si>
  <si>
    <t>1202-1205-1206-1219-1247-1248-1249-1250-1253-1254-1255</t>
  </si>
  <si>
    <t>ΜΠΟΣΚΟΥ</t>
  </si>
  <si>
    <t>ΑΜ710512</t>
  </si>
  <si>
    <t>901,5</t>
  </si>
  <si>
    <t>1248-1267-1206-1253-1255-1249-1247-1254</t>
  </si>
  <si>
    <t>ΚΛΕΙΣΙΑΡΗ</t>
  </si>
  <si>
    <t>ΑΕ822058</t>
  </si>
  <si>
    <t>900,3</t>
  </si>
  <si>
    <t>1247-1248-1249-1250-1253-1254-1255-1201-1202-1205-1206-1217-1218-1219-1220-1221-1222-1223-1203-1204-1251-1252-1256</t>
  </si>
  <si>
    <t>ΣΙΜΑΚΟΥ</t>
  </si>
  <si>
    <t>ΜΙΧΑΗΛ-Π</t>
  </si>
  <si>
    <t>Φ304314</t>
  </si>
  <si>
    <t>1202-1205-1206-1201-1247-1248-1249-1250-1253-1254-1255-1256</t>
  </si>
  <si>
    <t>ΚΑΤΣΑΝΗΣ</t>
  </si>
  <si>
    <t>ΑΝ384232</t>
  </si>
  <si>
    <t>899,2</t>
  </si>
  <si>
    <t>1222-1206-1249-1267-1256-1248-1219-1201-1252-1254-1247-1217-1250-1253-1255-1205-1202-1251</t>
  </si>
  <si>
    <t>ΓΡΑΜΜΑΤΙΚΑ</t>
  </si>
  <si>
    <t>Φ204495</t>
  </si>
  <si>
    <t>898,8</t>
  </si>
  <si>
    <t>1250-1254-1247-1201-1248-1267-1249-1253-1256-1206-1255-1202-1205</t>
  </si>
  <si>
    <t>ΧΑΙΤΑ</t>
  </si>
  <si>
    <t>Τ372022</t>
  </si>
  <si>
    <t>898,7</t>
  </si>
  <si>
    <t>1249-1267-1201-1256-1253-1248-1206-1247-1250-1255-1202-1205</t>
  </si>
  <si>
    <t>ΤΣΙΑΜΑΚΗΣ</t>
  </si>
  <si>
    <t>ΑΕ249212</t>
  </si>
  <si>
    <t>896,1</t>
  </si>
  <si>
    <t>1218-1217-1250-1249-1206-1252-1254-1247-1248-1219-1220-1221-1222-1223-1251-1253-1255-1256-1202-1204-1205</t>
  </si>
  <si>
    <t>ΠΑΠΑΔΗΜΗΤΡΟΠΟΥΛΟΣ</t>
  </si>
  <si>
    <t>Φ266742</t>
  </si>
  <si>
    <t>895,1</t>
  </si>
  <si>
    <t>1267-1248-1254-1206-1253-1249-1250-1255-1257-1201-1202</t>
  </si>
  <si>
    <t>ΔΑΡΔΑ</t>
  </si>
  <si>
    <t>ΕΥΓΓΕΛΙΑ</t>
  </si>
  <si>
    <t>ΑΚ984326</t>
  </si>
  <si>
    <t>894,2</t>
  </si>
  <si>
    <t>1201-1202-1205-1206-1249-1255-1256-1219-1248-1253</t>
  </si>
  <si>
    <t>ΤΡΑΝΤΑΛΙΔΗ</t>
  </si>
  <si>
    <t>ΑΒ186929</t>
  </si>
  <si>
    <t>893,3</t>
  </si>
  <si>
    <t>1202-1204-1201-1205-1206-1256-1255</t>
  </si>
  <si>
    <t>ΑΛΕΞΑΝΔΡΟΠΟΥΛΟΥ</t>
  </si>
  <si>
    <t>ΑΒ402658</t>
  </si>
  <si>
    <t>892,8</t>
  </si>
  <si>
    <t>1250-1254-1201-1248-1253-1205-1255-1202-1247-1249-1206</t>
  </si>
  <si>
    <t>ΒΟΥΛΓΑΡΟΠΟΥΛΟΥ</t>
  </si>
  <si>
    <t>ΜΑΡΙΑ ΑΦΡΟΔΙΤΗ</t>
  </si>
  <si>
    <t>ΑΑ969205</t>
  </si>
  <si>
    <t>892,6</t>
  </si>
  <si>
    <t>1201-1248-1267-1206-1202-1205-1255-1254-1249-1253-1247-1256-1250</t>
  </si>
  <si>
    <t>ΚΟΛΟΒΟΥ</t>
  </si>
  <si>
    <t>ΑΚ950425</t>
  </si>
  <si>
    <t>892,3</t>
  </si>
  <si>
    <t>1205-1202-1250-1255-1247-1248-1253-1254-1249-1206</t>
  </si>
  <si>
    <t>ΚΩΤΤΗ</t>
  </si>
  <si>
    <t>ΑΙ190959</t>
  </si>
  <si>
    <t>890,6</t>
  </si>
  <si>
    <t>1219-1248-1206-1253-1256-1249-1205-1255-1202-1201-1251-1250-1217-1247-1254</t>
  </si>
  <si>
    <t>ΠΑΟΥΝΗ</t>
  </si>
  <si>
    <t>Χ379174</t>
  </si>
  <si>
    <t>1202-1204-1205-1206-1217-1218-1219-1220-1221-1222-1223-1247-1248-1249-1250-1251-1252-1253-1254-1255-1256</t>
  </si>
  <si>
    <t>ΤΖΕΛΕΠΑΚΗ</t>
  </si>
  <si>
    <t>ΑΜ833112</t>
  </si>
  <si>
    <t>1248-1254-1253-1255-1249-1247-1250-1206-1205-1202-1201-1267</t>
  </si>
  <si>
    <t>ΣΙΩΛΑΣ</t>
  </si>
  <si>
    <t>ΒΑΣΙΛΕΙΟΣ-ΧΡΗΣΤΟΣ</t>
  </si>
  <si>
    <t>ΑΜ718261</t>
  </si>
  <si>
    <t>887,4</t>
  </si>
  <si>
    <t>1248-1219-1256-1253-1249-1252-1203-1201-1247-1205-1202-1250-1251-1255-1254-1217</t>
  </si>
  <si>
    <t>ΧΑΤΖΗΠΑΣΧΑΛΗΣ</t>
  </si>
  <si>
    <t>ΑΝ382821</t>
  </si>
  <si>
    <t>887,3</t>
  </si>
  <si>
    <t>ΗΛΙΑΔΟΥ</t>
  </si>
  <si>
    <t>ΑΓΑΠΗ</t>
  </si>
  <si>
    <t>ΑΗ871787</t>
  </si>
  <si>
    <t>885,9</t>
  </si>
  <si>
    <t>1206-1248-1249-1247-1217-1218-1250-1253-1254-1267-1202-1255-1205</t>
  </si>
  <si>
    <t>ΚΟΥΜΠΟΥΝΗ</t>
  </si>
  <si>
    <t>ΑΜ764867</t>
  </si>
  <si>
    <t>1250-1217-1247-1252-1253-1254-1255</t>
  </si>
  <si>
    <t>ΑΙ836400</t>
  </si>
  <si>
    <t>1255-1202-1205-1206-1248-1247-1249-1250-1253-1254</t>
  </si>
  <si>
    <t>ΑΖ362129</t>
  </si>
  <si>
    <t>885,2</t>
  </si>
  <si>
    <t>ΚΟΙΚΑΣ</t>
  </si>
  <si>
    <t>ΑΑ058738</t>
  </si>
  <si>
    <t>1202-1205-1206-1248-1247-1249-1253-1254-1255</t>
  </si>
  <si>
    <t>ΚΟΝΤΟΒΑΣ</t>
  </si>
  <si>
    <t>ΑΝ338411</t>
  </si>
  <si>
    <t>883,8</t>
  </si>
  <si>
    <t>1201-1252-1254-1219-1247-1206-1253-1256-1248-1249-1217-1250-1202-1205-1255-1251</t>
  </si>
  <si>
    <t>ΑΙ299510</t>
  </si>
  <si>
    <t>1205-1254-1248-1206-1247-1249-1253-1255-1250</t>
  </si>
  <si>
    <t>ΟΥΛΕΜΑΝΗ</t>
  </si>
  <si>
    <t>ΑΖ308746</t>
  </si>
  <si>
    <t>1256-1253-1248-1206-1201-1202-1203-1204-1205-1217-1218-1219-1220-1221-1222-1223-1247-1249-1250-1251-1252-1254-1255</t>
  </si>
  <si>
    <t>ΜΠΟΥΜΠΑΚΗ</t>
  </si>
  <si>
    <t>ΑΙ791479</t>
  </si>
  <si>
    <t>882,9</t>
  </si>
  <si>
    <t>1250-1247-1201-1253-1254-1206-1248-1249-1205-1202-1255</t>
  </si>
  <si>
    <t>ΓΡΗΓΟΡΟΠΟΥΛΟΥ</t>
  </si>
  <si>
    <t>Χ984307</t>
  </si>
  <si>
    <t>881,4</t>
  </si>
  <si>
    <t>1254-1247-1250-1255-1253-1206-1248-1256-1249</t>
  </si>
  <si>
    <t>ΑΖ793706</t>
  </si>
  <si>
    <t>880,7</t>
  </si>
  <si>
    <t>1249-1253-1256-1248-1206-1201-1247-1254-1255-1205-1202</t>
  </si>
  <si>
    <t>ΑΠΟΣΤΟΛΙΔΟΥ</t>
  </si>
  <si>
    <t>AM373189</t>
  </si>
  <si>
    <t>880,2</t>
  </si>
  <si>
    <t>1206-1222-1247-1248-1249-1250-1253-1254-1255-1256</t>
  </si>
  <si>
    <t>Κουτέλας</t>
  </si>
  <si>
    <t>Πέτρος</t>
  </si>
  <si>
    <t>Παναγιώτης</t>
  </si>
  <si>
    <t>ΑΚ430256</t>
  </si>
  <si>
    <t>879,7</t>
  </si>
  <si>
    <t>1201-1248-1205-1255-1202-1206-1247-1250-1253-1256-1249-1254</t>
  </si>
  <si>
    <t>ΑΝΔΡΙΤΣΟΥ</t>
  </si>
  <si>
    <t>ΑΖ703474</t>
  </si>
  <si>
    <t>879,3</t>
  </si>
  <si>
    <t>1267-1248-1201-1202-1205-1255-1247-1221-1254-1217-1250-1249-1253-1256-1206-1222</t>
  </si>
  <si>
    <t>ΣΤΡΑΝΤΖΑΛΗΣ</t>
  </si>
  <si>
    <t>ΑΝ346563</t>
  </si>
  <si>
    <t>879,2</t>
  </si>
  <si>
    <t>1201-1202-1206-1248-1249-1253-1255-1267-1256-1247-1250-1254</t>
  </si>
  <si>
    <t>ΚΑΠΛΑΝΙΔΟΥ</t>
  </si>
  <si>
    <t>ΑΕ890289</t>
  </si>
  <si>
    <t>1206-1219-1248-1253-1256-1247-1249-1250-1255</t>
  </si>
  <si>
    <t>ΠΑΠΑΦΩΤΟΠΟΥΛΟΣ-ΠΑΤΡΙΝΟΣ</t>
  </si>
  <si>
    <t>ΑΑ317849</t>
  </si>
  <si>
    <t>878,4</t>
  </si>
  <si>
    <t>1201-1217-1218-1250-1204-1205-1221-1223-1251-1255</t>
  </si>
  <si>
    <t>ΒΑΣΙΚΩΣΤΑ</t>
  </si>
  <si>
    <t>Τ990072</t>
  </si>
  <si>
    <t>876,3</t>
  </si>
  <si>
    <t>1254-1201-1247-1248-1250-1249-1253-1256-1206-1205-1255-1202</t>
  </si>
  <si>
    <t>ΓΑΛΙΑΤΣΟΥ</t>
  </si>
  <si>
    <t>ΑΒ393098</t>
  </si>
  <si>
    <t>635,8</t>
  </si>
  <si>
    <t>875,8</t>
  </si>
  <si>
    <t>1201-1248-1247-1206-1249-1250-1253-1254-1255-1202-1205</t>
  </si>
  <si>
    <t>ΝΙΚΟΛΟΠΟΥΛΟΥ</t>
  </si>
  <si>
    <t>ΑΙ220091</t>
  </si>
  <si>
    <t>875,6</t>
  </si>
  <si>
    <t>1202-1204-1215-1206-1247-1248-1249-1258-1253-1254-1255</t>
  </si>
  <si>
    <t>ΘΕΟΩΡΟΣ</t>
  </si>
  <si>
    <t>Χ355143</t>
  </si>
  <si>
    <t>874,7</t>
  </si>
  <si>
    <t>1202-1221-1204-1205-1255-1219-1248-1267-1217-1250-1206-1201-1203-1218-1256-1247-1254-1253-1249-1220-1222</t>
  </si>
  <si>
    <t>ΚΟΥΡΣΑΡΑΚΟΣ</t>
  </si>
  <si>
    <t>ΑΜ861329</t>
  </si>
  <si>
    <t>874,6</t>
  </si>
  <si>
    <t>1256-1253-1267-1248-1206-1249-1201-1250-1247-1218-1202-1205-1255-1254</t>
  </si>
  <si>
    <t>ΣΠΑΝΙΑ</t>
  </si>
  <si>
    <t>ΑΒ432150</t>
  </si>
  <si>
    <t>874,1</t>
  </si>
  <si>
    <t>1247-1201-1267-1206-1202-1249-1205-1255-1250-1256-1254-1253-1248</t>
  </si>
  <si>
    <t>ΒΑΡΒΑΤΟΥ</t>
  </si>
  <si>
    <t>ΑΖ214029</t>
  </si>
  <si>
    <t>1249-1206-1255-1248-1247-1253-1254-1250</t>
  </si>
  <si>
    <t>ΚΟΝΤΟΓΕΩΡΓΟΥ</t>
  </si>
  <si>
    <t>ΑΖ769361</t>
  </si>
  <si>
    <t>873,8</t>
  </si>
  <si>
    <t>1201-1203-1249-1253-1256-1250-1255-1247-1248-1254-1202</t>
  </si>
  <si>
    <t>ΒΟΥΚΟΥΤΗ</t>
  </si>
  <si>
    <t>ΑΗ483066</t>
  </si>
  <si>
    <t>872,4</t>
  </si>
  <si>
    <t>1247-1254-1250-1201-1248-1267-1249-1253-1206-1205-1255</t>
  </si>
  <si>
    <t>ΔΑΛΑΜΗΤΡΑ</t>
  </si>
  <si>
    <t>ΑΗ192233</t>
  </si>
  <si>
    <t>872,3</t>
  </si>
  <si>
    <t>1248-1206-1253-1247-1249-1255-1254-1250-1256-1252-1251-1219-1222-1201-1202-1220-1205-1204-1217-1218-1223-1221</t>
  </si>
  <si>
    <t>ΤΣΙΡΗ</t>
  </si>
  <si>
    <t>ΑΒ867778</t>
  </si>
  <si>
    <t>872,2</t>
  </si>
  <si>
    <t>ΦΑΣΟΥΛΑΚΟΥ</t>
  </si>
  <si>
    <t>ΑΕ129047</t>
  </si>
  <si>
    <t>871,1</t>
  </si>
  <si>
    <t>1256-1253-1255-1202-1247-1201-1254-1206-1249-1248-1250</t>
  </si>
  <si>
    <t>ΝΑΤΣΟΠΟΥΛΟΣ</t>
  </si>
  <si>
    <t>Χ369514</t>
  </si>
  <si>
    <t>870,1</t>
  </si>
  <si>
    <t>1206-1219-1248-1253-1249-1205-1255-1201-1254-1202-1217-1250</t>
  </si>
  <si>
    <t>ΖΡΑΦΚΟΠΟΥΛΟΥ</t>
  </si>
  <si>
    <t>Σ884242</t>
  </si>
  <si>
    <t>869,2</t>
  </si>
  <si>
    <t>1206-1267-1248-1202-1255</t>
  </si>
  <si>
    <t>ΠΟΣΤΑΝΙΔΟΥ</t>
  </si>
  <si>
    <t>ΑΚ979472</t>
  </si>
  <si>
    <t>869,1</t>
  </si>
  <si>
    <t>1249-1253-1219-1248-1267-1206-1247-1255-1205-1202-1201-1203-1254-1250-1217</t>
  </si>
  <si>
    <t>ΑΖ352171</t>
  </si>
  <si>
    <t>868,8</t>
  </si>
  <si>
    <t>1248-1247-1250-1253-1254-1255-1256</t>
  </si>
  <si>
    <t>ΜΠΙΣΜΠΙΚΗΣ</t>
  </si>
  <si>
    <t>Φ437474</t>
  </si>
  <si>
    <t>868,6</t>
  </si>
  <si>
    <t>1201-1249-1250-1248-1247-1218-1217-1253-1255-1206-1202-1205</t>
  </si>
  <si>
    <t>ΣΚΟΥΤΕΛΑ</t>
  </si>
  <si>
    <t>ΑΙ325631</t>
  </si>
  <si>
    <t>ΑΒ199064</t>
  </si>
  <si>
    <t>867,4</t>
  </si>
  <si>
    <t>1254-1247-1255-1248-1253-1249-1250-1206</t>
  </si>
  <si>
    <t>ΑΒ746996</t>
  </si>
  <si>
    <t>866,2</t>
  </si>
  <si>
    <t>1248-1206-1253-1256-1247-1201-1249-1254-1255-1202-1250</t>
  </si>
  <si>
    <t>ΠΑΝΑΓΟΥ</t>
  </si>
  <si>
    <t>Σ888919</t>
  </si>
  <si>
    <t>1201-1254-1248-1247-1253-1249-1250-1255-1205-1206-1202</t>
  </si>
  <si>
    <t>ΑΒ433530</t>
  </si>
  <si>
    <t>864,9</t>
  </si>
  <si>
    <t>1249-1248-1267-1253-1256-1201-1206-1250-1247-1254-1202-1205-1255</t>
  </si>
  <si>
    <t>ΠΑΠΑΝΙΚΟΣ</t>
  </si>
  <si>
    <t>ΑΒ431814</t>
  </si>
  <si>
    <t>863,9</t>
  </si>
  <si>
    <t>1201-1203-1252-1254-1267-1247-1248-1253-1249-1218-1256-1250-1206-1222-1202-1205-1255</t>
  </si>
  <si>
    <t>ΑΗΔΟΝΙΔΗΣ</t>
  </si>
  <si>
    <t>Χ342952</t>
  </si>
  <si>
    <t>862,3</t>
  </si>
  <si>
    <t>1249-1206-1218-1248-1247-1255-1254-1250-1253</t>
  </si>
  <si>
    <t>ΑΜ995115</t>
  </si>
  <si>
    <t>861,6</t>
  </si>
  <si>
    <t>1247-1254-1250-1253-1267-1248-1206-1255-1205</t>
  </si>
  <si>
    <t>ΚΩΣΤΟΓΛΙΔΗΣ</t>
  </si>
  <si>
    <t>ΑΗ329381</t>
  </si>
  <si>
    <t>861,5</t>
  </si>
  <si>
    <t>1253-1217-1218-1220-1221-1222-1223-1248-1247-1249-1252-1254-1256-1267-1204-1205-1206-1219-1250-1251-1255</t>
  </si>
  <si>
    <t>ΒΙΡΓΙΝΙΑ</t>
  </si>
  <si>
    <t>ΑΒ854923</t>
  </si>
  <si>
    <t>1248-1267-1206-1218-1249-1254-1247-1256-1250-1253-1255</t>
  </si>
  <si>
    <t>ΑΒ842007</t>
  </si>
  <si>
    <t>859,6</t>
  </si>
  <si>
    <t>1201-1219-1248-1249-1254-1267-1206-1253-1256-1247-1217-1250-1218-1205-1255-1221-1202</t>
  </si>
  <si>
    <t>ΣΚΥΛΟΓΙΑΝΝΗΣ</t>
  </si>
  <si>
    <t>ΑΜ376368</t>
  </si>
  <si>
    <t>1248-1201-1202-1205-1255-1206-1247-1249-1250-1253-1254-1256</t>
  </si>
  <si>
    <t>ΤΕΚΕΔΟΠΟΥΛΟΥ</t>
  </si>
  <si>
    <t>Χ948422</t>
  </si>
  <si>
    <t>1256-1253-1267-1248-1206-1249-1247-1254-1255-1250</t>
  </si>
  <si>
    <t>ΞΑΝΘΟΠΟΥΛΟΣ</t>
  </si>
  <si>
    <t>Χ094778</t>
  </si>
  <si>
    <t>856,5</t>
  </si>
  <si>
    <t>1217-1250-1247-1218-1219-1248-1221-1205-1255-1202-1206-1254-1249-1201-1253</t>
  </si>
  <si>
    <t>ΣΕΜΕΡΤΖΑΚΗ</t>
  </si>
  <si>
    <t>Σ924704</t>
  </si>
  <si>
    <t>856,4</t>
  </si>
  <si>
    <t>1202-1205-1255-1248-1206-1253-1250-1201-1247-1249-1256</t>
  </si>
  <si>
    <t>ΑΜΔΑΡΗΣ</t>
  </si>
  <si>
    <t>Χ932610</t>
  </si>
  <si>
    <t>1254-1253-1249-1256-1250-1255-1248-1247-1202-1205-1206-1217-1219-1251</t>
  </si>
  <si>
    <t>ΧΟΡΤΑΡΙΑ</t>
  </si>
  <si>
    <t>ΑΑ307099</t>
  </si>
  <si>
    <t>854,7</t>
  </si>
  <si>
    <t>1218-1217-1219-1220-1221-1222-1223-1202-1206-1204-1205-1201-1247-1248-1249-1253-1254-1255</t>
  </si>
  <si>
    <t>ΛΑΓΙΟΥ</t>
  </si>
  <si>
    <t>ΑΗ088900</t>
  </si>
  <si>
    <t>854,6</t>
  </si>
  <si>
    <t>1254-1247-1201-1267-1248-1219-1255-1205-1202-1256-1253-1249-1250-1217-1206</t>
  </si>
  <si>
    <t>ΣΙΝΑΠΗ</t>
  </si>
  <si>
    <t>Φ314516</t>
  </si>
  <si>
    <t>854,5</t>
  </si>
  <si>
    <t>1256-1253-1248-1249-1206-1247-1254-1250-1255</t>
  </si>
  <si>
    <t>ΜΠΑΛΗ</t>
  </si>
  <si>
    <t>Χ984924</t>
  </si>
  <si>
    <t>853,9</t>
  </si>
  <si>
    <t>1254-1247-1248-1205-1206-1249-1250-1255-1256</t>
  </si>
  <si>
    <t>ΚΟΥΤΣΟΥΠΙΑ</t>
  </si>
  <si>
    <t>Χ835404</t>
  </si>
  <si>
    <t>851,2</t>
  </si>
  <si>
    <t>1204-1205-1255-1221-1202-1218-1254-1219-1248-1203-1206-1220-1222-1249-1252-1253-1256-1247-1217-1250-1267</t>
  </si>
  <si>
    <t>ΣΦΟΝΔΥΛΗ</t>
  </si>
  <si>
    <t>ΒΗΣΣΑΡΙΩΝ</t>
  </si>
  <si>
    <t>ΑΖ248019</t>
  </si>
  <si>
    <t>850,1</t>
  </si>
  <si>
    <t>1267-1248-1250-1247-1254-1206-1249-1253-1255-1205-1202</t>
  </si>
  <si>
    <t>ΨΩΜΑΣ</t>
  </si>
  <si>
    <t>Χ777590</t>
  </si>
  <si>
    <t>848,3</t>
  </si>
  <si>
    <t>1247-1254-1250-1248-1202-1205-1255-1201-1267-1253-1206-1249</t>
  </si>
  <si>
    <t>ΤΣΙΒΙΔΑΚΗ</t>
  </si>
  <si>
    <t>ΑΗ061095</t>
  </si>
  <si>
    <t>847,6</t>
  </si>
  <si>
    <t>1202-1204-1255</t>
  </si>
  <si>
    <t>ΡΑΚΟΥ</t>
  </si>
  <si>
    <t>ΑΗ771410</t>
  </si>
  <si>
    <t>846,9</t>
  </si>
  <si>
    <t>1252-1201-1206-1254-1253-1249-1247-1255-1219-1221</t>
  </si>
  <si>
    <t>ΚΟΥΦΑΚΗΣ</t>
  </si>
  <si>
    <t>ΑΝ477969</t>
  </si>
  <si>
    <t>774,4</t>
  </si>
  <si>
    <t>846,4</t>
  </si>
  <si>
    <t>ΡΟΥΜΠΑ</t>
  </si>
  <si>
    <t>ΑΙ212150</t>
  </si>
  <si>
    <t>846,2</t>
  </si>
  <si>
    <t>1247-1255-1254-1250-1253-1248</t>
  </si>
  <si>
    <t>ΜΑΝΑΝΗ</t>
  </si>
  <si>
    <t>ΑΒ868808</t>
  </si>
  <si>
    <t>845,4</t>
  </si>
  <si>
    <t>1249-1248-1253-1255-1202-1205-1219-1222-1206-1220-1221</t>
  </si>
  <si>
    <t>ΔΗΜΗΤΡΑΚΟΠΟΥΛΟΣ</t>
  </si>
  <si>
    <t>ΑΚ078607</t>
  </si>
  <si>
    <t>1201-1202-1205-1206-1217-1219-1247-1248-1249-1250-1253-1254-1255-1267</t>
  </si>
  <si>
    <t>ΔΙΠΛΑΡΗΣ</t>
  </si>
  <si>
    <t>ΑΕ810587</t>
  </si>
  <si>
    <t>845,3</t>
  </si>
  <si>
    <t>1201-1202-1205-1206-1247-1248-1249-1250-1253-1254-1255-1256-1257-1267</t>
  </si>
  <si>
    <t>ΧΟΙΔΑΣ</t>
  </si>
  <si>
    <t>ΣΠΥΡΟΝΙΚΟΛΑΣ</t>
  </si>
  <si>
    <t>ΑΝ3383459</t>
  </si>
  <si>
    <t>1250-1248-1255-1247-1249-1206-1254-1253-1256</t>
  </si>
  <si>
    <t>ΓΑΛΑΡΑ</t>
  </si>
  <si>
    <t>ΑΒ129316</t>
  </si>
  <si>
    <t>844,9</t>
  </si>
  <si>
    <t>1206-1248-1267-1205-1201-1202-1247-1249-1250-1253-1254-1255</t>
  </si>
  <si>
    <t>ΠΑΣΧΟΥ</t>
  </si>
  <si>
    <t>Χ137493</t>
  </si>
  <si>
    <t>844,7</t>
  </si>
  <si>
    <t>1201-1249-1218-1247-1253-1248-1254-1206-1255-1250-1221-1267-1205-1202</t>
  </si>
  <si>
    <t>ΓΚΑΤΖΗΜΑ</t>
  </si>
  <si>
    <t>ΑΙ872169</t>
  </si>
  <si>
    <t>844,4</t>
  </si>
  <si>
    <t>1249-1205-1255-1253-1219-1248-1201-1206-1202-1254-1217-1250</t>
  </si>
  <si>
    <t>ΜΙΧΑΛΑΚΗΣ</t>
  </si>
  <si>
    <t>ΑΖ480448</t>
  </si>
  <si>
    <t>1201-1202-1206-1247-1248-1249-1250-1253-1254-1255-1256-1217-1218-1219-1251</t>
  </si>
  <si>
    <t>ΤΑΚΙΔΟΥ</t>
  </si>
  <si>
    <t>ΘΕΑΝΘΗ</t>
  </si>
  <si>
    <t>Χ968527</t>
  </si>
  <si>
    <t>843,9</t>
  </si>
  <si>
    <t>1248-1250-1252-1249-1247-1254-1255</t>
  </si>
  <si>
    <t>ΑΙ297421</t>
  </si>
  <si>
    <t>624,8</t>
  </si>
  <si>
    <t>843,8</t>
  </si>
  <si>
    <t>1201-1254-1249-1247-1253-1248-1250-1255-1202</t>
  </si>
  <si>
    <t>ΚΩΣΤΟΠΟΥΛΟΥ</t>
  </si>
  <si>
    <t>Τ850551</t>
  </si>
  <si>
    <t>1250-1254-1255-1248-1267-1247-1249-1253-1206</t>
  </si>
  <si>
    <t>ΜΠΑΜΠΑΛΙΑΡΗΣ</t>
  </si>
  <si>
    <t>ΑΚ467130</t>
  </si>
  <si>
    <t>843,3</t>
  </si>
  <si>
    <t>1202-1204-1205-1206-1221-1219-1217-1218-1222-1223-1220-1248-1255-1254-1253-1250-1256-1247-1249-1251-1252</t>
  </si>
  <si>
    <t>Φ347833</t>
  </si>
  <si>
    <t>842,2</t>
  </si>
  <si>
    <t>ΑΗ469538</t>
  </si>
  <si>
    <t>840,7</t>
  </si>
  <si>
    <t>1221-1255-1205-1204</t>
  </si>
  <si>
    <t>ΘΕΟΛΟΓΑΣ</t>
  </si>
  <si>
    <t>ΑΖ343254</t>
  </si>
  <si>
    <t>840,3</t>
  </si>
  <si>
    <t>1203-1202-1206-1204-1205-1217-1256-1255-1247-1248-1249-1250-1251-1252-1218-1219-1220-1221-1222</t>
  </si>
  <si>
    <t>ΚΑΣΣΕΛΑΚΗ</t>
  </si>
  <si>
    <t>ΑΚ738034</t>
  </si>
  <si>
    <t>839,8</t>
  </si>
  <si>
    <t xml:space="preserve">ΜΟΥΣΤΑΚΑΣ </t>
  </si>
  <si>
    <t xml:space="preserve">ΣΤΥΛΙΑΝΟΣ </t>
  </si>
  <si>
    <t xml:space="preserve">ΑΘΑΝΑΣΙΟΣ </t>
  </si>
  <si>
    <t>ΑΜ378779</t>
  </si>
  <si>
    <t>1219-1248-1256-1206-1253-1249-1201-1255-1205-1202-1217-1250-1247-1254-1251</t>
  </si>
  <si>
    <t>ΑΕ511356</t>
  </si>
  <si>
    <t>839,4</t>
  </si>
  <si>
    <t>1247-1254-1250-1202-1255</t>
  </si>
  <si>
    <t>ΚΑΡΑΝΑΤΣΟΥ</t>
  </si>
  <si>
    <t>ΑΜ855471</t>
  </si>
  <si>
    <t>838,5</t>
  </si>
  <si>
    <t>1249-1248-1253-1201-1206-1247-1250-1254-1255-1202-1256</t>
  </si>
  <si>
    <t>ΤΣΙΡΑΝΤΩΝΑΚΗ</t>
  </si>
  <si>
    <t>ΕΡΑΣΜΙΑ</t>
  </si>
  <si>
    <t>ΑΒ976349</t>
  </si>
  <si>
    <t>838,3</t>
  </si>
  <si>
    <t>ΑΝΘΙΜΙΑΔΟΥ</t>
  </si>
  <si>
    <t>ΑΜ887846</t>
  </si>
  <si>
    <t>837,8</t>
  </si>
  <si>
    <t>1267-1219-1255-1222-1221-1205-1204-1202-1256-1220-1217-1250-1203-1218-1206-1223-1227-1229-1254-1253-1252-1251-1201</t>
  </si>
  <si>
    <t>ΣΤΑΜΟΥΛΗ</t>
  </si>
  <si>
    <t>ΑΗ510515</t>
  </si>
  <si>
    <t>1201-1202-1205-1206-1222-1247-1248-1249-1250-1253-1254-1255-1256-1267</t>
  </si>
  <si>
    <t>ΚΟΥΤΣΙΜΑΝΗΣ</t>
  </si>
  <si>
    <t>ΒΙΚΤΩΡΑΣ</t>
  </si>
  <si>
    <t>Χ393428</t>
  </si>
  <si>
    <t>835,5</t>
  </si>
  <si>
    <t>ΘΕΟΧΑΡΙΔΗ</t>
  </si>
  <si>
    <t>Τ398194</t>
  </si>
  <si>
    <t>834,1</t>
  </si>
  <si>
    <t>1248-1249-1267-1206-1247-1250-1253-1254-1256-1255</t>
  </si>
  <si>
    <t>ΚΟΥΛΙΕΡΑΚΗ</t>
  </si>
  <si>
    <t>ΑΝ481845</t>
  </si>
  <si>
    <t>1255-1205-1204-1221-1202-1248</t>
  </si>
  <si>
    <t>ΔΑΒΙΤΗΣ</t>
  </si>
  <si>
    <t>ΑΝ389548</t>
  </si>
  <si>
    <t>1267-1248-1206-1253-1249-1254-1247-1201-1202-1205-1255-1250</t>
  </si>
  <si>
    <t>ΠΑΓΟΥΝΗ</t>
  </si>
  <si>
    <t>ΑΗ333120</t>
  </si>
  <si>
    <t>833,4</t>
  </si>
  <si>
    <t>1253-1219-1248-1249-1256-1222-1220-1206-1252-1203-1204-1205-1217-1218-1221-1223-1247-1250-1251-1254-1255</t>
  </si>
  <si>
    <t>ΠΑΓΚΑΛΙΔΟΥ</t>
  </si>
  <si>
    <t>ΑΗ281892</t>
  </si>
  <si>
    <t>832,8</t>
  </si>
  <si>
    <t>1267-1248-1247-1254-1253-1206-1250-1249-1201-1202-1255</t>
  </si>
  <si>
    <t>ΣΤΕΡΓΙΟΠΟΥΛΟΣ</t>
  </si>
  <si>
    <t>ΑΕ363532</t>
  </si>
  <si>
    <t>832,5</t>
  </si>
  <si>
    <t>1253-1249-1248-1251-1254-1255-1256-1218-1219</t>
  </si>
  <si>
    <t>ΚΙΣΤΟΓΛΟΥ</t>
  </si>
  <si>
    <t>ΑΗ310222</t>
  </si>
  <si>
    <t>832,4</t>
  </si>
  <si>
    <t>1256-1253-1249-1248-1206-1201-1247-1202-1205-1255</t>
  </si>
  <si>
    <t>ΣΕΙΜΕΚΗ</t>
  </si>
  <si>
    <t>ΑΜ293882</t>
  </si>
  <si>
    <t>832,2</t>
  </si>
  <si>
    <t>1248-1267-1206-1205-1247-1249-1250-1253-1254-1255</t>
  </si>
  <si>
    <t>ΣΤΑΘΑΚΗ</t>
  </si>
  <si>
    <t>ΑΑ455016</t>
  </si>
  <si>
    <t>831,4</t>
  </si>
  <si>
    <t>1205-1255-1250-1253-1206-1247-1248-1249-1256-1254-1267</t>
  </si>
  <si>
    <t>ΑΛΕΚΟΣ</t>
  </si>
  <si>
    <t>ΑΕ881796</t>
  </si>
  <si>
    <t>1202-1205-1206-1217-1219-1249-1247-1248-1250-1251-1253-1254-1255-1256</t>
  </si>
  <si>
    <t>ΞΑΝΘΟΥΔΑΚΗ</t>
  </si>
  <si>
    <t>Φ014831</t>
  </si>
  <si>
    <t>831,2</t>
  </si>
  <si>
    <t>ΑΒ588294</t>
  </si>
  <si>
    <t>829,9</t>
  </si>
  <si>
    <t>1202-1221-1254-1205-1255</t>
  </si>
  <si>
    <t>ΝΟΜΙΚΟΣ</t>
  </si>
  <si>
    <t>ΒΙΚΤΩΡ-ΝΙΚΗΤΑΣ</t>
  </si>
  <si>
    <t>ΑΚ712138</t>
  </si>
  <si>
    <t>828,8</t>
  </si>
  <si>
    <t>1217-1250-1247-1254-1201-1202-1205-1255-1249-1253-1267-1219-1248-1206</t>
  </si>
  <si>
    <t>ΛΑΜΠΡΑΚΗΣ</t>
  </si>
  <si>
    <t>Χ863728</t>
  </si>
  <si>
    <t>828,1</t>
  </si>
  <si>
    <t>1205-1255-1201-1249-1253-1202-1247-1250-1206-1254-1248-1256</t>
  </si>
  <si>
    <t>ΤΣΩΛΑ</t>
  </si>
  <si>
    <t>ΑΙ295197</t>
  </si>
  <si>
    <t>826,4</t>
  </si>
  <si>
    <t>1203-1252-1201-1219-1248-1267-1216-1221-1222-1255-1205-1204-1249-1202</t>
  </si>
  <si>
    <t>ΝΤΖΟΥΒΑΡΑΣ</t>
  </si>
  <si>
    <t>ΑΚ670252</t>
  </si>
  <si>
    <t>825,7</t>
  </si>
  <si>
    <t>1254-1217-1250-1247-1249-1219-1248-1205-1255-1202-1253-1206-1256-1251-1201</t>
  </si>
  <si>
    <t>ΚΟΥΚΙΑΝΑΚΗΣ</t>
  </si>
  <si>
    <t>ΑΙ973615</t>
  </si>
  <si>
    <t>825,5</t>
  </si>
  <si>
    <t>ΚΟΡΔΑΚΗΣ</t>
  </si>
  <si>
    <t>ΑΕ522615</t>
  </si>
  <si>
    <t>1247-1250-1254-1248-1267-1255-1253-1206-1249</t>
  </si>
  <si>
    <t>ΤΥΡΟΠΩΛΗ</t>
  </si>
  <si>
    <t>ΒΕΝΕΤΙΑ</t>
  </si>
  <si>
    <t>ΑΖ930075</t>
  </si>
  <si>
    <t>824,2</t>
  </si>
  <si>
    <t>1206-1248-1247-1250-1254-1253-1255-1249</t>
  </si>
  <si>
    <t>ΚΑΛΛΗΔΟΝΑΚΗ</t>
  </si>
  <si>
    <t>ΜΑΝΟΥΣΟΣ</t>
  </si>
  <si>
    <t>ΑΙ470956</t>
  </si>
  <si>
    <t>822,6</t>
  </si>
  <si>
    <t>1234-1204-1205-1255</t>
  </si>
  <si>
    <t>ΒΑΛΣΑΜΗ</t>
  </si>
  <si>
    <t>ΑΝ396079</t>
  </si>
  <si>
    <t>822,4</t>
  </si>
  <si>
    <t>ΑΜΟΙΡΙΔΟΥ</t>
  </si>
  <si>
    <t>Σ437214</t>
  </si>
  <si>
    <t>822,3</t>
  </si>
  <si>
    <t>1248-1267-1253-1206-1249-1201-1254-1247-1205-1255-1202-1250</t>
  </si>
  <si>
    <t>Πανταζοπουλου</t>
  </si>
  <si>
    <t xml:space="preserve">Αικατερίνη </t>
  </si>
  <si>
    <t xml:space="preserve">Νικόλαος </t>
  </si>
  <si>
    <t>AK626426</t>
  </si>
  <si>
    <t>1202-1206-1247-1248-1249-1250-1253-1254-1255-1256</t>
  </si>
  <si>
    <t>ΣΤΑΥΡΟΥΛΑΚΗΣ</t>
  </si>
  <si>
    <t>ΑΗ973122</t>
  </si>
  <si>
    <t>1253-1247-1250-1254-1255-1206-1202-1248</t>
  </si>
  <si>
    <t>ΣΑΛΒΑΡΑΚΗ</t>
  </si>
  <si>
    <t>ΘΕΟΠΙΣΤΗ</t>
  </si>
  <si>
    <t>ΑΙ459514</t>
  </si>
  <si>
    <t>ΝΑΤΑΣΑ-ΜΑΡΙΑ</t>
  </si>
  <si>
    <t>ΑΗ284054</t>
  </si>
  <si>
    <t>820,9</t>
  </si>
  <si>
    <t>1201-1202-1248-1206-1247-1249-1250-1253-1254-1255-1256</t>
  </si>
  <si>
    <t>ΒΕΛΛΑ</t>
  </si>
  <si>
    <t>ΤΕΡΕΖΑ</t>
  </si>
  <si>
    <t>ΑΕ816561</t>
  </si>
  <si>
    <t>820,1</t>
  </si>
  <si>
    <t>1201-1202-1206-1247-1248-1249-1250-1253-1254-1255</t>
  </si>
  <si>
    <t>ΒΑΙΟΥ</t>
  </si>
  <si>
    <t>ΑΒ844417</t>
  </si>
  <si>
    <t>819,8</t>
  </si>
  <si>
    <t>1201-1248-1254-1249-1247-1256-1206-1250-1255</t>
  </si>
  <si>
    <t>ΧΡΑΠΑΛΟΥ</t>
  </si>
  <si>
    <t>ΑΖ774904</t>
  </si>
  <si>
    <t>ΝΙΚΟΛΟΠΟΥΛΟΣ</t>
  </si>
  <si>
    <t>ΑΕ708311</t>
  </si>
  <si>
    <t>819,7</t>
  </si>
  <si>
    <t>1250-1254-1201-1253-1247-1249-1206-1248-1267-1255-1202</t>
  </si>
  <si>
    <t>ΚΑΡΑΛΗΣ</t>
  </si>
  <si>
    <t>Χ102914</t>
  </si>
  <si>
    <t>818,7</t>
  </si>
  <si>
    <t>1254-1247-1248-1267-1250-1255-1206-1249-1253</t>
  </si>
  <si>
    <t>ΣΤΑΜΠΟΥΛΗ</t>
  </si>
  <si>
    <t>ΑΑ480358</t>
  </si>
  <si>
    <t>818,6</t>
  </si>
  <si>
    <t>1201-1202-1206-1247-1248-1249-1250-1253-1254-1255-1256</t>
  </si>
  <si>
    <t xml:space="preserve">ΙΩΣΗΦΙΔΗ </t>
  </si>
  <si>
    <t>ΕΥΘΥΜΙΑ-ΜΑΡΙΑΝΝΑ</t>
  </si>
  <si>
    <t>ΑΝ152750</t>
  </si>
  <si>
    <t>818,3</t>
  </si>
  <si>
    <t>ΜΑΝΟΣ</t>
  </si>
  <si>
    <t>ΑΙ848333</t>
  </si>
  <si>
    <t>817,9</t>
  </si>
  <si>
    <t>ΒΕΝΕΤΣΑΝΟΥ</t>
  </si>
  <si>
    <t>ΑΜ333695</t>
  </si>
  <si>
    <t>817,5</t>
  </si>
  <si>
    <t>1250-1217-1267-1248-1202-1205-1219-1206-1247-1249-1252-1253-1254-1255-1201</t>
  </si>
  <si>
    <t>ΤΖΙΟΥΒΑΝΑΚΟΣ</t>
  </si>
  <si>
    <t>ΑΗ344006</t>
  </si>
  <si>
    <t>814,5</t>
  </si>
  <si>
    <t>1222-1218-1256-1248-1267-1206-1253-1249-1201-1254-1250-1247-1202-1205-1255</t>
  </si>
  <si>
    <t>ΤΣΙΑΠΛΕ</t>
  </si>
  <si>
    <t>Χ910813</t>
  </si>
  <si>
    <t>814,2</t>
  </si>
  <si>
    <t>1267-1248-1254-1206-1253-1249-1250-1255-1247-1201-1202</t>
  </si>
  <si>
    <t>ΓΕΩΡΓΑΚΑΚΗ</t>
  </si>
  <si>
    <t>Ξ805383</t>
  </si>
  <si>
    <t>1267-1248-1253-1256-1206-1249-1254-1247-1250-1255</t>
  </si>
  <si>
    <t>ΚΙΜΟΓΛΟΥ</t>
  </si>
  <si>
    <t>ΝΙΚΟΛΕΤΑ - ΓΕΡΜΑΝΙΑ</t>
  </si>
  <si>
    <t>ΑΒ124559</t>
  </si>
  <si>
    <t>812,2</t>
  </si>
  <si>
    <t>1248-1206-1201-1249-1253-1256-1267-1254-1218-1247-1250-1255-1202-1204-1205-1217</t>
  </si>
  <si>
    <t>ΧΑΛΙΜΟΥΡΔΑ</t>
  </si>
  <si>
    <t>ΑΑ789831</t>
  </si>
  <si>
    <t>812,1</t>
  </si>
  <si>
    <t>1247-1217-1250-1254-1201-1252-1203-1253-1219-1267-1248-1206-1222-1249-1256-1223-1218-1204-1205-1255-1202-1221-1220-1251</t>
  </si>
  <si>
    <t>Τσαλμά</t>
  </si>
  <si>
    <t>Αργυρούλα</t>
  </si>
  <si>
    <t>Ευάγγελος</t>
  </si>
  <si>
    <t>ΑΗ484688</t>
  </si>
  <si>
    <t>ΦΥΣΙΚΟΥΔΗ</t>
  </si>
  <si>
    <t>ΑΗ164674</t>
  </si>
  <si>
    <t>1248-1267-1252-1249-1206-1253-1256-1254-1250-1247-1255-1251</t>
  </si>
  <si>
    <t>ΚΡΑΛΗ</t>
  </si>
  <si>
    <t>ΑΗ897814</t>
  </si>
  <si>
    <t>811,3</t>
  </si>
  <si>
    <t>1205-1206-1202-1248-1249-1253-1255</t>
  </si>
  <si>
    <t>ΖΑΡΟΥΧΑΣ</t>
  </si>
  <si>
    <t>Φ469179</t>
  </si>
  <si>
    <t>810,9</t>
  </si>
  <si>
    <t>1249-1253-1248-1267-1206-1201-1254-1247-1202-1255-1250</t>
  </si>
  <si>
    <t>ΚΥΡΙΑΚΟΠΟΥΛΟΥ</t>
  </si>
  <si>
    <t>ΑΒ382323</t>
  </si>
  <si>
    <t>810,1</t>
  </si>
  <si>
    <t>1250-1217-1247-1254-1255-1256</t>
  </si>
  <si>
    <t>ΧΑΡΙΤΩΝ</t>
  </si>
  <si>
    <t>ΑΝ218087</t>
  </si>
  <si>
    <t>809,2</t>
  </si>
  <si>
    <t>1204-1202-1203-1205-1206-1247-1248-1249-1250-1251-1252-1255-1256</t>
  </si>
  <si>
    <t>ΠΑΛΙΚΡΟΥΣΗΣ</t>
  </si>
  <si>
    <t>Χ487171</t>
  </si>
  <si>
    <t>1267-1249-1248-1219-1206-1202-1204-1205-1217-1218-1221-1255-1253-1203-1250-1252-1254</t>
  </si>
  <si>
    <t>ΛΥΣΣΑΝΔΡΟΣ</t>
  </si>
  <si>
    <t>ΑΒ401330</t>
  </si>
  <si>
    <t>808,6</t>
  </si>
  <si>
    <t>ΚΟΥΡΚΟΥΝΗ</t>
  </si>
  <si>
    <t>ΑΖ499456</t>
  </si>
  <si>
    <t>1254-1250-1255-1267-1249-1253-1206</t>
  </si>
  <si>
    <t>ΠΑΠΑΝΙΚΗΤΑ</t>
  </si>
  <si>
    <t>Σ911836</t>
  </si>
  <si>
    <t>1250-1247-1254-1255-1206-1248-1253-1256-1249</t>
  </si>
  <si>
    <t>ΓΕΛΑΔΑ</t>
  </si>
  <si>
    <t>ΑΒ499222</t>
  </si>
  <si>
    <t>1201-1202-1205-1206-1217-1247-1248-1249-1250-1251-1253-1254-1255-1256</t>
  </si>
  <si>
    <t xml:space="preserve">Λάιος </t>
  </si>
  <si>
    <t xml:space="preserve">Χρήστος </t>
  </si>
  <si>
    <t xml:space="preserve">Γεώργιος </t>
  </si>
  <si>
    <t>ΑΙ879425</t>
  </si>
  <si>
    <t>806,9</t>
  </si>
  <si>
    <t>1249-1253-1248-1255-1206-1250-1247-1254</t>
  </si>
  <si>
    <t>ΤΑΤΙΑΝΗ</t>
  </si>
  <si>
    <t>ΑΖ779795</t>
  </si>
  <si>
    <t>806,6</t>
  </si>
  <si>
    <t>1202-1205-1204-1255-1206-1217-1223-1218-1219-1222-1220-1221-1247-1248-1249-1250-1251-1252-1253-1254-1256-1201</t>
  </si>
  <si>
    <t>ΖΕΡΖΗ</t>
  </si>
  <si>
    <t>ΑΗ313361</t>
  </si>
  <si>
    <t>806,2</t>
  </si>
  <si>
    <t>1256-1249-1267-1253-1206-1248-1247-1250-1254-1255</t>
  </si>
  <si>
    <t>ΠΕΝΤΖΟΥΡΗΣ</t>
  </si>
  <si>
    <t>ΑΒ767969</t>
  </si>
  <si>
    <t>805,1</t>
  </si>
  <si>
    <t>1247-1250-1267-1248-1206-1255-1254-1253-1249</t>
  </si>
  <si>
    <t>ΜΙΝΤΖΑ</t>
  </si>
  <si>
    <t>ΑΕ261578</t>
  </si>
  <si>
    <t>804,7</t>
  </si>
  <si>
    <t>1247-1250-1248-1254-1249-1256-1255-1205-1204-1253-1202-1251</t>
  </si>
  <si>
    <t>ΚΛΑΟΥΡΑΚΗΣ</t>
  </si>
  <si>
    <t>ΑΙ469243</t>
  </si>
  <si>
    <t>1205-1255-1202-1219-1248-1247-1254-1217-1250</t>
  </si>
  <si>
    <t>Χ844999</t>
  </si>
  <si>
    <t>803,5</t>
  </si>
  <si>
    <t>1253-1248-1219-1256-1206-1249-1205-1255-1202-1247-1254-1250-1251</t>
  </si>
  <si>
    <t>ΡΙΖΑ</t>
  </si>
  <si>
    <t>ΑΖ976323</t>
  </si>
  <si>
    <t>803,4</t>
  </si>
  <si>
    <t>ΓΟΥΖΙΟΣ</t>
  </si>
  <si>
    <t>ΑΒ431590</t>
  </si>
  <si>
    <t>803,3</t>
  </si>
  <si>
    <t>1201-1248-1267-1206-1254-1247-1253-1249-1256-1250-1202-1205-1255</t>
  </si>
  <si>
    <t>ΚΕΡΑΣΤΑ</t>
  </si>
  <si>
    <t>ΑΕ491742</t>
  </si>
  <si>
    <t>662,2</t>
  </si>
  <si>
    <t>803,2</t>
  </si>
  <si>
    <t>1247-1254-1217-1250-1218-1219-1267-1248-1202-1205-1255-1206-1253-1249</t>
  </si>
  <si>
    <t>Σταύρου</t>
  </si>
  <si>
    <t xml:space="preserve">Δέσποινα </t>
  </si>
  <si>
    <t xml:space="preserve">Σταύρος </t>
  </si>
  <si>
    <t>Χ495706</t>
  </si>
  <si>
    <t>802,6</t>
  </si>
  <si>
    <t>ΣΙΔΕΡΙΤΗΣ</t>
  </si>
  <si>
    <t>Τ310757</t>
  </si>
  <si>
    <t>802,5</t>
  </si>
  <si>
    <t>1254-1247-1206-1249-1253-1202-1255-1248-1201-1267-1217-1218-1219-1222-1223-1203</t>
  </si>
  <si>
    <t>ΚΑΠΕΤΑΝΑΚΗ</t>
  </si>
  <si>
    <t>ΑΙ462858</t>
  </si>
  <si>
    <t>802,2</t>
  </si>
  <si>
    <t>ΜΑΝΙΑ</t>
  </si>
  <si>
    <t>ΑΖ767847</t>
  </si>
  <si>
    <t>801,1</t>
  </si>
  <si>
    <t>1202-1249-1247-1248-1250-1206-1255-1201-1253-1254-1219-1203-1217-1221-1218-1204-1205-1220-1223-1222-1256-1251</t>
  </si>
  <si>
    <t>ΣΤΡΑΤΑΚΗΣ</t>
  </si>
  <si>
    <t>ΑΒ187332</t>
  </si>
  <si>
    <t>1255-1248-1206-1247-1250-1254-1249-1253</t>
  </si>
  <si>
    <t>ΠΟΛΙΤΑΚΗ</t>
  </si>
  <si>
    <t>ΑΜ973052</t>
  </si>
  <si>
    <t>800,2</t>
  </si>
  <si>
    <t>1221-1202-1204-1205-1255</t>
  </si>
  <si>
    <t>ΔΑΜΑΣΚΟΣ</t>
  </si>
  <si>
    <t>Χ329866</t>
  </si>
  <si>
    <t>ΜΗΤΣΙΑΝΗΣ</t>
  </si>
  <si>
    <t>Χ284855</t>
  </si>
  <si>
    <t>798,8</t>
  </si>
  <si>
    <t>ΜΑΛΗ</t>
  </si>
  <si>
    <t>ΑΖ712395</t>
  </si>
  <si>
    <t>798,2</t>
  </si>
  <si>
    <t>1201-1202-1205-1206-1217-1219-1247-1250-1251-1253-1254-1255-1256</t>
  </si>
  <si>
    <t>ΜΠΟΥΦΙΔΟΥ</t>
  </si>
  <si>
    <t>ΑΗ848086</t>
  </si>
  <si>
    <t>797,8</t>
  </si>
  <si>
    <t>1222-1248-1267-1206-1253-1249-1256-1247-1254-1255-1250</t>
  </si>
  <si>
    <t>ΤΣΑΟΥΣΟΓΛΟΥ</t>
  </si>
  <si>
    <t>ΑΕ830496</t>
  </si>
  <si>
    <t>796,7</t>
  </si>
  <si>
    <t>1256-1219-1267-1248-1253-1220-1206-1203-1222-1201-1252-1249-1221-1255-1205-1204-1202-1250-1223-1247-1254-1217-1251-1218</t>
  </si>
  <si>
    <t>ΛΟΥΚΟΥ</t>
  </si>
  <si>
    <t>ΑΗ726280</t>
  </si>
  <si>
    <t>1250-1248-1267-1255-1205-1202-1254-1257-1201-1247-1206-1249-1253-1217-1219-1221-1204-1252-1218-1203</t>
  </si>
  <si>
    <t>ΚΑΠΠΑΣ</t>
  </si>
  <si>
    <t>ΑΙ214174</t>
  </si>
  <si>
    <t>1217-1247-1202-1205-1250-1201-1254-1253-1219-1267-1248-1255-1249-1206</t>
  </si>
  <si>
    <t>ΜΠΑΚΑΛΗ</t>
  </si>
  <si>
    <t>ΑΖ340211</t>
  </si>
  <si>
    <t>794,5</t>
  </si>
  <si>
    <t>1206-1247-1248-1249-1250-1253-1254-1255-1221</t>
  </si>
  <si>
    <t>ΤΖΕΛΟΣ</t>
  </si>
  <si>
    <t>ΑΚ427851</t>
  </si>
  <si>
    <t>793,9</t>
  </si>
  <si>
    <t>1249-1253-1248-1206-1201-1202-1254-1255-1256</t>
  </si>
  <si>
    <t>ΜΑΝΩΛΗ</t>
  </si>
  <si>
    <t>ΑΖ217073</t>
  </si>
  <si>
    <t>792,7</t>
  </si>
  <si>
    <t>1253-1254-1255-1256-1247-1248-1249-1250-1251-1252-1217-1223-1204-1205-1206-1202-1201</t>
  </si>
  <si>
    <t>ΑΝΤΩΝΙΑΔΟΥ</t>
  </si>
  <si>
    <t>ΑΚ984182</t>
  </si>
  <si>
    <t>791,2</t>
  </si>
  <si>
    <t>1249-1248-1267-1205-1255-1253-1247-1206-1250-1254</t>
  </si>
  <si>
    <t>ΤΣΙΚΑΡΗ</t>
  </si>
  <si>
    <t>ΑΒ104058</t>
  </si>
  <si>
    <t>791,1</t>
  </si>
  <si>
    <t>1201-1203-1252-1267-1219-1248-1254-1247-1253-1256-1250-1223-1217-1249-1206-1235-1255-1202-1205-1204</t>
  </si>
  <si>
    <t>ΚΑΤΕΧΟΥ</t>
  </si>
  <si>
    <t>ΑΗ277757</t>
  </si>
  <si>
    <t>1251-1249-1247-1250-1202-1205-1256-1206-1248-1253-1254-1255-1217-1219-1201-1267</t>
  </si>
  <si>
    <t>ΑΙ765861</t>
  </si>
  <si>
    <t>790,3</t>
  </si>
  <si>
    <t>1201-1206-1247-1249-1250-1253-1254-1255-1256</t>
  </si>
  <si>
    <t>ΑΙ033717</t>
  </si>
  <si>
    <t>790,1</t>
  </si>
  <si>
    <t>1250-1201-1202-1206-1247-1248-1249-1253-1254-1255-1256</t>
  </si>
  <si>
    <t>ΚΟΡΝΗΛΙΑ</t>
  </si>
  <si>
    <t>ΑΗ810007</t>
  </si>
  <si>
    <t>1256-1253-1248-1254-1249-1206-1201-1247-1250-1202-1255-1267</t>
  </si>
  <si>
    <t>ΤΣΑΓΚΑΡΟΠΟΥΛΟΣ</t>
  </si>
  <si>
    <t>ΑΖ399848</t>
  </si>
  <si>
    <t>789,4</t>
  </si>
  <si>
    <t>1206-1219-1267-1222-1248-1220-1256-1253-1201-1252-1249-1223-1254-1247-1204-1205-1221-1255-1202-1203-1250-1217-1218-1251</t>
  </si>
  <si>
    <t>ΨΩΜΑ</t>
  </si>
  <si>
    <t>ΑΖ932041</t>
  </si>
  <si>
    <t>789,2</t>
  </si>
  <si>
    <t>ΑΕ 286247</t>
  </si>
  <si>
    <t>ΠΑΤΣΙΩΝΑ</t>
  </si>
  <si>
    <t>ΑΚ904621</t>
  </si>
  <si>
    <t>1267-1248-1253-1256-1249-1206-1201-1250-1202-1255-1254-1247</t>
  </si>
  <si>
    <t>ΑΣΗΜΕΝΙΑ</t>
  </si>
  <si>
    <t>ΑΝ416509</t>
  </si>
  <si>
    <t>788,3</t>
  </si>
  <si>
    <t>1206-1253-1249-1254-1250-1255</t>
  </si>
  <si>
    <t>ΠΑΤΣΙΑΛΙΔΗΣ</t>
  </si>
  <si>
    <t>ΑΖ479636</t>
  </si>
  <si>
    <t>788,1</t>
  </si>
  <si>
    <t>1203-1206-1204-1205-1217-1218-1219-1220-1221-1222-1223-1247-1248-1249-1250-1251-1252-1253-1254-1255-1256-1267-1201-1257-1268</t>
  </si>
  <si>
    <t>ΑΒ813602</t>
  </si>
  <si>
    <t>784,7</t>
  </si>
  <si>
    <t>ΝΙΚΗΦΟΡΟΥ</t>
  </si>
  <si>
    <t>Χ934070</t>
  </si>
  <si>
    <t>784,5</t>
  </si>
  <si>
    <t>1247-1249-1253-1254-1250-1248-1206-1256-1255</t>
  </si>
  <si>
    <t>ΝΤΑΛΙΑΝΗΣ</t>
  </si>
  <si>
    <t>Φ303859</t>
  </si>
  <si>
    <t>1250-1247-1202-1255-1205-1254-1201-1248-1267-1253-1206-1249</t>
  </si>
  <si>
    <t>ΡΟΔΙΝΟΥ</t>
  </si>
  <si>
    <t>ΑΑ463594</t>
  </si>
  <si>
    <t>ΚΟΚΚΩΝΗΣ</t>
  </si>
  <si>
    <t>Σ904324</t>
  </si>
  <si>
    <t>ΛΑΖΑΡΙΔΟΥ</t>
  </si>
  <si>
    <t>ΑΙ323206</t>
  </si>
  <si>
    <t>783,5</t>
  </si>
  <si>
    <t>1205-1255-1202-1249-1201-1248-1267-1206-1253-1254-1247-1250-1256</t>
  </si>
  <si>
    <t>ΣΟΛΟΠΟΥΛΟΥ</t>
  </si>
  <si>
    <t>ΠΑΝΑΓΙΩΤΗΣ ΠΑΡΑΣΚΕΥΑΣ</t>
  </si>
  <si>
    <t>ΑΕ724138</t>
  </si>
  <si>
    <t>782,8</t>
  </si>
  <si>
    <t>1254-1247-1201-1218-1250-1253-1206-1255</t>
  </si>
  <si>
    <t>ΦΡΟΝΙΜΑΚΗΣ</t>
  </si>
  <si>
    <t>Χ417179</t>
  </si>
  <si>
    <t>1202-1221-1205-1255</t>
  </si>
  <si>
    <t>ΚΑΤΣΑΜΑΓΚΑ</t>
  </si>
  <si>
    <t>Σ410590</t>
  </si>
  <si>
    <t>782,2</t>
  </si>
  <si>
    <t>1256-1253-1267-1248-1205-1255-1206-1201-1254</t>
  </si>
  <si>
    <t>ΠΑΠΑΚΥΡΙΑΚΟΥ</t>
  </si>
  <si>
    <t>ΑΜ933179</t>
  </si>
  <si>
    <t>781,7</t>
  </si>
  <si>
    <t>1201-1202-1205-1206-1217-1247-1249-1250-1253-1254-1255</t>
  </si>
  <si>
    <t>ΓΚΑΡΑΒΕΛΑ</t>
  </si>
  <si>
    <t>ΚΕΡΑΣΙΑ</t>
  </si>
  <si>
    <t>ΑΖ781466</t>
  </si>
  <si>
    <t>781,1</t>
  </si>
  <si>
    <t>ΠΗΞΑΡΑ</t>
  </si>
  <si>
    <t>ΑΕ889216</t>
  </si>
  <si>
    <t>780,7</t>
  </si>
  <si>
    <t>1248-1255-1206-1247-1249-1250-1253-1254-1256</t>
  </si>
  <si>
    <t>ΠΕΛΕΚΑΝΟΥ</t>
  </si>
  <si>
    <t>ΔΙΑΜΑΝΤΗΣ</t>
  </si>
  <si>
    <t>Σ880897</t>
  </si>
  <si>
    <t>780,2</t>
  </si>
  <si>
    <t>1206-1202-1255-1247-1248</t>
  </si>
  <si>
    <t>ΦΑΣΟΥΛΑ</t>
  </si>
  <si>
    <t>Χ889401</t>
  </si>
  <si>
    <t>1249-1248-1253-1206-1256-1254-1201-1247-1250-1255-1202-1219-1251-1217</t>
  </si>
  <si>
    <t>ΚΑΤΣΙΟΥΛΑΣ</t>
  </si>
  <si>
    <t>ΑΚ976326</t>
  </si>
  <si>
    <t>1201-1248-1254-1206-1249-1253-1247-1250-1255-1205-1202</t>
  </si>
  <si>
    <t>ΤΖΟΚΑ</t>
  </si>
  <si>
    <t>Φ259065</t>
  </si>
  <si>
    <t>1201-1202-1206-1247-1248-1249-1250-1253-1254-1255-1267</t>
  </si>
  <si>
    <t>ΓΟΥΤΣΙΟΥ</t>
  </si>
  <si>
    <t>ΑΜ412309</t>
  </si>
  <si>
    <t>778,4</t>
  </si>
  <si>
    <t>1219-1248-1253-1249-1205-1255-1202-1247-1201-1206-1217-1250-1254</t>
  </si>
  <si>
    <t>ΝΕΜΠΑΥΛΑΚΗΣ</t>
  </si>
  <si>
    <t>ΑΒ190385</t>
  </si>
  <si>
    <t>ΚΡΟΜΜΥΔΑ</t>
  </si>
  <si>
    <t>ΑΖ270753</t>
  </si>
  <si>
    <t>1201-1202-1204-1205-1206-1247-1248-1249-1250-1253-1254-1255-1256</t>
  </si>
  <si>
    <t>ΗΛΙΑΔΗΣ</t>
  </si>
  <si>
    <t>ΑΜ250770</t>
  </si>
  <si>
    <t>ΤΣΙΑΜΗΣ</t>
  </si>
  <si>
    <t>Χ835330</t>
  </si>
  <si>
    <t>ΑΕ929424</t>
  </si>
  <si>
    <t>1251-1248-1219-1247-1250-1217-1206-1201-1202-1204-1205-1218-1220-1221-1222-1223-1249-1252-1253-1254-1255-1256</t>
  </si>
  <si>
    <t>ΩΤΤΑ</t>
  </si>
  <si>
    <t>ΑΖ789996</t>
  </si>
  <si>
    <t>1249-1248-1253-1206-1254-1255-1247-1250</t>
  </si>
  <si>
    <t>ΚΟΥΡΝΙΔΑΚΗ</t>
  </si>
  <si>
    <t>Χ994988</t>
  </si>
  <si>
    <t>565,4</t>
  </si>
  <si>
    <t>775,4</t>
  </si>
  <si>
    <t>ΠΑΒΟΥΡΗΣ</t>
  </si>
  <si>
    <t>Χ420470</t>
  </si>
  <si>
    <t>775,1</t>
  </si>
  <si>
    <t>1248-1267-1202-1205-1255-1247-1206-1250-1254-1256-1253-1201-1249</t>
  </si>
  <si>
    <t>ΧΡΙΣΤΟΦΟΡΙΔΟΥ</t>
  </si>
  <si>
    <t>Φ268111</t>
  </si>
  <si>
    <t>1256-1249-1206-1248-1253-1254-1250-1255-1247</t>
  </si>
  <si>
    <t>ΜΑΝΙΟΥΡΑΣ</t>
  </si>
  <si>
    <t>ΔΗΜΗΤΡΙΟΣ ΠΑΝΑΓΙΩΤΗΣ</t>
  </si>
  <si>
    <t>ΑΗ853480</t>
  </si>
  <si>
    <t>1220-1219-1206-1253-1255-1202-1248-1201-1254-1247-1249</t>
  </si>
  <si>
    <t>ΚΟΡΝΑΡΟΥ</t>
  </si>
  <si>
    <t>ΑΒ967199</t>
  </si>
  <si>
    <t>773,9</t>
  </si>
  <si>
    <t>ΑΖ214031</t>
  </si>
  <si>
    <t>AI265696</t>
  </si>
  <si>
    <t>773,8</t>
  </si>
  <si>
    <t>1202-1205-1206-1219-1221-1247-1248-1250-1253-1254-1255-1267</t>
  </si>
  <si>
    <t>ΑΖ234742</t>
  </si>
  <si>
    <t>772,9</t>
  </si>
  <si>
    <t>1217-1250-1201-1247-1254-1248-1219-1206-1249-1253-1255-1202</t>
  </si>
  <si>
    <t>ΤΑΧΜΑΤΖΙΔΟΥ</t>
  </si>
  <si>
    <t>ΑΜ286929</t>
  </si>
  <si>
    <t>772,5</t>
  </si>
  <si>
    <t>1248-1255-1204-1205-1221-1202-1253-1249-1206-1203-1201-1247-1254-1250-1218</t>
  </si>
  <si>
    <t>ΣΤΡΑΤΑΚΗ</t>
  </si>
  <si>
    <t>ΑΝ464055</t>
  </si>
  <si>
    <t>1202-1205-1255-1248</t>
  </si>
  <si>
    <t>ΑΕ830004</t>
  </si>
  <si>
    <t>771,8</t>
  </si>
  <si>
    <t>1256-1267-1253-1248-1206-1249-1205-1202-1250-1254-1255-1247</t>
  </si>
  <si>
    <t>ΠΑΠΑΤΖΕΛΟΥ</t>
  </si>
  <si>
    <t>ΣΥΛΒΙΑ</t>
  </si>
  <si>
    <t>ΑΗ265365</t>
  </si>
  <si>
    <t>1201-1248-1219-1267-1249-1254-1253-1247-1256-1206-1250-1217-1255-1205-1202</t>
  </si>
  <si>
    <t>Φ204913</t>
  </si>
  <si>
    <t>771,7</t>
  </si>
  <si>
    <t>ΜΑΝΤΖΙΡΗΣ</t>
  </si>
  <si>
    <t>ΧΑΡΑΛΑΜΠΗΣ</t>
  </si>
  <si>
    <t>Χ422332</t>
  </si>
  <si>
    <t>771,4</t>
  </si>
  <si>
    <t>1201-1202-1254-1204-1205-1255-1248-1249-1250</t>
  </si>
  <si>
    <t>ΠΡΟΒΙΔΑ</t>
  </si>
  <si>
    <t>ΑΖ220047</t>
  </si>
  <si>
    <t>770,8</t>
  </si>
  <si>
    <t>1250-1201-1247-1254-1248-1253-1256-1249-1206-1255-1205-1252-1203-1202</t>
  </si>
  <si>
    <t>ΝΙΚΟΛΑΟΥ</t>
  </si>
  <si>
    <t>Χ376376</t>
  </si>
  <si>
    <t>1253-1256-1248-1267-1249-1206-1254-1247-1250-1255</t>
  </si>
  <si>
    <t>ΓΚΟΥΡΝΕΛΟΥ</t>
  </si>
  <si>
    <t>ΑΖ721846</t>
  </si>
  <si>
    <t>770,5</t>
  </si>
  <si>
    <t>1267-1201-1202-1205-1206-1217-1219-1247-1248-1249-1250-1251-1253-1254-1255-1256</t>
  </si>
  <si>
    <t>ΡΑΜΑΔΑΝΗ</t>
  </si>
  <si>
    <t>ΤΑΤΙΑΝΑ</t>
  </si>
  <si>
    <t>ΑΒ356305</t>
  </si>
  <si>
    <t>770,1</t>
  </si>
  <si>
    <t>1205-1255-1202-1248-1201-1206-1247-1249-1250-1253-1254-1256</t>
  </si>
  <si>
    <t>ΚΕΜΑΝΕΤΖΙΔΟΟΥ</t>
  </si>
  <si>
    <t>ΤΩΑΝΝΗΣ</t>
  </si>
  <si>
    <t>ΑΕ814047</t>
  </si>
  <si>
    <t>1249-1253-1247-1250-1248-1254-1255-1267</t>
  </si>
  <si>
    <t>ΜΗΛΙΟΣ</t>
  </si>
  <si>
    <t>ΑΒ357022</t>
  </si>
  <si>
    <t>769,4</t>
  </si>
  <si>
    <t>1202-1201-1206-1247-1248-1249-1250-1253-1254-1255-1256</t>
  </si>
  <si>
    <t>ΔΑΣΚΑΛΑΚΗΣ</t>
  </si>
  <si>
    <t>Ρ125358</t>
  </si>
  <si>
    <t>768,5</t>
  </si>
  <si>
    <t>1217-1250-1254-1201-1252-1247-1202-1204-1205-1255-1203-1221-1218-1219-1256-1248-1223-1253-1220-1251-1249-1222-1267-1206</t>
  </si>
  <si>
    <t>ΛΑΜΠΡΟΠΟΥΛΟΥ</t>
  </si>
  <si>
    <t>ΑΣΗΜΑΚΗΣ</t>
  </si>
  <si>
    <t>ΑΖ209187</t>
  </si>
  <si>
    <t>767,6</t>
  </si>
  <si>
    <t>1250-1253-1201-1205-1202-1206-1247-1249-1254-1255-1256-1248-1267</t>
  </si>
  <si>
    <t>ΑΕ437175</t>
  </si>
  <si>
    <t>767,5</t>
  </si>
  <si>
    <t>1204-1205-1206-1202-1201-1217-1218-1219-1220-1221-1222-1223-1256-1253-1254-1255-1252-1251-1250-1249</t>
  </si>
  <si>
    <t>ΣΠΥΡΙΔΟΠΟΥΛΟΥ</t>
  </si>
  <si>
    <t>ΑΖ294939</t>
  </si>
  <si>
    <t>1249-1248-1267-1253-1206-1247-1250-1254-1201-1202-1205-1221-1255</t>
  </si>
  <si>
    <t>ΚΟΤΡΩΤΣΙΟΥ</t>
  </si>
  <si>
    <t>ΑΠΟΣΤΟΛΙΑ</t>
  </si>
  <si>
    <t>ΑΙ318654</t>
  </si>
  <si>
    <t>1201-1254-1253-1267-1248-1250-1247-1249-1206-1205-1255-1202</t>
  </si>
  <si>
    <t>ΜΙΧΟΥΛΗΣ</t>
  </si>
  <si>
    <t>ΟΡΕΣΤΗΣ</t>
  </si>
  <si>
    <t>ΑΙ290585</t>
  </si>
  <si>
    <t>1248-1267-1249-1255-1253-1256-1254-1247-1206-1250</t>
  </si>
  <si>
    <t>ΝΟΒΑ</t>
  </si>
  <si>
    <t>ΑΖ801478</t>
  </si>
  <si>
    <t>1249-1250-1254-1247-1253-1206-1248-1201-1252-1219-1221-1255-1205-1202</t>
  </si>
  <si>
    <t>ΑΒ832920</t>
  </si>
  <si>
    <t>766,5</t>
  </si>
  <si>
    <t>1201-1248-1267-1254-1249-1253-1206-1247-1250-1204-1255-1205</t>
  </si>
  <si>
    <t>ΑΑ306233</t>
  </si>
  <si>
    <t>766,3</t>
  </si>
  <si>
    <t>1217-1250-1247-1254-1201-1249-1253-1219-1248-1206-1205-1255-1202-1251-1256</t>
  </si>
  <si>
    <t>ΒΑΙΝΑΣ</t>
  </si>
  <si>
    <t>Χ456414</t>
  </si>
  <si>
    <t>766,1</t>
  </si>
  <si>
    <t>ΑΔΑΜΙΚΟΥ</t>
  </si>
  <si>
    <t>ΒΕΣΝΑ</t>
  </si>
  <si>
    <t>ΑΗ792310</t>
  </si>
  <si>
    <t>765,2</t>
  </si>
  <si>
    <t>1201-1202-1205-1206-1217-1219-1247-1248-1249-1250-1251-1253-1254-1255-1256-1267</t>
  </si>
  <si>
    <t>ΚΙΤΣΙΑΚΗΣ</t>
  </si>
  <si>
    <t>ΑΖ478897</t>
  </si>
  <si>
    <t>1254-1201-1247-1267-1206-1253-1250-1248-1255-1202</t>
  </si>
  <si>
    <t>ΒΑΣΙΛΙΚΟΣ</t>
  </si>
  <si>
    <t>ΑΖ850297</t>
  </si>
  <si>
    <t>764,8</t>
  </si>
  <si>
    <t>1248-1253-1206-1256-1249-1201-1254-1247-1250-1202-1205-1255</t>
  </si>
  <si>
    <t>ΑΗ986053</t>
  </si>
  <si>
    <t>763,7</t>
  </si>
  <si>
    <t>1247-1254-1250-1267-1248-1249-1206-1202-1255-1253-1201</t>
  </si>
  <si>
    <t>ΤΡΙΑΝΤΑΦΥΛΛΟΠΟΥΛΟΣ</t>
  </si>
  <si>
    <t>ΑΗ205249</t>
  </si>
  <si>
    <t>763,5</t>
  </si>
  <si>
    <t>1201-1206-1247-1248-1249-1250-1253-1254-1255-1256-1267</t>
  </si>
  <si>
    <t>ΖΟΥΛΗ</t>
  </si>
  <si>
    <t xml:space="preserve">ΙΩΑΝΝΑ </t>
  </si>
  <si>
    <t>ΑΗ976854</t>
  </si>
  <si>
    <t>763,3</t>
  </si>
  <si>
    <t>ΚΑΜΠΟΥΡΗΣ</t>
  </si>
  <si>
    <t>ΣΤΕΛΙΟΣ</t>
  </si>
  <si>
    <t>ΑΕ659836</t>
  </si>
  <si>
    <t>762,8</t>
  </si>
  <si>
    <t>1267-1248-1219-1206-1256-1253-1220-1222-1203-1201-1223-1249-1218-1254-1217-1247-1250-1204-1202-1205-1221-1255</t>
  </si>
  <si>
    <t>ΠΑΠΑΤΑΤΣΙΟΥ</t>
  </si>
  <si>
    <t>ΑΖ787734</t>
  </si>
  <si>
    <t>1247-1253-1201-1206-1248-1250-1254-1255</t>
  </si>
  <si>
    <t>ΜΑΡΟΠΑΚΗΣ</t>
  </si>
  <si>
    <t>ΑΗ972088</t>
  </si>
  <si>
    <t>762,6</t>
  </si>
  <si>
    <t>ΑΕ343968</t>
  </si>
  <si>
    <t>1248-1256-1249-1255-1253-1206-1254-1247-1250</t>
  </si>
  <si>
    <t>ΑΕ781097</t>
  </si>
  <si>
    <t>1206-1256-1249-1248-1247-1250-1255-1253-1254</t>
  </si>
  <si>
    <t>ΒΑΧΤΣΙΑΒΑΝΟΣ</t>
  </si>
  <si>
    <t>ΑΖ787534</t>
  </si>
  <si>
    <t>761,9</t>
  </si>
  <si>
    <t>1201-1202-1205-1206-1217-1219-1248-1249-1250-1251-1252-1253-1254-1255</t>
  </si>
  <si>
    <t>ΦΛΩΡΙΟΣ</t>
  </si>
  <si>
    <t>ΑΑ967108</t>
  </si>
  <si>
    <t>761,7</t>
  </si>
  <si>
    <t>1201-1249-1267-1248-1202-1205-1206-1253-1250-1254-1255-1247</t>
  </si>
  <si>
    <t>ΧΡΥΣΟΣΤΟΜΙΔΟΥ</t>
  </si>
  <si>
    <t>ΑΒ114250</t>
  </si>
  <si>
    <t>1256-1249-1248-1255-1250</t>
  </si>
  <si>
    <t>ΚΛΑΟΥΔΑΤΟΥ</t>
  </si>
  <si>
    <t>ΑΑ318741</t>
  </si>
  <si>
    <t>761,5</t>
  </si>
  <si>
    <t>1206-1253-1254-1250-1247-1248-1255-1202-1217-1219-1249-1201</t>
  </si>
  <si>
    <t>ΝΤΑΙΚΟΥ</t>
  </si>
  <si>
    <t>ΑΑ304531</t>
  </si>
  <si>
    <t>1218-1217-1221-1203-1219-1222-1220-1223-1204-1205-1202-1247-1250-1254-1248-1249-1251-1206-1252-1253-1255-1256-1201</t>
  </si>
  <si>
    <t>ΑΚ261651</t>
  </si>
  <si>
    <t>761,3</t>
  </si>
  <si>
    <t>1248-1206-1201-1249-1253-1254-1247-1202-1205-1250-1255-1256</t>
  </si>
  <si>
    <t>ΠΑΠΑΡΗ</t>
  </si>
  <si>
    <t>ΑΔΑΜ</t>
  </si>
  <si>
    <t>ΑΚ918331</t>
  </si>
  <si>
    <t>760,4</t>
  </si>
  <si>
    <t>1202-1206-1247-1248-1249-1250-1253-1254-1255-1267</t>
  </si>
  <si>
    <t>ΛΥΣΙΩΒΑ</t>
  </si>
  <si>
    <t>ΑΖ271497</t>
  </si>
  <si>
    <t>1201-1267-1248-1206-1247-1253-1256-1254-1249-1250-1205-1255-1202</t>
  </si>
  <si>
    <t>ΨΑΘΑ</t>
  </si>
  <si>
    <t>Χ911684</t>
  </si>
  <si>
    <t>1201-1267-1248-1254-1206-1249-1253-1256-1250-1247-1202-1255</t>
  </si>
  <si>
    <t>ΧΡΙΣΤΟΓΙΑΝΝΗ</t>
  </si>
  <si>
    <t>ΘΕΟΦΑΝΩ</t>
  </si>
  <si>
    <t>ΑΕ243720</t>
  </si>
  <si>
    <t>1206-1249-1250-1253-1254-1255-1256</t>
  </si>
  <si>
    <t>ΣΓΟΥΡΟΣ</t>
  </si>
  <si>
    <t>Τ255036</t>
  </si>
  <si>
    <t>759,7</t>
  </si>
  <si>
    <t>1250-1247-1248-1255-1249-1206-1254-1253-1202</t>
  </si>
  <si>
    <t>ΚΑΡΠΟΥΖΗΣ</t>
  </si>
  <si>
    <t>ΓΑΒΡΙΗΛ</t>
  </si>
  <si>
    <t>Χ756479</t>
  </si>
  <si>
    <t>759,3</t>
  </si>
  <si>
    <t>1248-1206-1202-1201-1247-1253-1255-1249-1250-1254-1256</t>
  </si>
  <si>
    <t>ΕΥΑΓΓΕΛΙΝΟΣ</t>
  </si>
  <si>
    <t>ΑΜ246703</t>
  </si>
  <si>
    <t>756,4</t>
  </si>
  <si>
    <t>ΤΡΙΚΑΣ</t>
  </si>
  <si>
    <t xml:space="preserve">ΑΠΟΣΤΟΛΟΣ </t>
  </si>
  <si>
    <t>ΑΚ432727</t>
  </si>
  <si>
    <t>ΡΕΚΟΥΜΗ</t>
  </si>
  <si>
    <t>Χ286530</t>
  </si>
  <si>
    <t>755,1</t>
  </si>
  <si>
    <t>1217-1250-1202-1204-1205-1206-1219-1247-1248-1249-1253-1254-1255-1256-1251</t>
  </si>
  <si>
    <t>ΚΑΛΥΒΑΣ</t>
  </si>
  <si>
    <t>Τ453029</t>
  </si>
  <si>
    <t>754,1</t>
  </si>
  <si>
    <t>1201-1202-1205-1206-1255-1247-1248-1249-1250-1253-1254</t>
  </si>
  <si>
    <t>ΣΤΑΥΡΑΚΑΣ</t>
  </si>
  <si>
    <t>Χ626841</t>
  </si>
  <si>
    <t>ΚΟΥΡΟΥΜΠΑΤΖΑΚΗΣ</t>
  </si>
  <si>
    <t>ΑΑ962010</t>
  </si>
  <si>
    <t>753,8</t>
  </si>
  <si>
    <t>1248-1267-1249-1201-1202-1205-1255-1247-1250-1206-1253-1254</t>
  </si>
  <si>
    <t>ΚΑΝΤΑΡΕΛΗΣ</t>
  </si>
  <si>
    <t>ΑΒ813674</t>
  </si>
  <si>
    <t>753,2</t>
  </si>
  <si>
    <t>1218-1201-1252-1203-1206-1217-1219-1248-1250-1249-1222-1253-1254-1255-1202-1204-1205-1221-1220-1223-1247-1256-1251</t>
  </si>
  <si>
    <t>ΜΕΚΙΚΤΣΗ</t>
  </si>
  <si>
    <t>ΑΑ794093</t>
  </si>
  <si>
    <t>751,2</t>
  </si>
  <si>
    <t>1206-1248-1219-1253-1249-1201-1252-1254-1217-1247-1218-1250-1205-1255-1202</t>
  </si>
  <si>
    <t>Αβραμίδης</t>
  </si>
  <si>
    <t>Αβραάμ</t>
  </si>
  <si>
    <t>Σάββας</t>
  </si>
  <si>
    <t>Χ950818</t>
  </si>
  <si>
    <t>750,5</t>
  </si>
  <si>
    <t>1256-1248-1253-1249-1206-1201-1202-1247-1250-1255-1254</t>
  </si>
  <si>
    <t>ΚΟΝΤΟΠΟΥΛΟΣ</t>
  </si>
  <si>
    <t>Τ942852</t>
  </si>
  <si>
    <t>750,3</t>
  </si>
  <si>
    <t>1248-1206-1253-1249-1254-1247-1250-1255</t>
  </si>
  <si>
    <t>ΜΑΤΣΑΡΟΚΗΣ</t>
  </si>
  <si>
    <t>ΑΗ171932</t>
  </si>
  <si>
    <t>749,9</t>
  </si>
  <si>
    <t>1248-1206-1253-1256-1249-1254-1247-1250-1255</t>
  </si>
  <si>
    <t>ΤΖΙΚΟΥ</t>
  </si>
  <si>
    <t>ΑΗ268758</t>
  </si>
  <si>
    <t>749,4</t>
  </si>
  <si>
    <t>1267-1248-1254-1253-1247-1249-1205-1255-1250-1256-1206</t>
  </si>
  <si>
    <t>ΤΙΤΟΣ</t>
  </si>
  <si>
    <t>ΑΗ461068</t>
  </si>
  <si>
    <t>ΝΤΟΥΝΤΟΥΛΑΚΗ</t>
  </si>
  <si>
    <t>ΑΕ474749</t>
  </si>
  <si>
    <t>748,9</t>
  </si>
  <si>
    <t>1205-1255-1202-1250-1254-1247-1248-1206-1253</t>
  </si>
  <si>
    <t>ΑΝ328410</t>
  </si>
  <si>
    <t>748,8</t>
  </si>
  <si>
    <t>1201-1248-1267-1249-1253-1206-1254-1247-1256-1255-1205-1202-1250</t>
  </si>
  <si>
    <t>ΑΕ 871676</t>
  </si>
  <si>
    <t>748,1</t>
  </si>
  <si>
    <t>1256-1248-1206-1249-1253-1250-1254-1255-1247</t>
  </si>
  <si>
    <t>ΚΟΥΓΙΟΥΜΤΖΗ</t>
  </si>
  <si>
    <t>ΧΥΤΟΥΛΑ</t>
  </si>
  <si>
    <t>ΣΙΔΕΡΗΣ</t>
  </si>
  <si>
    <t>ΑΕ200418</t>
  </si>
  <si>
    <t>1255-1206-1248-1253-1249-1247-1250-1267</t>
  </si>
  <si>
    <t>ΜΠΑΛΤΑ</t>
  </si>
  <si>
    <t>ΙΣΜΗΝΗ</t>
  </si>
  <si>
    <t>ΑΜ391004</t>
  </si>
  <si>
    <t>1205-1206-1253-1248-1267-1247-1249-1250-1255-1256</t>
  </si>
  <si>
    <t>ΦΡΑΓΚΟΥΛΗΣ</t>
  </si>
  <si>
    <t>Φ297200</t>
  </si>
  <si>
    <t>747,5</t>
  </si>
  <si>
    <t>1251-1267-1206-1247-1248-1249-1250-1253-1254-1255</t>
  </si>
  <si>
    <t>ΜΙΧΑΗΛΙΔΗΣ</t>
  </si>
  <si>
    <t>ΑΜ440050</t>
  </si>
  <si>
    <t>747,4</t>
  </si>
  <si>
    <t>1206-1202-1204-1205-1217-1218-1219-1220-1221-1222-1223-1247-1248-1249-1250-1251-1252-1253-1254-1255-1256</t>
  </si>
  <si>
    <t>Παπαδαμάκη</t>
  </si>
  <si>
    <t>Αθηνά</t>
  </si>
  <si>
    <t>ΑΗ026774</t>
  </si>
  <si>
    <t>747,2</t>
  </si>
  <si>
    <t>1248-1247-1250-1253-1201-1203-1202-1204-1205-1206-1218-1220-1221-1222-1254-1256-1255</t>
  </si>
  <si>
    <t>ΜΟΤΣΙΟΥ</t>
  </si>
  <si>
    <t>ΝΑΤΑΣΑ</t>
  </si>
  <si>
    <t>ΑΒ862822</t>
  </si>
  <si>
    <t>1249-1201-1248-1252-1267-1253-1256-1206-1254-1250-1217-1255-1247-1219-1202-1204-1205-1221</t>
  </si>
  <si>
    <t>ΣΙΓΗΡΟΠΟΥΛΟΣ</t>
  </si>
  <si>
    <t>Ρ757294</t>
  </si>
  <si>
    <t>1248-1267-1206-1253-1256-1249-1254-1247-1250-1255</t>
  </si>
  <si>
    <t>ΚΑΡΛΑΓΑΝΝΗ</t>
  </si>
  <si>
    <t>ΑΑ438091</t>
  </si>
  <si>
    <t>1255-1206-1248-1249-1254-1247</t>
  </si>
  <si>
    <t>ΚΑΠΡΙΔΑΚΗΣ</t>
  </si>
  <si>
    <t>ΑΙ472038</t>
  </si>
  <si>
    <t>745,3</t>
  </si>
  <si>
    <t>ΠΑΠΑΝΩΤΑΣ</t>
  </si>
  <si>
    <t>ΑΖ317402</t>
  </si>
  <si>
    <t>745,2</t>
  </si>
  <si>
    <t>1253-1267-1248-1249-1201-1254-1247-1202-1255-1205-1250</t>
  </si>
  <si>
    <t>ΚΟΒΕ</t>
  </si>
  <si>
    <t>ΕΥΔΟΞΙΑ - ΑΝΝΑ</t>
  </si>
  <si>
    <t>Χ472917</t>
  </si>
  <si>
    <t>1202-1205-1255-1256-1253-1254-1250-1249-1201-1206</t>
  </si>
  <si>
    <t>Τ790249</t>
  </si>
  <si>
    <t>743,9</t>
  </si>
  <si>
    <t>1248-1267-1206-1253-1256-1249-1254-1247-1250-1255-1202-1205-1201-1251</t>
  </si>
  <si>
    <t>ΜΑΤΟΠΟΥΛΟΥ</t>
  </si>
  <si>
    <t>Χ848533</t>
  </si>
  <si>
    <t>1249-1253-1201-1206-1248-1247-1254-1202-1205-1255-1250</t>
  </si>
  <si>
    <t>ΚΑΡΑΚΑΛΟΥ</t>
  </si>
  <si>
    <t>ΑΖ548181</t>
  </si>
  <si>
    <t>741,7</t>
  </si>
  <si>
    <t>ΚΟΡΟΜΗΛΑ</t>
  </si>
  <si>
    <t>ΑΒ334571</t>
  </si>
  <si>
    <t>740,6</t>
  </si>
  <si>
    <t>1202-1204-1247-1255</t>
  </si>
  <si>
    <t>ΔΙΝΚΑ</t>
  </si>
  <si>
    <t>ΑΜ652030</t>
  </si>
  <si>
    <t>740,1</t>
  </si>
  <si>
    <t>1267-1206-1248-1253-1247-1249-1250-1254-1255</t>
  </si>
  <si>
    <t>ΠΛΑΤΣΙΔΑΚΗΣ</t>
  </si>
  <si>
    <t>ΑΙ465419</t>
  </si>
  <si>
    <t>739,9</t>
  </si>
  <si>
    <t>ΖΑΝΑΝΔΡΙΤΣΟΣ</t>
  </si>
  <si>
    <t>ΑΝ483113</t>
  </si>
  <si>
    <t>738,8</t>
  </si>
  <si>
    <t>1254-1247-1217-1250-1253-1206-1248-1219-1249-1205-1255-1202-1201</t>
  </si>
  <si>
    <t>ΣΓΑΓΙΑ</t>
  </si>
  <si>
    <t>ΑΑ978668</t>
  </si>
  <si>
    <t>738,6</t>
  </si>
  <si>
    <t>1254-1202-1204-1205-1206-1217-1218-1219-1220-1221-1222-1223-1248-1247-1249-1250-1252-1253-1201-1255-1251-1256</t>
  </si>
  <si>
    <t>ΣΠΑΝΟΥ</t>
  </si>
  <si>
    <t>ΑΚ360137</t>
  </si>
  <si>
    <t>738,4</t>
  </si>
  <si>
    <t>1217-1250-1247-1254-1206-1248-1249-1255</t>
  </si>
  <si>
    <t>ΓΙΟΥΡΓΑ</t>
  </si>
  <si>
    <t>ΑΕ266407</t>
  </si>
  <si>
    <t>1250-1248-1206-1255-1247-1249-1256</t>
  </si>
  <si>
    <t>ΓΑΡΥΦΑΛΟΠΟΥΛΟΥ</t>
  </si>
  <si>
    <t>ΙΦΙΓΕΝΕΙΑ ΜΑΡΙΑ</t>
  </si>
  <si>
    <t>ΑΙ280725</t>
  </si>
  <si>
    <t>1206-1253-1254-1249-1247-1248-1250-1255</t>
  </si>
  <si>
    <t>ΚΟΤΣΙΡΗ</t>
  </si>
  <si>
    <t>ΑΒ070304</t>
  </si>
  <si>
    <t>736,7</t>
  </si>
  <si>
    <t>1201-1202-1205-1206-1217-1247-1248-1250-1254-1255</t>
  </si>
  <si>
    <t>ΚΛΑΨΗΣ</t>
  </si>
  <si>
    <t>ΑΒ113026</t>
  </si>
  <si>
    <t>736,4</t>
  </si>
  <si>
    <t>1205-1201-1202-1204-1206-1217-1218-1219-1220-1221-1222-1223-1247-1248-1249-1250-1251-1252-1253-1254-1255-1256</t>
  </si>
  <si>
    <t>ΚΟΝΤΟΓΙΑΝΝΙΔΗΣ</t>
  </si>
  <si>
    <t>ΑΙ629028</t>
  </si>
  <si>
    <t>1201-1202-1205-1206-1217-1219-1247-1248-1249-1250-1251-1253-1244-1255-1256</t>
  </si>
  <si>
    <t>ΚΟΚΚΑΣ</t>
  </si>
  <si>
    <t>ΑΖ779479</t>
  </si>
  <si>
    <t>736,2</t>
  </si>
  <si>
    <t>1248-1249-1254-1256-1206-1253-1247-1250-1255</t>
  </si>
  <si>
    <t>ΚΑΡΑΜΑΝΗ</t>
  </si>
  <si>
    <t>Χ276142</t>
  </si>
  <si>
    <t>736,1</t>
  </si>
  <si>
    <t>1219-1248-1217-1201-1250-1206-1247-1202-1205-1249-1253-1254-1255-1256</t>
  </si>
  <si>
    <t>ΚΑΛΛΙΑΣ</t>
  </si>
  <si>
    <t>ΠΑΣΧΑΛΛΗΣ</t>
  </si>
  <si>
    <t>ΑΕ403910</t>
  </si>
  <si>
    <t>735,3</t>
  </si>
  <si>
    <t>1206-1267-1248-1255-1247-1253-1249-1254-1250</t>
  </si>
  <si>
    <t>Βεσύρης</t>
  </si>
  <si>
    <t>Γεώργιος</t>
  </si>
  <si>
    <t>Χ230439</t>
  </si>
  <si>
    <t>1219-1248-1267-1253-1249-1206-1201-1254-1247-1217-1250-1205-1255-1202</t>
  </si>
  <si>
    <t>ΑΝ266152</t>
  </si>
  <si>
    <t>735,1</t>
  </si>
  <si>
    <t>1250-1247-1201-1202-1205-1255-1248-1267-1206-1249-1253-1254-1256</t>
  </si>
  <si>
    <t>ΑΕ460876</t>
  </si>
  <si>
    <t>1204-1205-1202-1206-1256-1247-1248-1249-1250-1251-1252-1253-1254-1255-1201-1217-1218-1219-1220-1221-1222-1223</t>
  </si>
  <si>
    <t>ΛΕΡΙΚΟΣ</t>
  </si>
  <si>
    <t>ΑΕ754072</t>
  </si>
  <si>
    <t>734,3</t>
  </si>
  <si>
    <t>1250-1248-1201-1206-1247-1254-1253-1249-1202-1255</t>
  </si>
  <si>
    <t>ΚΑΤΣΙΦΑ</t>
  </si>
  <si>
    <t>ΑΒ490358</t>
  </si>
  <si>
    <t>734,2</t>
  </si>
  <si>
    <t>1254-1247-1201-1267-1248-1249-1253-1250-1255-1202</t>
  </si>
  <si>
    <t>ΑΝΩΓΙΤΗΣ</t>
  </si>
  <si>
    <t>Χ374175</t>
  </si>
  <si>
    <t>734,1</t>
  </si>
  <si>
    <t>1217-1219-1251-1201-1202-1205-1206-1247-1248-1249-1250-1253-1254-1255-1256-1267</t>
  </si>
  <si>
    <t>Κυπραίου</t>
  </si>
  <si>
    <t>Παρασκευή</t>
  </si>
  <si>
    <t>Σ861182</t>
  </si>
  <si>
    <t>1249-1267-1201-1202-1206-1205-1248-1256-1253-1254-1255-1250-1247</t>
  </si>
  <si>
    <t>ΜΑΝΘΙΔΟΥ</t>
  </si>
  <si>
    <t>ΑΒ708201</t>
  </si>
  <si>
    <t>1267-1248-1253-1201-1206-1256-1249-1254-1247-1202-1255-1205-1250</t>
  </si>
  <si>
    <t>ΚΟΥΜΑΝΤΑΚΗ</t>
  </si>
  <si>
    <t>ΑΙ943112</t>
  </si>
  <si>
    <t>ΑΗ296754</t>
  </si>
  <si>
    <t>733,3</t>
  </si>
  <si>
    <t>1202-1205-1255-1248-1219-1249-1253-1217-1250-1247-1254</t>
  </si>
  <si>
    <t>ΚΟΝΤΟΕ</t>
  </si>
  <si>
    <t>ΑΝ259317</t>
  </si>
  <si>
    <t>ΚΑΝΤΟΠΟΥΛΟΣ</t>
  </si>
  <si>
    <t>ΑΑ409126</t>
  </si>
  <si>
    <t>620,4</t>
  </si>
  <si>
    <t>732,4</t>
  </si>
  <si>
    <t>1249-1253-1248-1206-1254-1250-1255</t>
  </si>
  <si>
    <t>ΛΑΓΔΟΣ</t>
  </si>
  <si>
    <t>ΑΗ780881</t>
  </si>
  <si>
    <t>732,2</t>
  </si>
  <si>
    <t>1202-1204-1205-1206-1217-1218-1219-1220-1221-1222-1223-1253-1255-1203-1247-1248-1249-1250-1251-1252-1256-1267</t>
  </si>
  <si>
    <t>ΧΑΤΣΗΣΥΜΕΩΝΙΔΗΣ</t>
  </si>
  <si>
    <t>Χ 974215</t>
  </si>
  <si>
    <t>1206-1248-1249-1253-1255-1256-1254</t>
  </si>
  <si>
    <t>ΡΙΓΑΝΑΣ</t>
  </si>
  <si>
    <t>Χ071724</t>
  </si>
  <si>
    <t>1249-1250-1253-1254-1255-1206-1247-1248</t>
  </si>
  <si>
    <t>ΦΩΤΟΚΕΧΑΓΙΑ</t>
  </si>
  <si>
    <t>Ρ869683</t>
  </si>
  <si>
    <t>731,8</t>
  </si>
  <si>
    <t>1249-1253-1248-1267-1254-1201-1206-1247-1250-1202-1205-1255</t>
  </si>
  <si>
    <t>ΣΚΑΦΙΔΑΣ</t>
  </si>
  <si>
    <t>ΠΑΤΡΟΚΛΟΣ</t>
  </si>
  <si>
    <t>Χ889836</t>
  </si>
  <si>
    <t>1249-1253-1256-1267-1248-1206-1201-1247-1250-1254-1255-1205-1202</t>
  </si>
  <si>
    <t>Ζιώγας</t>
  </si>
  <si>
    <t>Αλκιβιαδης</t>
  </si>
  <si>
    <t>ΑΕ845070</t>
  </si>
  <si>
    <t>730,7</t>
  </si>
  <si>
    <t>1219-1248-1253-1256-1249-1222-1220-1254-1223-1204-1205-1202-1255-1252-1247-1217-1218-1251</t>
  </si>
  <si>
    <t>ΑΚ353084</t>
  </si>
  <si>
    <t>1250-1248-1274-1252-1206-1249-1253-1254-1255-1202-1267</t>
  </si>
  <si>
    <t>ΚΛΟΥΒΙΔΑΚΗ</t>
  </si>
  <si>
    <t>ΑΜ458669</t>
  </si>
  <si>
    <t>ΑΣΛΑΝΙΔΟΥ</t>
  </si>
  <si>
    <t>ΑΚ934009</t>
  </si>
  <si>
    <t>730,2</t>
  </si>
  <si>
    <t>1248-1267-1253-1249-1254-1255-1247-1250</t>
  </si>
  <si>
    <t>Ντινα</t>
  </si>
  <si>
    <t>Γεωργια Μαρια</t>
  </si>
  <si>
    <t>Κωνσταντινος</t>
  </si>
  <si>
    <t>Χ422937</t>
  </si>
  <si>
    <t>1203-1201-1223-1252-1204-1205-1206-1217-1218-1220-1219-1221-1222-1247-1248-1249-1250-1251-1253-1254-1255-1256</t>
  </si>
  <si>
    <t>ΑΗ771185</t>
  </si>
  <si>
    <t>729,8</t>
  </si>
  <si>
    <t>ΟΙΚΟΝΟΜΑΚΗ</t>
  </si>
  <si>
    <t>ΜΑΡΙΑ-ΕΛΕΝΗ</t>
  </si>
  <si>
    <t>ΑΙ462914</t>
  </si>
  <si>
    <t>729,6</t>
  </si>
  <si>
    <t>ΛΥΜΠΕΡΗ</t>
  </si>
  <si>
    <t>ΑΙ058982</t>
  </si>
  <si>
    <t>1250-1247-1254-1248-1202-1205-1255-1253-1201-1249-1206-1256</t>
  </si>
  <si>
    <t>ΣΓΟΥΡΟΠΟΥΛΟΥ</t>
  </si>
  <si>
    <t>Χ893652</t>
  </si>
  <si>
    <t>729,4</t>
  </si>
  <si>
    <t>1249-1248-1253-1206-1205-1255-1247-1202-1250-1254</t>
  </si>
  <si>
    <t>ΚΟΤΙΚΑΣ</t>
  </si>
  <si>
    <t>ΑΙ260929</t>
  </si>
  <si>
    <t>727,6</t>
  </si>
  <si>
    <t>1206-1217-1218-1219-1220-1222-1223-1221-1201-1203-1202-1204-1205-1267-1257-1247-1248-1249-1250-1251-1252-1253-1254-1255-1256</t>
  </si>
  <si>
    <t>ΣΠΥΡΟΠΟΥΛΟΣ</t>
  </si>
  <si>
    <t>Χ934071</t>
  </si>
  <si>
    <t>727,5</t>
  </si>
  <si>
    <t>1250-1247-1254-1201-1206-1256-1253-1249-1248-1202-1255-1205</t>
  </si>
  <si>
    <t xml:space="preserve">ΚΑΡΑΓΙΑΝΝΗ </t>
  </si>
  <si>
    <t>Σ353773</t>
  </si>
  <si>
    <t>727,4</t>
  </si>
  <si>
    <t>1250-1247-1254-1255-1248-1219-1256-1253-1206-1249-1251</t>
  </si>
  <si>
    <t>ΤΕΡΖΗ</t>
  </si>
  <si>
    <t>ΘΕΟΝΥΜΦΗ</t>
  </si>
  <si>
    <t>ΑΒ265514</t>
  </si>
  <si>
    <t>1205-1255-1202-1250-1248-1267-1254-1206-1253-1247-1249-1256-1201</t>
  </si>
  <si>
    <t>ΚΥΜΙΩΝΗΣ</t>
  </si>
  <si>
    <t>ΑΖ725231</t>
  </si>
  <si>
    <t>1250-1247-1254-1248-1267-1255-1253-1256-1249-1206</t>
  </si>
  <si>
    <t>Καραλη</t>
  </si>
  <si>
    <t>Χρυσουλαα</t>
  </si>
  <si>
    <t>Δημητριος</t>
  </si>
  <si>
    <t>ΑΙ514058</t>
  </si>
  <si>
    <t>726,3</t>
  </si>
  <si>
    <t>ΡΙΖΟΣ</t>
  </si>
  <si>
    <t>ΑΒ859829</t>
  </si>
  <si>
    <t>1201-1202-1206-1221-1247-1248-1249-1250-1253-1254-1255</t>
  </si>
  <si>
    <t>ΒΑΧΤΣΕΒΑΝΟΥ</t>
  </si>
  <si>
    <t>ΑΜ358566</t>
  </si>
  <si>
    <t>1249-1253-1248-1267-1206-1247-1254-1250-1255</t>
  </si>
  <si>
    <t>ΣΙΑΜΠΑΝΟΠΟΥΛΟΣ</t>
  </si>
  <si>
    <t>ΑΜ396812</t>
  </si>
  <si>
    <t>1206-1247-1249-1250-1253-1254-1255-1256-1267</t>
  </si>
  <si>
    <t>ΑΚ340189</t>
  </si>
  <si>
    <t>1205-1206-1253-1254-1255-1256-1247-1248-1249-1250</t>
  </si>
  <si>
    <t>ΓΟΥΛΑΣ</t>
  </si>
  <si>
    <t>Χ922400</t>
  </si>
  <si>
    <t>724,3</t>
  </si>
  <si>
    <t>1202-1204-1205-1206-1217-1218-1219-1221-1247-1248-1249-1250-1252-1253-1254-1256-1255</t>
  </si>
  <si>
    <t>ΚΟΡΔΑΣ</t>
  </si>
  <si>
    <t>Χ798948</t>
  </si>
  <si>
    <t>1201-1202-1206-1247-1248-1249-1250-1251-1252-1253-1254-1255-1256</t>
  </si>
  <si>
    <t>ΔΟΥΚΑ</t>
  </si>
  <si>
    <t>ΑΕ938742</t>
  </si>
  <si>
    <t>723,6</t>
  </si>
  <si>
    <t>1248-1267-1256-1249-1206-1201-1253-1254-1247-1202-1255-1250</t>
  </si>
  <si>
    <t>ΧΑΝΤΖΟΥΛΗ</t>
  </si>
  <si>
    <t>ΜΑΡΙΑ ΕΛΕΝΗ</t>
  </si>
  <si>
    <t>Φ339775</t>
  </si>
  <si>
    <t>1254-1248-1249-1250-1267-1201-1202-1205-1206-1247-1253-1255</t>
  </si>
  <si>
    <t>ΤΣΑΓΚΑΡΑΚΗ</t>
  </si>
  <si>
    <t>Χ215781</t>
  </si>
  <si>
    <t>ΜΕΛΑΔΙΝΗΣ</t>
  </si>
  <si>
    <t>Χ871722</t>
  </si>
  <si>
    <t>1206-1253-1254-1249-1248-1247-1250-1255-1202-1219-1201-1222-1217-1221-1223-1220-1203-1204-1218-1256-1251</t>
  </si>
  <si>
    <t>ΜΠΑΝΑΚΟΣ</t>
  </si>
  <si>
    <t>ΑΙ454132</t>
  </si>
  <si>
    <t>721,9</t>
  </si>
  <si>
    <t>1202-1204-1219-1221-1247-1248-1249-1250-1255-1267-1217</t>
  </si>
  <si>
    <t>ΜΠΟΥΓΑΣ</t>
  </si>
  <si>
    <t>ΑΘΑΝΑΣΙΟΣ ΠΡΟΚΟΠΙΟΣ</t>
  </si>
  <si>
    <t>ΑΖ639464</t>
  </si>
  <si>
    <t>1247-1250-1248-1249-1254-1253-1255</t>
  </si>
  <si>
    <t>Τ908100</t>
  </si>
  <si>
    <t>720,8</t>
  </si>
  <si>
    <t>1202-1205-1206-1217-1219-1247-1248-1249-1250-1253-1254-1255-1267</t>
  </si>
  <si>
    <t>ΖΑΡΚΑΛΗ</t>
  </si>
  <si>
    <t>ΑΙ511546</t>
  </si>
  <si>
    <t>ΑΒ775814</t>
  </si>
  <si>
    <t>719,7</t>
  </si>
  <si>
    <t>1202-1203-1204-1205-1206-1217-1218-1219-1221-1247-1248-1249-1250-1253-1252-1254-1255</t>
  </si>
  <si>
    <t>ΑΖ237160</t>
  </si>
  <si>
    <t>718,6</t>
  </si>
  <si>
    <t>1218-1206-1203-1254-1253-1223-1221-1204-1205-1256-1249-1250-1247-1202-1255-1201-1248-1267-1222-1220</t>
  </si>
  <si>
    <t>ΓΙΑΝΝΑΔΑΚΗ-ΒΑΝΤΑΡΑΚΗ</t>
  </si>
  <si>
    <t>ΑΝ480633</t>
  </si>
  <si>
    <t>ΜΙΤΣΙΚΟΓΛΟΥ</t>
  </si>
  <si>
    <t>ΟΜΗΡΟΣ</t>
  </si>
  <si>
    <t>ΑΖ879002</t>
  </si>
  <si>
    <t>1206-1248-1253-1256-1249-1250-1255-1247-1254</t>
  </si>
  <si>
    <t>ΜΠΑΚΟΓΙΑΝΝΗ</t>
  </si>
  <si>
    <t>ΑΕ798311</t>
  </si>
  <si>
    <t>717,5</t>
  </si>
  <si>
    <t>1201-1254-1202-1247-1248-1249-1250-1253-1255-1256</t>
  </si>
  <si>
    <t>ΚΥΡΙΤΣΗ</t>
  </si>
  <si>
    <t>ΑΗ719997</t>
  </si>
  <si>
    <t>717,4</t>
  </si>
  <si>
    <t>1250-1248-1247-1253-1255-1254-1249-1256-1206</t>
  </si>
  <si>
    <t>ΠΡΕΖΑΣ</t>
  </si>
  <si>
    <t>ΑΕ249589</t>
  </si>
  <si>
    <t>716,4</t>
  </si>
  <si>
    <t>1255-1205-1202-1248-1247-1201-1267-1253-1250-1254-1206-1256-1249</t>
  </si>
  <si>
    <t>ΑΛΕΓΚΑΚΗ</t>
  </si>
  <si>
    <t>Χ351818</t>
  </si>
  <si>
    <t>715,3</t>
  </si>
  <si>
    <t>1202-1204-1205-1217-1219-1218-1220-1221-1222-1223-1248-1250-1252-1253-1255-1256-1254-1247-1206-1249-1251</t>
  </si>
  <si>
    <t>Μελεσανακη</t>
  </si>
  <si>
    <t>Αννα</t>
  </si>
  <si>
    <t>Χαριδημος</t>
  </si>
  <si>
    <t>ΑΖ 464798</t>
  </si>
  <si>
    <t>ΤΣΙΜΠΙΡΙΜΠΗΣ</t>
  </si>
  <si>
    <t>ΑΜ327077</t>
  </si>
  <si>
    <t>1206-1267-1203-1247-1248-1249-1250-1253-1254-1255-1256</t>
  </si>
  <si>
    <t>ΛΟΥΚΟΥΜΗ</t>
  </si>
  <si>
    <t>Σ485003</t>
  </si>
  <si>
    <t>714,2</t>
  </si>
  <si>
    <t>1250-1206-1201-1247-1248-1202-1249-1253-1254-1267-1255</t>
  </si>
  <si>
    <t>ΒΑΒΛΙΑΡΑΣ</t>
  </si>
  <si>
    <t>ΑΒ109568</t>
  </si>
  <si>
    <t>1249-1267-1219-1248-1222-1206-1218-1201-1252-1253-1202-1254-1255-1256-1204-1205-1203-1247-1250-1217-1221-1220-1223-1251</t>
  </si>
  <si>
    <t>ΜΙΣΚΟΣ</t>
  </si>
  <si>
    <t>ΑΒ115474</t>
  </si>
  <si>
    <t>714,1</t>
  </si>
  <si>
    <t>1256-1201-1202-1204-1205-1206-1217-1218-1219-1220-1221-1222-1223-1247-1248-1249-1250-1251-1252-1253-1254-1255</t>
  </si>
  <si>
    <t>ΒΙΑΝΝΗ</t>
  </si>
  <si>
    <t>ΑΝΑΤΟΛΗ</t>
  </si>
  <si>
    <t>ΑΗ349276</t>
  </si>
  <si>
    <t>1206-1248-1267-1253-1249-1254-1247-1250-1255-1256</t>
  </si>
  <si>
    <t>ΜΑΣΤΟΡΑΣ</t>
  </si>
  <si>
    <t>ΓΙΩΡΓΟΣ</t>
  </si>
  <si>
    <t>ΑΗ239149</t>
  </si>
  <si>
    <t>1221-1203-1202-1204-1205-1206-1201-1217-1218-1219-1220-1222-1223-1247-1248-1249-1250-1251-1252-1253-1254-1255-1256-1267</t>
  </si>
  <si>
    <t>ΓΕΩΡΓΙΑΔΟΥ</t>
  </si>
  <si>
    <t>Χ759510</t>
  </si>
  <si>
    <t>1248-1256-1247-1255-1202-1204-1205-1251</t>
  </si>
  <si>
    <t>ΓΕΩΡΓΑΛΗ</t>
  </si>
  <si>
    <t>ΑΖ292845</t>
  </si>
  <si>
    <t>713,1</t>
  </si>
  <si>
    <t>1249-1256-1253-1267-1248-1206-1201-1255-1202-1247-1250-1254</t>
  </si>
  <si>
    <t>ΜΑΝΤΑΤΖΙΔΟΥ</t>
  </si>
  <si>
    <t>Χ445317</t>
  </si>
  <si>
    <t>1249-1253-1206-1247-1256-1248-1254-1250-1255</t>
  </si>
  <si>
    <t>ΒΟΥΤΕΤΑΚΗ</t>
  </si>
  <si>
    <t>ΑΙ461306</t>
  </si>
  <si>
    <t>710,9</t>
  </si>
  <si>
    <t>ΜΗΤΡΟΛΙΟΣ</t>
  </si>
  <si>
    <t>ΘΕΟΔΩΡΟΣ ΠΑΡΑΣΚΕΥΑΣ</t>
  </si>
  <si>
    <t>ΑΒ420438</t>
  </si>
  <si>
    <t>1219-1248-1249-1254-1253-1247-1206-1217-1250-1255-1205-1202</t>
  </si>
  <si>
    <t>ΒΑΚΑΚΗΣ</t>
  </si>
  <si>
    <t>Χ997262</t>
  </si>
  <si>
    <t>ΠΙΣΣΑΔΑΚΗ</t>
  </si>
  <si>
    <t>ΑΑ494576</t>
  </si>
  <si>
    <t>708,7</t>
  </si>
  <si>
    <t>ΦΑΙΤΟΥ</t>
  </si>
  <si>
    <t>ΑΜ469320</t>
  </si>
  <si>
    <t>708,6</t>
  </si>
  <si>
    <t>1202-1205-1255-1267-1250-1247-1206-1254-1253-1248-1249</t>
  </si>
  <si>
    <t>ΚΑΡΑΜΑΝΗΣ</t>
  </si>
  <si>
    <t>ΑΙ209678</t>
  </si>
  <si>
    <t>ΑΝΔΡΕΑΔΟΥ</t>
  </si>
  <si>
    <t>ΜΑΡΘΑ</t>
  </si>
  <si>
    <t>ΑΖ876270</t>
  </si>
  <si>
    <t>707,6</t>
  </si>
  <si>
    <t>1206-1248-1267-1249-1253-1256-1254-1205-1255-1247-1202-1250</t>
  </si>
  <si>
    <t>ΠΑΠΑΔΟΛΙΟΠΟΥΛΟΥ</t>
  </si>
  <si>
    <t>ΑΙ241416</t>
  </si>
  <si>
    <t>706,5</t>
  </si>
  <si>
    <t>1250-1247-1248-1267-1254-1255-1205-1206-1249-1253-1256</t>
  </si>
  <si>
    <t>ΑΗ769330</t>
  </si>
  <si>
    <t>705,5</t>
  </si>
  <si>
    <t>1201-1203-1205-1206-1247-1248-1249-1250-1253-1254-1255-1256</t>
  </si>
  <si>
    <t>ΓΚΟΥΝΤΑΣ</t>
  </si>
  <si>
    <t>ΑΒ113383</t>
  </si>
  <si>
    <t>705,4</t>
  </si>
  <si>
    <t>1248-1267-1205-1255-1249-1206-1247-1250-1253-1254-1256</t>
  </si>
  <si>
    <t>ΑΗ640077</t>
  </si>
  <si>
    <t>704,3</t>
  </si>
  <si>
    <t>1202-1205-1247-1248-1250-1255-1267-1254</t>
  </si>
  <si>
    <t>ΚΑΛΟΓΕΡΑΚΗ</t>
  </si>
  <si>
    <t>ΣΟΦΙΑ-ΠΑΝΔΩΡΑ</t>
  </si>
  <si>
    <t>ΑΚ476180</t>
  </si>
  <si>
    <t>702,1</t>
  </si>
  <si>
    <t>ΚΙΤΣΗ</t>
  </si>
  <si>
    <t xml:space="preserve">ΚΑΛΛΙΟΠΗ </t>
  </si>
  <si>
    <t xml:space="preserve">ΙΩΑΝΝΗΣ </t>
  </si>
  <si>
    <t>Χ030982</t>
  </si>
  <si>
    <t>1247-1250-1254-1201-1249-1253-1256-1248-1206-1202-1255-1205</t>
  </si>
  <si>
    <t>Χ835145</t>
  </si>
  <si>
    <t>1202-1204-1205-1206-1217-1201-1218-1219-1220-1221-1222-1223-1247-1248-1249-1250-1251-1252-1253-1254-1255-1256</t>
  </si>
  <si>
    <t>ΝΑΛΜΠΑΝΤΗ</t>
  </si>
  <si>
    <t>ΜΑΡΙΑ ΚΥΠΑΡΙΣΣΙΑ</t>
  </si>
  <si>
    <t>ΑΕ402712</t>
  </si>
  <si>
    <t>1251-1223-1221-1202-1204-1205-1206-1254-1253-1252-1249-1255</t>
  </si>
  <si>
    <t>ΣΑΡΑΚΗΣ</t>
  </si>
  <si>
    <t>ΑΜ755412</t>
  </si>
  <si>
    <t>Χ376855</t>
  </si>
  <si>
    <t>699,9</t>
  </si>
  <si>
    <t>1201-1206-1202-1255-1254-1253-1247-1249-1250-1256-1248-1267</t>
  </si>
  <si>
    <t>ΚΑΡΕΤΣΟΥ</t>
  </si>
  <si>
    <t>ΑΖ781359</t>
  </si>
  <si>
    <t>698,8</t>
  </si>
  <si>
    <t>1267-1206-1249-1255-1253-1254-1247-1250-1248-1256-1222-1201-1202-1205-1204-1252-1203-1219-1221-1218-1223-1220</t>
  </si>
  <si>
    <t>ΣΒΕΡΩΝΗΣ</t>
  </si>
  <si>
    <t>ΑΚ957345</t>
  </si>
  <si>
    <t>1201-1202-1204-1205-1206-1217-1218-1219-1220-1221-1222-1223-1247-1248-1249-1250-1251-1252-1253-1254-1255-1256-1203</t>
  </si>
  <si>
    <t>ΒΑΡΒΑΤΖΙΚΗ</t>
  </si>
  <si>
    <t>ΑΒ056839</t>
  </si>
  <si>
    <t>1206-1247-1248-1267-1249-1256-1253-1254-1250-1255</t>
  </si>
  <si>
    <t>ΖΑΦΕΙΡΙΟΥ</t>
  </si>
  <si>
    <t>ΑΗ284601</t>
  </si>
  <si>
    <t>1201-1252-1247-1248-1249-1254-1255-1205-1223-1251-1202-1221-1250-1253-1256</t>
  </si>
  <si>
    <t>ΔΗΜΟΠΟΥΛΟΣ</t>
  </si>
  <si>
    <t>ΑΚ339127</t>
  </si>
  <si>
    <t>695,3</t>
  </si>
  <si>
    <t>Ρ323006</t>
  </si>
  <si>
    <t>ΚΙΜΩΝ</t>
  </si>
  <si>
    <t>ΑΚ547697</t>
  </si>
  <si>
    <t>694,2</t>
  </si>
  <si>
    <t>1201-1206-1247-1248-1249-1250-1253-1254-1256-1255-1202</t>
  </si>
  <si>
    <t>ΜΟΥΓΚΡΗ</t>
  </si>
  <si>
    <t>Χ452252</t>
  </si>
  <si>
    <t>1256-1253-1249-1248-1267-1206-1254-1255-1250-1247-1218-1219-1220-1222-1223-1221-1217-1203-1204-1201-1202-1205-1252</t>
  </si>
  <si>
    <t>ΚΟΝΤΟΥΡΗΣ</t>
  </si>
  <si>
    <t>ΠΑΝΑΓΙΩΤΗΣ-ΒΑΣΙΛΕΙΟΣ</t>
  </si>
  <si>
    <t>Χ928522</t>
  </si>
  <si>
    <t>692,4</t>
  </si>
  <si>
    <t>1201-1202-1205-1247-1270-1267-1249-1250-1253-1255-1256</t>
  </si>
  <si>
    <t>ΒΑΡΤΖΩΚΑΣ</t>
  </si>
  <si>
    <t>ΑΕ820489</t>
  </si>
  <si>
    <t>ΑΚΥΛΑΣ</t>
  </si>
  <si>
    <t>Π831164</t>
  </si>
  <si>
    <t>ΧΡΙΣΤΟΔΟΥΛΟΠΟΥΛΟΣ</t>
  </si>
  <si>
    <t>ΠΑΝΑΓΗΣ</t>
  </si>
  <si>
    <t>ΛΥΣΑΝΔΡΟΣ</t>
  </si>
  <si>
    <t>ΑΒ076049</t>
  </si>
  <si>
    <t>688,9</t>
  </si>
  <si>
    <t>1217-1250-1218-1219-1220-1222-1247-1248-1249-1252-1253-1254-1256-1221-1223-1251-1255</t>
  </si>
  <si>
    <t>ΑΙ234198</t>
  </si>
  <si>
    <t>1250-1217-1247-1254-1206-1249-1253-1256-1255-1248-1251-1203-1267-1201-1202-1204-1205-1218-1219-1221-1222-1252</t>
  </si>
  <si>
    <t>ΑΑ315530</t>
  </si>
  <si>
    <t>687,8</t>
  </si>
  <si>
    <t>ΜΠΡΟΥΛΙΑ</t>
  </si>
  <si>
    <t>Τ267389</t>
  </si>
  <si>
    <t>686,7</t>
  </si>
  <si>
    <t>1250-1247-1248-1249-1201-1253-1254-1255-1202-1256</t>
  </si>
  <si>
    <t>ΠΡΑΤΙΚΑΚΗΣ</t>
  </si>
  <si>
    <t>ΝΙΚΑΝΔΡΟΣ</t>
  </si>
  <si>
    <t>ΑΝ431921</t>
  </si>
  <si>
    <t>1202-1255-1253-1248-1206-1247-1267</t>
  </si>
  <si>
    <t>ΒΕΤΟΥΛΑΚΗΣ</t>
  </si>
  <si>
    <t>ΑΑ369391</t>
  </si>
  <si>
    <t>685,6</t>
  </si>
  <si>
    <t>1202-1205-1255-1267-1206-1248-1247-1249-1250-1253-1254-1256-1201</t>
  </si>
  <si>
    <t>ΣΤΟΓΙΑΝΝΗ</t>
  </si>
  <si>
    <t>ΑΕ813719</t>
  </si>
  <si>
    <t>600,6</t>
  </si>
  <si>
    <t>1249-1253-1256-1248-1206-1247-1250-1255-1254-1267</t>
  </si>
  <si>
    <t>ΜΑΡΗ</t>
  </si>
  <si>
    <t>Χ959832</t>
  </si>
  <si>
    <t>685,1</t>
  </si>
  <si>
    <t>1248-1250-1255-1249-1201-1254-1253-1252-1251-1256-1247-1218-1219-1220-1221-1222-1223-1202-1204-1205-1206</t>
  </si>
  <si>
    <t>ΚΑΡΑΓΙΑΝΝΑΚΗΣ</t>
  </si>
  <si>
    <t>ΑΕ234338</t>
  </si>
  <si>
    <t>1247-1248-1249-1250-1252-1254-1255</t>
  </si>
  <si>
    <t>ΜΗΝΤΕΛΗΣ</t>
  </si>
  <si>
    <t>ΑΗ293847</t>
  </si>
  <si>
    <t>1249-1253-1248-1267-1206-1254-1250-1247-1255-1219-1201-1202-1205-1217</t>
  </si>
  <si>
    <t>ΒΑΡΣΑΜΗΣ</t>
  </si>
  <si>
    <t>ΑΓΗΣΙΛΑΟΣ</t>
  </si>
  <si>
    <t>ΑΕ 286248</t>
  </si>
  <si>
    <t>1203-1202-1205-1206-1217-1218-1219-1220-1221-1222-1223-1247-1249-1248-1250-1252-1253-1254-1255-1256</t>
  </si>
  <si>
    <t>ΠΑΠΑΤΣΟΥΝΗ</t>
  </si>
  <si>
    <t>ΑΙ323637</t>
  </si>
  <si>
    <t>682,3</t>
  </si>
  <si>
    <t>1267-1248-1249-1201-1206-1247-1253-1250-1254-1255-1205-1202</t>
  </si>
  <si>
    <t>ΚΥΤΕΑΣ</t>
  </si>
  <si>
    <t>ΑΒ381119</t>
  </si>
  <si>
    <t>1250-1254-1247-1201-1248-1202-1205-1255-1267-1249-1253-1206-1256</t>
  </si>
  <si>
    <t>ΠΑΝΑΓΙΩΤΕΛΙΔΗΣ</t>
  </si>
  <si>
    <t>ΑΙ348185</t>
  </si>
  <si>
    <t>1256-1267-1248-1253-1249-1206-1255-1250-1247-1254</t>
  </si>
  <si>
    <t>ΧΑΛΑΡΗ</t>
  </si>
  <si>
    <t>ΑΙ568638</t>
  </si>
  <si>
    <t>ΚΟΣΜΙΔΟΥ</t>
  </si>
  <si>
    <t>ΑΙ327446</t>
  </si>
  <si>
    <t>1249-1256-1253-1248-1267-1206-1254-1250-1247-1255</t>
  </si>
  <si>
    <t>ΝΤΙΝΑΣ</t>
  </si>
  <si>
    <t>ΑΖ787973</t>
  </si>
  <si>
    <t>1249-1248-1253-1256-1206-1250-1254-1255</t>
  </si>
  <si>
    <t>ΔΑΡΓΙΝΙΔΗΣ</t>
  </si>
  <si>
    <t>ΑΝ358123</t>
  </si>
  <si>
    <t>1256-1253-1267-1249-1248-1206-1201-1254-1247-1205-1255-1250-1202</t>
  </si>
  <si>
    <t>ΙΩΑΚΕΙΜ</t>
  </si>
  <si>
    <t>ΑΒ115715</t>
  </si>
  <si>
    <t>1256-1253-1248-1206-1249-1254-1247-1250-1255</t>
  </si>
  <si>
    <t>ΑΝ483112</t>
  </si>
  <si>
    <t>676,8</t>
  </si>
  <si>
    <t>1254-1247-1250-1252-1255-1205</t>
  </si>
  <si>
    <t>Χ806403</t>
  </si>
  <si>
    <t>ΚΟΥΤΣΟΥΡΑΚΗ</t>
  </si>
  <si>
    <t>ΑΑ951394</t>
  </si>
  <si>
    <t>1202-1203-1206-1217-1218-1219-1220-1221-1222-1223-1247-1248-1249-1250-1251-1252-1253-1254-1255-1256-1205</t>
  </si>
  <si>
    <t>ΓΕΩΡΓΑΚΟΠΟΥΛΟΥ</t>
  </si>
  <si>
    <t>Χ337005</t>
  </si>
  <si>
    <t>1250-1247-1248-1249-1255-1254-1253-1206</t>
  </si>
  <si>
    <t>ΚΑΡΡΑΣ</t>
  </si>
  <si>
    <t>ΑΑ391797</t>
  </si>
  <si>
    <t>1254-1247-1249-1248-1206-1253-1255-1250-1256</t>
  </si>
  <si>
    <t>ΓΙΟΚΟΤΟΣ</t>
  </si>
  <si>
    <t>ΑΖ693764</t>
  </si>
  <si>
    <t>669,1</t>
  </si>
  <si>
    <t>1248-1206-1217-1218-1219-1221-1222-1223-1247-1249-1250-1251-1252-1253-1254-1255-1256</t>
  </si>
  <si>
    <t>ΔΗΜΉΤΡΙΟΣ</t>
  </si>
  <si>
    <t>ΑΕ727219</t>
  </si>
  <si>
    <t>1267-1248-1255-1247-1206-1249-1250-1254-1256-1253</t>
  </si>
  <si>
    <t>ΓΕΩΡΓΑΚΟΠΟΥΛΟΣ</t>
  </si>
  <si>
    <t>Χ338356</t>
  </si>
  <si>
    <t>ΙΠΠΕΚΗΣ</t>
  </si>
  <si>
    <t>Χ991508</t>
  </si>
  <si>
    <t>666,9</t>
  </si>
  <si>
    <t>1217-1203-1204-1205-1206-1218-1219-1220-1221-1222-1223-1253-1254-1202-1201-1247-1248-1249-1250-1251-1252-1255-1256-1267</t>
  </si>
  <si>
    <t>ΤΣΙΛΟΠΟΥΛΟΣ</t>
  </si>
  <si>
    <t>ΑΙ362068</t>
  </si>
  <si>
    <t>1248-1267-1206-1256-1201-1202-1205-1255-1250-1249-1247</t>
  </si>
  <si>
    <t>ΑΕ230882</t>
  </si>
  <si>
    <t>1250-1247-1248-1267-1254-1206-1253-1249-1256-1255</t>
  </si>
  <si>
    <t>ΑΡΜΑΤΑ</t>
  </si>
  <si>
    <t>ΑΖ218030</t>
  </si>
  <si>
    <t>ΑΒ441681</t>
  </si>
  <si>
    <t>1256-1249-1248-1247-1250-1253-1254-1255-1219-1206</t>
  </si>
  <si>
    <t>ΧΡΥΣΑΦΙΔΗΣ</t>
  </si>
  <si>
    <t>ΑΙ392351</t>
  </si>
  <si>
    <t>1256-1253-1249-1248-1206-1247-1254-1250-1255</t>
  </si>
  <si>
    <t>ΚΑΡΥΠΙΔΟΥ</t>
  </si>
  <si>
    <t>ΑΗ807907</t>
  </si>
  <si>
    <t>660,5</t>
  </si>
  <si>
    <t>1256-1248-1206-1253-1249-1247-1250-1254-1255</t>
  </si>
  <si>
    <t>ΜΠΕΚΑΤΩΡΟΣ</t>
  </si>
  <si>
    <t>ΑΕ730503</t>
  </si>
  <si>
    <t>660,3</t>
  </si>
  <si>
    <t>1250-1247-1254-1201-1248-1253-1206-1249-1256-1202-1255</t>
  </si>
  <si>
    <t>ΚΑΙΜΑΚΑΜΗ</t>
  </si>
  <si>
    <t>ΑΗ821943</t>
  </si>
  <si>
    <t>ΓΙΑΜΑΡΕΛΟΣ</t>
  </si>
  <si>
    <t>Χ830035</t>
  </si>
  <si>
    <t>ΑΑ411731</t>
  </si>
  <si>
    <t>1249-1253-1256-1248-1267-1201-1206-1254-1247-1250-1205-1255-1202</t>
  </si>
  <si>
    <t>ΖΥΓΟΓΙΑΝΝΗ</t>
  </si>
  <si>
    <t>ΑΕ994729</t>
  </si>
  <si>
    <t>1247-1254-1201-1248-1267-1255-1202-1249-1250-1253-1206</t>
  </si>
  <si>
    <t>ΚΑΤΣΟΥΔΑΣ</t>
  </si>
  <si>
    <t>ΑΖ221715</t>
  </si>
  <si>
    <t>1250-1247-1253-1249-1201-1254-1206-1205-1255-1202-1248</t>
  </si>
  <si>
    <t>ΒΑΣΙΛΗ</t>
  </si>
  <si>
    <t>ΑΡΤΑ</t>
  </si>
  <si>
    <t>ΑΚ646679</t>
  </si>
  <si>
    <t>ΠΙΑΓΚΑ</t>
  </si>
  <si>
    <t>ΑΒ113337</t>
  </si>
  <si>
    <t>1267-1249-1253-1256-1248-1206-1247-1250-1254-1255</t>
  </si>
  <si>
    <t>ΦΟΥΣΚΑΝΤΕΡΗΣ</t>
  </si>
  <si>
    <t>ΑΙ770672</t>
  </si>
  <si>
    <t>1250-1247-1254-1255-1248-1249-1253</t>
  </si>
  <si>
    <t>ΑΓΓΕΛΟΠΟΥΛΟΣ</t>
  </si>
  <si>
    <t>Χ777207</t>
  </si>
  <si>
    <t>1248-1267-1255-1250-1206-1247-1249-1253-1254-1256</t>
  </si>
  <si>
    <t>ΑΒ092666</t>
  </si>
  <si>
    <t>1253-1249-1248-1267-1256-1254-1250-1206-1247-1255</t>
  </si>
  <si>
    <t>ΤΗΓΑΝΙΤΑΚΗ</t>
  </si>
  <si>
    <t>ΑΡΧΟΝΤΙΣΣΑ</t>
  </si>
  <si>
    <t>ΑΖ526723</t>
  </si>
  <si>
    <t>648,2</t>
  </si>
  <si>
    <t>ΣΓΟΥΡΟΜΑΛΛΗ</t>
  </si>
  <si>
    <t>ΜΑΡΙΑ-ΙΩΑΝΝΑ</t>
  </si>
  <si>
    <t>Φ346493</t>
  </si>
  <si>
    <t>647,1</t>
  </si>
  <si>
    <t>1255-1205-1202-1250-1247-1206-1253-1254-1249-1201-1248</t>
  </si>
  <si>
    <t>ΣΙΩΖΟΣ</t>
  </si>
  <si>
    <t>ΑΖ246452</t>
  </si>
  <si>
    <t>1201-1206-1256-1267-1202-1205-1249-1250-1253-1254-1255-1247-1248</t>
  </si>
  <si>
    <t>ΠΛΑΤΑΝΙΆ</t>
  </si>
  <si>
    <t>ΑΝΑΣΤΑΣΊΑ</t>
  </si>
  <si>
    <t>ΑΠΌΣΤΟΛΟΣ</t>
  </si>
  <si>
    <t>ΑΚ334799</t>
  </si>
  <si>
    <t>1250-1247-1254-1253-1249-1248-1267-1256-1206-1255</t>
  </si>
  <si>
    <t>Σιαπλαούρας</t>
  </si>
  <si>
    <t>Κωνσταντίνος</t>
  </si>
  <si>
    <t>ΑΙ816212</t>
  </si>
  <si>
    <t>644,9</t>
  </si>
  <si>
    <t>1201-1247-1250-1248-1254-1202-1205-1255-1253-1206-1249</t>
  </si>
  <si>
    <t>ΜΑΤΘΑΙΑΚΗΣ</t>
  </si>
  <si>
    <t>ΜΥΡΩΝ</t>
  </si>
  <si>
    <t>ΑΚ475190</t>
  </si>
  <si>
    <t>1202-1205-1255-1248-1267-1250-1247-1201-1254-1253-1249-1206-1256</t>
  </si>
  <si>
    <t>Χ336967</t>
  </si>
  <si>
    <t>1247-1250-1248-1254-1249-1206-1253-1255</t>
  </si>
  <si>
    <t>Χ286620</t>
  </si>
  <si>
    <t>1247-1248-1249-1250-1206-1253-1254-1255</t>
  </si>
  <si>
    <t>ΜΠΙΣΚΑΝΑΚΗΣ</t>
  </si>
  <si>
    <t>ΑΒ092807</t>
  </si>
  <si>
    <t>1248-1267-1249-1250-1254-1253-1206-1247-1255</t>
  </si>
  <si>
    <t>Χ842685</t>
  </si>
  <si>
    <t>1247-1248-1249-1250-1253-1255-1217-1219-1201-1202-1206-1205</t>
  </si>
  <si>
    <t>ΨΟΥΡΟΥΚΗΣ</t>
  </si>
  <si>
    <t>ΑΙ540729</t>
  </si>
  <si>
    <t>1203-1204-1205-1206-1217-1218-1219-1220-1221-1222-1223-1247-1248-1249-1250-1251-1252-1253-1254-1255-1256</t>
  </si>
  <si>
    <t>ΚΟΥΤΣΩΝΑΣ</t>
  </si>
  <si>
    <t>ΑΗ286131</t>
  </si>
  <si>
    <t>1254-1205-1206-1249-1248-1247-1250-1253-1255-1256-1267</t>
  </si>
  <si>
    <t>ΓΑΚΗΣ</t>
  </si>
  <si>
    <t>ΑΗ846463</t>
  </si>
  <si>
    <t>603,9</t>
  </si>
  <si>
    <t>1267-1248-1253-1249-1254-1255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</si>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</sst>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226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3121</v>
      </c>
      <c r="C8" t="s">
        <v>13</v>
      </c>
      <c r="D8" t="s">
        <v>14</v>
      </c>
      <c r="E8" t="s">
        <v>15</v>
      </c>
      <c r="F8">
        <v>81697</v>
      </c>
      <c r="G8" t="str">
        <f>"201405001278"</f>
        <v>201405001278</v>
      </c>
      <c r="H8" t="s">
        <v>16</v>
      </c>
      <c r="I8">
        <v>150</v>
      </c>
      <c r="J8">
        <v>0</v>
      </c>
      <c r="K8">
        <v>0</v>
      </c>
      <c r="L8">
        <v>260</v>
      </c>
      <c r="M8">
        <v>0</v>
      </c>
      <c r="N8">
        <v>70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84</v>
      </c>
      <c r="W8">
        <v>588</v>
      </c>
      <c r="X8">
        <v>0</v>
      </c>
      <c r="Z8">
        <v>1</v>
      </c>
      <c r="AA8">
        <v>0</v>
      </c>
      <c r="AB8">
        <v>0</v>
      </c>
      <c r="AC8">
        <v>0</v>
      </c>
      <c r="AD8" t="s">
        <v>17</v>
      </c>
    </row>
    <row r="9" spans="1:30" x14ac:dyDescent="0.25">
      <c r="H9" t="s">
        <v>18</v>
      </c>
    </row>
    <row r="10" spans="1:30" x14ac:dyDescent="0.25">
      <c r="A10">
        <v>2</v>
      </c>
      <c r="B10">
        <v>2429</v>
      </c>
      <c r="C10" t="s">
        <v>19</v>
      </c>
      <c r="D10" t="s">
        <v>20</v>
      </c>
      <c r="E10" t="s">
        <v>21</v>
      </c>
      <c r="F10" t="s">
        <v>22</v>
      </c>
      <c r="G10" t="str">
        <f>"200806000199"</f>
        <v>200806000199</v>
      </c>
      <c r="H10">
        <v>913</v>
      </c>
      <c r="I10">
        <v>0</v>
      </c>
      <c r="J10">
        <v>0</v>
      </c>
      <c r="K10">
        <v>0</v>
      </c>
      <c r="L10">
        <v>200</v>
      </c>
      <c r="M10">
        <v>0</v>
      </c>
      <c r="N10">
        <v>70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60</v>
      </c>
      <c r="W10">
        <v>420</v>
      </c>
      <c r="X10">
        <v>0</v>
      </c>
      <c r="Z10">
        <v>0</v>
      </c>
      <c r="AA10">
        <v>0</v>
      </c>
      <c r="AB10">
        <v>24</v>
      </c>
      <c r="AC10">
        <v>408</v>
      </c>
      <c r="AD10">
        <v>2011</v>
      </c>
    </row>
    <row r="11" spans="1:30" x14ac:dyDescent="0.25">
      <c r="H11" t="s">
        <v>23</v>
      </c>
    </row>
    <row r="12" spans="1:30" x14ac:dyDescent="0.25">
      <c r="A12">
        <v>3</v>
      </c>
      <c r="B12">
        <v>1845</v>
      </c>
      <c r="C12" t="s">
        <v>13</v>
      </c>
      <c r="D12" t="s">
        <v>24</v>
      </c>
      <c r="E12" t="s">
        <v>15</v>
      </c>
      <c r="F12">
        <v>83070</v>
      </c>
      <c r="G12" t="str">
        <f>"201412005171"</f>
        <v>201412005171</v>
      </c>
      <c r="H12">
        <v>957</v>
      </c>
      <c r="I12">
        <v>150</v>
      </c>
      <c r="J12">
        <v>0</v>
      </c>
      <c r="K12">
        <v>0</v>
      </c>
      <c r="L12">
        <v>200</v>
      </c>
      <c r="M12">
        <v>0</v>
      </c>
      <c r="N12">
        <v>70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84</v>
      </c>
      <c r="W12">
        <v>588</v>
      </c>
      <c r="X12">
        <v>0</v>
      </c>
      <c r="Z12">
        <v>0</v>
      </c>
      <c r="AA12">
        <v>0</v>
      </c>
      <c r="AB12">
        <v>0</v>
      </c>
      <c r="AC12">
        <v>0</v>
      </c>
      <c r="AD12">
        <v>1965</v>
      </c>
    </row>
    <row r="13" spans="1:30" x14ac:dyDescent="0.25">
      <c r="H13" t="s">
        <v>25</v>
      </c>
    </row>
    <row r="14" spans="1:30" x14ac:dyDescent="0.25">
      <c r="A14">
        <v>4</v>
      </c>
      <c r="B14">
        <v>47</v>
      </c>
      <c r="C14" t="s">
        <v>26</v>
      </c>
      <c r="D14" t="s">
        <v>27</v>
      </c>
      <c r="E14" t="s">
        <v>28</v>
      </c>
      <c r="F14" t="s">
        <v>29</v>
      </c>
      <c r="G14" t="str">
        <f>"200802001649"</f>
        <v>200802001649</v>
      </c>
      <c r="H14">
        <v>891</v>
      </c>
      <c r="I14">
        <v>150</v>
      </c>
      <c r="J14">
        <v>0</v>
      </c>
      <c r="K14">
        <v>0</v>
      </c>
      <c r="L14">
        <v>0</v>
      </c>
      <c r="M14">
        <v>0</v>
      </c>
      <c r="N14">
        <v>30</v>
      </c>
      <c r="O14">
        <v>0</v>
      </c>
      <c r="P14">
        <v>30</v>
      </c>
      <c r="Q14">
        <v>0</v>
      </c>
      <c r="R14">
        <v>0</v>
      </c>
      <c r="S14">
        <v>0</v>
      </c>
      <c r="T14">
        <v>0</v>
      </c>
      <c r="U14">
        <v>0</v>
      </c>
      <c r="V14">
        <v>60</v>
      </c>
      <c r="W14">
        <v>420</v>
      </c>
      <c r="X14">
        <v>0</v>
      </c>
      <c r="Z14">
        <v>0</v>
      </c>
      <c r="AA14">
        <v>0</v>
      </c>
      <c r="AB14">
        <v>24</v>
      </c>
      <c r="AC14">
        <v>408</v>
      </c>
      <c r="AD14">
        <v>1929</v>
      </c>
    </row>
    <row r="15" spans="1:30" x14ac:dyDescent="0.25">
      <c r="H15" t="s">
        <v>30</v>
      </c>
    </row>
    <row r="16" spans="1:30" x14ac:dyDescent="0.25">
      <c r="A16">
        <v>5</v>
      </c>
      <c r="B16">
        <v>2126</v>
      </c>
      <c r="C16" t="s">
        <v>31</v>
      </c>
      <c r="D16" t="s">
        <v>32</v>
      </c>
      <c r="E16" t="s">
        <v>33</v>
      </c>
      <c r="F16" t="s">
        <v>34</v>
      </c>
      <c r="G16" t="str">
        <f>"201001000193"</f>
        <v>201001000193</v>
      </c>
      <c r="H16" t="s">
        <v>35</v>
      </c>
      <c r="I16">
        <v>0</v>
      </c>
      <c r="J16">
        <v>0</v>
      </c>
      <c r="K16">
        <v>0</v>
      </c>
      <c r="L16">
        <v>200</v>
      </c>
      <c r="M16">
        <v>0</v>
      </c>
      <c r="N16">
        <v>70</v>
      </c>
      <c r="O16">
        <v>0</v>
      </c>
      <c r="P16">
        <v>30</v>
      </c>
      <c r="Q16">
        <v>0</v>
      </c>
      <c r="R16">
        <v>0</v>
      </c>
      <c r="S16">
        <v>0</v>
      </c>
      <c r="T16">
        <v>0</v>
      </c>
      <c r="U16">
        <v>0</v>
      </c>
      <c r="V16">
        <v>52</v>
      </c>
      <c r="W16">
        <v>364</v>
      </c>
      <c r="X16">
        <v>0</v>
      </c>
      <c r="Z16">
        <v>0</v>
      </c>
      <c r="AA16">
        <v>0</v>
      </c>
      <c r="AB16">
        <v>23</v>
      </c>
      <c r="AC16">
        <v>391</v>
      </c>
      <c r="AD16" t="s">
        <v>36</v>
      </c>
    </row>
    <row r="17" spans="1:30" x14ac:dyDescent="0.25">
      <c r="H17" t="s">
        <v>37</v>
      </c>
    </row>
    <row r="18" spans="1:30" x14ac:dyDescent="0.25">
      <c r="A18">
        <v>6</v>
      </c>
      <c r="B18">
        <v>1546</v>
      </c>
      <c r="C18" t="s">
        <v>38</v>
      </c>
      <c r="D18" t="s">
        <v>39</v>
      </c>
      <c r="E18" t="s">
        <v>40</v>
      </c>
      <c r="F18" t="s">
        <v>41</v>
      </c>
      <c r="G18" t="str">
        <f>"201412006814"</f>
        <v>201412006814</v>
      </c>
      <c r="H18">
        <v>792</v>
      </c>
      <c r="I18">
        <v>0</v>
      </c>
      <c r="J18">
        <v>0</v>
      </c>
      <c r="K18">
        <v>0</v>
      </c>
      <c r="L18">
        <v>200</v>
      </c>
      <c r="M18">
        <v>0</v>
      </c>
      <c r="N18">
        <v>30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60</v>
      </c>
      <c r="W18">
        <v>420</v>
      </c>
      <c r="X18">
        <v>0</v>
      </c>
      <c r="Z18">
        <v>0</v>
      </c>
      <c r="AA18">
        <v>0</v>
      </c>
      <c r="AB18">
        <v>24</v>
      </c>
      <c r="AC18">
        <v>408</v>
      </c>
      <c r="AD18">
        <v>1850</v>
      </c>
    </row>
    <row r="19" spans="1:30" x14ac:dyDescent="0.25">
      <c r="H19" t="s">
        <v>42</v>
      </c>
    </row>
    <row r="20" spans="1:30" x14ac:dyDescent="0.25">
      <c r="A20">
        <v>7</v>
      </c>
      <c r="B20">
        <v>4583</v>
      </c>
      <c r="C20" t="s">
        <v>43</v>
      </c>
      <c r="D20" t="s">
        <v>44</v>
      </c>
      <c r="E20" t="s">
        <v>45</v>
      </c>
      <c r="F20" t="s">
        <v>46</v>
      </c>
      <c r="G20" t="str">
        <f>"201406018228"</f>
        <v>201406018228</v>
      </c>
      <c r="H20">
        <v>759</v>
      </c>
      <c r="I20">
        <v>0</v>
      </c>
      <c r="J20">
        <v>0</v>
      </c>
      <c r="K20">
        <v>0</v>
      </c>
      <c r="L20">
        <v>200</v>
      </c>
      <c r="M20">
        <v>0</v>
      </c>
      <c r="N20">
        <v>30</v>
      </c>
      <c r="O20">
        <v>30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60</v>
      </c>
      <c r="W20">
        <v>420</v>
      </c>
      <c r="X20">
        <v>0</v>
      </c>
      <c r="Z20">
        <v>0</v>
      </c>
      <c r="AA20">
        <v>0</v>
      </c>
      <c r="AB20">
        <v>24</v>
      </c>
      <c r="AC20">
        <v>408</v>
      </c>
      <c r="AD20">
        <v>1847</v>
      </c>
    </row>
    <row r="21" spans="1:30" x14ac:dyDescent="0.25">
      <c r="H21" t="s">
        <v>47</v>
      </c>
    </row>
    <row r="22" spans="1:30" x14ac:dyDescent="0.25">
      <c r="A22">
        <v>8</v>
      </c>
      <c r="B22">
        <v>4560</v>
      </c>
      <c r="C22" t="s">
        <v>48</v>
      </c>
      <c r="D22" t="s">
        <v>49</v>
      </c>
      <c r="E22" t="s">
        <v>50</v>
      </c>
      <c r="F22" t="s">
        <v>51</v>
      </c>
      <c r="G22" t="str">
        <f>"200802012171"</f>
        <v>200802012171</v>
      </c>
      <c r="H22" t="s">
        <v>52</v>
      </c>
      <c r="I22">
        <v>0</v>
      </c>
      <c r="J22">
        <v>0</v>
      </c>
      <c r="K22">
        <v>0</v>
      </c>
      <c r="L22">
        <v>200</v>
      </c>
      <c r="M22">
        <v>0</v>
      </c>
      <c r="N22">
        <v>30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60</v>
      </c>
      <c r="W22">
        <v>420</v>
      </c>
      <c r="X22">
        <v>0</v>
      </c>
      <c r="Z22">
        <v>2</v>
      </c>
      <c r="AA22">
        <v>0</v>
      </c>
      <c r="AB22">
        <v>24</v>
      </c>
      <c r="AC22">
        <v>408</v>
      </c>
      <c r="AD22" t="s">
        <v>53</v>
      </c>
    </row>
    <row r="23" spans="1:30" x14ac:dyDescent="0.25">
      <c r="H23" t="s">
        <v>54</v>
      </c>
    </row>
    <row r="24" spans="1:30" x14ac:dyDescent="0.25">
      <c r="A24">
        <v>9</v>
      </c>
      <c r="B24">
        <v>2607</v>
      </c>
      <c r="C24" t="s">
        <v>55</v>
      </c>
      <c r="D24" t="s">
        <v>56</v>
      </c>
      <c r="E24" t="s">
        <v>57</v>
      </c>
      <c r="F24" t="s">
        <v>58</v>
      </c>
      <c r="G24" t="str">
        <f>"00232039"</f>
        <v>00232039</v>
      </c>
      <c r="H24" t="s">
        <v>59</v>
      </c>
      <c r="I24">
        <v>150</v>
      </c>
      <c r="J24">
        <v>0</v>
      </c>
      <c r="K24">
        <v>0</v>
      </c>
      <c r="L24">
        <v>0</v>
      </c>
      <c r="M24">
        <v>100</v>
      </c>
      <c r="N24">
        <v>30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60</v>
      </c>
      <c r="W24">
        <v>420</v>
      </c>
      <c r="X24">
        <v>0</v>
      </c>
      <c r="Z24">
        <v>0</v>
      </c>
      <c r="AA24">
        <v>0</v>
      </c>
      <c r="AB24">
        <v>24</v>
      </c>
      <c r="AC24">
        <v>408</v>
      </c>
      <c r="AD24" t="s">
        <v>60</v>
      </c>
    </row>
    <row r="25" spans="1:30" x14ac:dyDescent="0.25">
      <c r="H25" t="s">
        <v>61</v>
      </c>
    </row>
    <row r="26" spans="1:30" x14ac:dyDescent="0.25">
      <c r="A26">
        <v>10</v>
      </c>
      <c r="B26">
        <v>2979</v>
      </c>
      <c r="C26" t="s">
        <v>62</v>
      </c>
      <c r="D26" t="s">
        <v>63</v>
      </c>
      <c r="E26" t="s">
        <v>64</v>
      </c>
      <c r="F26" t="s">
        <v>65</v>
      </c>
      <c r="G26" t="str">
        <f>"00282259"</f>
        <v>00282259</v>
      </c>
      <c r="H26" t="s">
        <v>66</v>
      </c>
      <c r="I26">
        <v>0</v>
      </c>
      <c r="J26">
        <v>0</v>
      </c>
      <c r="K26">
        <v>0</v>
      </c>
      <c r="L26">
        <v>200</v>
      </c>
      <c r="M26">
        <v>0</v>
      </c>
      <c r="N26">
        <v>70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60</v>
      </c>
      <c r="W26">
        <v>420</v>
      </c>
      <c r="X26">
        <v>0</v>
      </c>
      <c r="Z26">
        <v>0</v>
      </c>
      <c r="AA26">
        <v>0</v>
      </c>
      <c r="AB26">
        <v>24</v>
      </c>
      <c r="AC26">
        <v>408</v>
      </c>
      <c r="AD26" t="s">
        <v>67</v>
      </c>
    </row>
    <row r="27" spans="1:30" x14ac:dyDescent="0.25">
      <c r="H27" t="s">
        <v>68</v>
      </c>
    </row>
    <row r="28" spans="1:30" x14ac:dyDescent="0.25">
      <c r="A28">
        <v>11</v>
      </c>
      <c r="B28">
        <v>4399</v>
      </c>
      <c r="C28" t="s">
        <v>69</v>
      </c>
      <c r="D28" t="s">
        <v>70</v>
      </c>
      <c r="E28" t="s">
        <v>64</v>
      </c>
      <c r="F28" t="s">
        <v>71</v>
      </c>
      <c r="G28" t="str">
        <f>"201511042455"</f>
        <v>201511042455</v>
      </c>
      <c r="H28" t="s">
        <v>72</v>
      </c>
      <c r="I28">
        <v>150</v>
      </c>
      <c r="J28">
        <v>0</v>
      </c>
      <c r="K28">
        <v>0</v>
      </c>
      <c r="L28">
        <v>200</v>
      </c>
      <c r="M28">
        <v>0</v>
      </c>
      <c r="N28">
        <v>30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84</v>
      </c>
      <c r="W28">
        <v>588</v>
      </c>
      <c r="X28">
        <v>0</v>
      </c>
      <c r="Z28">
        <v>0</v>
      </c>
      <c r="AA28">
        <v>0</v>
      </c>
      <c r="AB28">
        <v>0</v>
      </c>
      <c r="AC28">
        <v>0</v>
      </c>
      <c r="AD28" t="s">
        <v>73</v>
      </c>
    </row>
    <row r="29" spans="1:30" x14ac:dyDescent="0.25">
      <c r="H29" t="s">
        <v>74</v>
      </c>
    </row>
    <row r="30" spans="1:30" x14ac:dyDescent="0.25">
      <c r="A30">
        <v>12</v>
      </c>
      <c r="B30">
        <v>2603</v>
      </c>
      <c r="C30" t="s">
        <v>75</v>
      </c>
      <c r="D30" t="s">
        <v>76</v>
      </c>
      <c r="E30" t="s">
        <v>77</v>
      </c>
      <c r="F30" t="s">
        <v>78</v>
      </c>
      <c r="G30" t="str">
        <f>"200803000122"</f>
        <v>200803000122</v>
      </c>
      <c r="H30" t="s">
        <v>79</v>
      </c>
      <c r="I30">
        <v>150</v>
      </c>
      <c r="J30">
        <v>0</v>
      </c>
      <c r="K30">
        <v>0</v>
      </c>
      <c r="L30">
        <v>200</v>
      </c>
      <c r="M30">
        <v>0</v>
      </c>
      <c r="N30">
        <v>70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84</v>
      </c>
      <c r="W30">
        <v>588</v>
      </c>
      <c r="X30">
        <v>0</v>
      </c>
      <c r="Z30">
        <v>0</v>
      </c>
      <c r="AA30">
        <v>0</v>
      </c>
      <c r="AB30">
        <v>0</v>
      </c>
      <c r="AC30">
        <v>0</v>
      </c>
      <c r="AD30" t="s">
        <v>80</v>
      </c>
    </row>
    <row r="31" spans="1:30" x14ac:dyDescent="0.25">
      <c r="H31" t="s">
        <v>81</v>
      </c>
    </row>
    <row r="32" spans="1:30" x14ac:dyDescent="0.25">
      <c r="A32">
        <v>13</v>
      </c>
      <c r="B32">
        <v>4923</v>
      </c>
      <c r="C32" t="s">
        <v>82</v>
      </c>
      <c r="D32" t="s">
        <v>83</v>
      </c>
      <c r="E32" t="s">
        <v>84</v>
      </c>
      <c r="F32" t="s">
        <v>85</v>
      </c>
      <c r="G32" t="str">
        <f>"00197417"</f>
        <v>00197417</v>
      </c>
      <c r="H32" t="s">
        <v>86</v>
      </c>
      <c r="I32">
        <v>0</v>
      </c>
      <c r="J32">
        <v>0</v>
      </c>
      <c r="K32">
        <v>0</v>
      </c>
      <c r="L32">
        <v>200</v>
      </c>
      <c r="M32">
        <v>0</v>
      </c>
      <c r="N32">
        <v>30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60</v>
      </c>
      <c r="W32">
        <v>420</v>
      </c>
      <c r="X32">
        <v>0</v>
      </c>
      <c r="Z32">
        <v>0</v>
      </c>
      <c r="AA32">
        <v>0</v>
      </c>
      <c r="AB32">
        <v>24</v>
      </c>
      <c r="AC32">
        <v>408</v>
      </c>
      <c r="AD32" t="s">
        <v>87</v>
      </c>
    </row>
    <row r="33" spans="1:30" x14ac:dyDescent="0.25">
      <c r="H33" t="s">
        <v>88</v>
      </c>
    </row>
    <row r="34" spans="1:30" x14ac:dyDescent="0.25">
      <c r="A34">
        <v>14</v>
      </c>
      <c r="B34">
        <v>3209</v>
      </c>
      <c r="C34" t="s">
        <v>89</v>
      </c>
      <c r="D34" t="s">
        <v>32</v>
      </c>
      <c r="E34" t="s">
        <v>49</v>
      </c>
      <c r="F34" t="s">
        <v>90</v>
      </c>
      <c r="G34" t="str">
        <f>"00219566"</f>
        <v>00219566</v>
      </c>
      <c r="H34" t="s">
        <v>91</v>
      </c>
      <c r="I34">
        <v>150</v>
      </c>
      <c r="J34">
        <v>0</v>
      </c>
      <c r="K34">
        <v>0</v>
      </c>
      <c r="L34">
        <v>0</v>
      </c>
      <c r="M34">
        <v>130</v>
      </c>
      <c r="N34">
        <v>70</v>
      </c>
      <c r="O34">
        <v>0</v>
      </c>
      <c r="P34">
        <v>30</v>
      </c>
      <c r="Q34">
        <v>0</v>
      </c>
      <c r="R34">
        <v>0</v>
      </c>
      <c r="S34">
        <v>0</v>
      </c>
      <c r="T34">
        <v>0</v>
      </c>
      <c r="U34">
        <v>0</v>
      </c>
      <c r="V34">
        <v>77</v>
      </c>
      <c r="W34">
        <v>539</v>
      </c>
      <c r="X34">
        <v>0</v>
      </c>
      <c r="Z34">
        <v>0</v>
      </c>
      <c r="AA34">
        <v>0</v>
      </c>
      <c r="AB34">
        <v>0</v>
      </c>
      <c r="AC34">
        <v>0</v>
      </c>
      <c r="AD34" t="s">
        <v>92</v>
      </c>
    </row>
    <row r="35" spans="1:30" x14ac:dyDescent="0.25">
      <c r="H35" t="s">
        <v>93</v>
      </c>
    </row>
    <row r="36" spans="1:30" x14ac:dyDescent="0.25">
      <c r="A36">
        <v>15</v>
      </c>
      <c r="B36">
        <v>1703</v>
      </c>
      <c r="C36" t="s">
        <v>94</v>
      </c>
      <c r="D36" t="s">
        <v>95</v>
      </c>
      <c r="E36" t="s">
        <v>49</v>
      </c>
      <c r="F36" t="s">
        <v>96</v>
      </c>
      <c r="G36" t="str">
        <f>"201409002540"</f>
        <v>201409002540</v>
      </c>
      <c r="H36" t="s">
        <v>97</v>
      </c>
      <c r="I36">
        <v>150</v>
      </c>
      <c r="J36">
        <v>0</v>
      </c>
      <c r="K36">
        <v>0</v>
      </c>
      <c r="L36">
        <v>200</v>
      </c>
      <c r="M36">
        <v>0</v>
      </c>
      <c r="N36">
        <v>30</v>
      </c>
      <c r="O36">
        <v>50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84</v>
      </c>
      <c r="W36">
        <v>588</v>
      </c>
      <c r="X36">
        <v>0</v>
      </c>
      <c r="Z36">
        <v>0</v>
      </c>
      <c r="AA36">
        <v>0</v>
      </c>
      <c r="AB36">
        <v>0</v>
      </c>
      <c r="AC36">
        <v>0</v>
      </c>
      <c r="AD36" t="s">
        <v>98</v>
      </c>
    </row>
    <row r="37" spans="1:30" x14ac:dyDescent="0.25">
      <c r="H37" t="s">
        <v>99</v>
      </c>
    </row>
    <row r="38" spans="1:30" x14ac:dyDescent="0.25">
      <c r="A38">
        <v>16</v>
      </c>
      <c r="B38">
        <v>5609</v>
      </c>
      <c r="C38" t="s">
        <v>100</v>
      </c>
      <c r="D38" t="s">
        <v>101</v>
      </c>
      <c r="E38" t="s">
        <v>102</v>
      </c>
      <c r="F38" t="s">
        <v>103</v>
      </c>
      <c r="G38" t="str">
        <f>"00129609"</f>
        <v>00129609</v>
      </c>
      <c r="H38">
        <v>880</v>
      </c>
      <c r="I38">
        <v>150</v>
      </c>
      <c r="J38">
        <v>0</v>
      </c>
      <c r="K38">
        <v>0</v>
      </c>
      <c r="L38">
        <v>0</v>
      </c>
      <c r="M38">
        <v>100</v>
      </c>
      <c r="N38">
        <v>30</v>
      </c>
      <c r="O38">
        <v>0</v>
      </c>
      <c r="P38">
        <v>0</v>
      </c>
      <c r="Q38">
        <v>50</v>
      </c>
      <c r="R38">
        <v>0</v>
      </c>
      <c r="S38">
        <v>0</v>
      </c>
      <c r="T38">
        <v>0</v>
      </c>
      <c r="U38">
        <v>0</v>
      </c>
      <c r="V38">
        <v>84</v>
      </c>
      <c r="W38">
        <v>588</v>
      </c>
      <c r="X38">
        <v>0</v>
      </c>
      <c r="Z38">
        <v>0</v>
      </c>
      <c r="AA38">
        <v>0</v>
      </c>
      <c r="AB38">
        <v>0</v>
      </c>
      <c r="AC38">
        <v>0</v>
      </c>
      <c r="AD38">
        <v>1798</v>
      </c>
    </row>
    <row r="39" spans="1:30" x14ac:dyDescent="0.25">
      <c r="H39" t="s">
        <v>104</v>
      </c>
    </row>
    <row r="40" spans="1:30" x14ac:dyDescent="0.25">
      <c r="A40">
        <v>17</v>
      </c>
      <c r="B40">
        <v>1509</v>
      </c>
      <c r="C40" t="s">
        <v>105</v>
      </c>
      <c r="D40" t="s">
        <v>106</v>
      </c>
      <c r="E40" t="s">
        <v>107</v>
      </c>
      <c r="F40" t="s">
        <v>108</v>
      </c>
      <c r="G40" t="str">
        <f>"201511032705"</f>
        <v>201511032705</v>
      </c>
      <c r="H40" t="s">
        <v>109</v>
      </c>
      <c r="I40">
        <v>150</v>
      </c>
      <c r="J40">
        <v>0</v>
      </c>
      <c r="K40">
        <v>0</v>
      </c>
      <c r="L40">
        <v>0</v>
      </c>
      <c r="M40">
        <v>0</v>
      </c>
      <c r="N40">
        <v>70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64</v>
      </c>
      <c r="W40">
        <v>448</v>
      </c>
      <c r="X40">
        <v>0</v>
      </c>
      <c r="Z40">
        <v>0</v>
      </c>
      <c r="AA40">
        <v>0</v>
      </c>
      <c r="AB40">
        <v>16</v>
      </c>
      <c r="AC40">
        <v>272</v>
      </c>
      <c r="AD40" t="s">
        <v>110</v>
      </c>
    </row>
    <row r="41" spans="1:30" x14ac:dyDescent="0.25">
      <c r="H41" t="s">
        <v>111</v>
      </c>
    </row>
    <row r="42" spans="1:30" x14ac:dyDescent="0.25">
      <c r="A42">
        <v>18</v>
      </c>
      <c r="B42">
        <v>1223</v>
      </c>
      <c r="C42" t="s">
        <v>112</v>
      </c>
      <c r="D42" t="s">
        <v>113</v>
      </c>
      <c r="E42" t="s">
        <v>77</v>
      </c>
      <c r="F42" t="s">
        <v>114</v>
      </c>
      <c r="G42" t="str">
        <f>"201412001880"</f>
        <v>201412001880</v>
      </c>
      <c r="H42" t="s">
        <v>115</v>
      </c>
      <c r="I42">
        <v>150</v>
      </c>
      <c r="J42">
        <v>0</v>
      </c>
      <c r="K42">
        <v>0</v>
      </c>
      <c r="L42">
        <v>200</v>
      </c>
      <c r="M42">
        <v>0</v>
      </c>
      <c r="N42">
        <v>30</v>
      </c>
      <c r="O42">
        <v>30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84</v>
      </c>
      <c r="W42">
        <v>588</v>
      </c>
      <c r="X42">
        <v>0</v>
      </c>
      <c r="Z42">
        <v>0</v>
      </c>
      <c r="AA42">
        <v>0</v>
      </c>
      <c r="AB42">
        <v>0</v>
      </c>
      <c r="AC42">
        <v>0</v>
      </c>
      <c r="AD42" t="s">
        <v>116</v>
      </c>
    </row>
    <row r="43" spans="1:30" x14ac:dyDescent="0.25">
      <c r="H43" t="s">
        <v>117</v>
      </c>
    </row>
    <row r="44" spans="1:30" x14ac:dyDescent="0.25">
      <c r="A44">
        <v>19</v>
      </c>
      <c r="B44">
        <v>583</v>
      </c>
      <c r="C44" t="s">
        <v>118</v>
      </c>
      <c r="D44" t="s">
        <v>119</v>
      </c>
      <c r="E44" t="s">
        <v>120</v>
      </c>
      <c r="F44" t="s">
        <v>121</v>
      </c>
      <c r="G44" t="str">
        <f>"201406014655"</f>
        <v>201406014655</v>
      </c>
      <c r="H44">
        <v>737</v>
      </c>
      <c r="I44">
        <v>0</v>
      </c>
      <c r="J44">
        <v>0</v>
      </c>
      <c r="K44">
        <v>0</v>
      </c>
      <c r="L44">
        <v>200</v>
      </c>
      <c r="M44">
        <v>0</v>
      </c>
      <c r="N44">
        <v>50</v>
      </c>
      <c r="O44">
        <v>30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66</v>
      </c>
      <c r="W44">
        <v>462</v>
      </c>
      <c r="X44">
        <v>0</v>
      </c>
      <c r="Z44">
        <v>0</v>
      </c>
      <c r="AA44">
        <v>0</v>
      </c>
      <c r="AB44">
        <v>18</v>
      </c>
      <c r="AC44">
        <v>306</v>
      </c>
      <c r="AD44">
        <v>1785</v>
      </c>
    </row>
    <row r="45" spans="1:30" x14ac:dyDescent="0.25">
      <c r="H45" t="s">
        <v>122</v>
      </c>
    </row>
    <row r="46" spans="1:30" x14ac:dyDescent="0.25">
      <c r="A46">
        <v>20</v>
      </c>
      <c r="B46">
        <v>3271</v>
      </c>
      <c r="C46" t="s">
        <v>123</v>
      </c>
      <c r="D46" t="s">
        <v>56</v>
      </c>
      <c r="E46" t="s">
        <v>124</v>
      </c>
      <c r="F46" t="s">
        <v>125</v>
      </c>
      <c r="G46" t="str">
        <f>"00345803"</f>
        <v>00345803</v>
      </c>
      <c r="H46">
        <v>726</v>
      </c>
      <c r="I46">
        <v>0</v>
      </c>
      <c r="J46">
        <v>0</v>
      </c>
      <c r="K46">
        <v>0</v>
      </c>
      <c r="L46">
        <v>200</v>
      </c>
      <c r="M46">
        <v>0</v>
      </c>
      <c r="N46">
        <v>30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60</v>
      </c>
      <c r="W46">
        <v>420</v>
      </c>
      <c r="X46">
        <v>0</v>
      </c>
      <c r="Z46">
        <v>0</v>
      </c>
      <c r="AA46">
        <v>0</v>
      </c>
      <c r="AB46">
        <v>24</v>
      </c>
      <c r="AC46">
        <v>408</v>
      </c>
      <c r="AD46">
        <v>1784</v>
      </c>
    </row>
    <row r="47" spans="1:30" x14ac:dyDescent="0.25">
      <c r="H47" t="s">
        <v>126</v>
      </c>
    </row>
    <row r="48" spans="1:30" x14ac:dyDescent="0.25">
      <c r="A48">
        <v>21</v>
      </c>
      <c r="B48">
        <v>2406</v>
      </c>
      <c r="C48" t="s">
        <v>127</v>
      </c>
      <c r="D48" t="s">
        <v>128</v>
      </c>
      <c r="E48" t="s">
        <v>129</v>
      </c>
      <c r="F48" t="s">
        <v>130</v>
      </c>
      <c r="G48" t="str">
        <f>"200802007726"</f>
        <v>200802007726</v>
      </c>
      <c r="H48" t="s">
        <v>131</v>
      </c>
      <c r="I48">
        <v>150</v>
      </c>
      <c r="J48">
        <v>0</v>
      </c>
      <c r="K48">
        <v>0</v>
      </c>
      <c r="L48">
        <v>200</v>
      </c>
      <c r="M48">
        <v>0</v>
      </c>
      <c r="N48">
        <v>70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84</v>
      </c>
      <c r="W48">
        <v>588</v>
      </c>
      <c r="X48">
        <v>0</v>
      </c>
      <c r="Z48">
        <v>1</v>
      </c>
      <c r="AA48">
        <v>0</v>
      </c>
      <c r="AB48">
        <v>0</v>
      </c>
      <c r="AC48">
        <v>0</v>
      </c>
      <c r="AD48" t="s">
        <v>132</v>
      </c>
    </row>
    <row r="49" spans="1:30" x14ac:dyDescent="0.25">
      <c r="H49" t="s">
        <v>133</v>
      </c>
    </row>
    <row r="50" spans="1:30" x14ac:dyDescent="0.25">
      <c r="A50">
        <v>22</v>
      </c>
      <c r="B50">
        <v>2355</v>
      </c>
      <c r="C50" t="s">
        <v>134</v>
      </c>
      <c r="D50" t="s">
        <v>135</v>
      </c>
      <c r="E50" t="s">
        <v>102</v>
      </c>
      <c r="F50" t="s">
        <v>136</v>
      </c>
      <c r="G50" t="str">
        <f>"200712001186"</f>
        <v>200712001186</v>
      </c>
      <c r="H50" t="s">
        <v>137</v>
      </c>
      <c r="I50">
        <v>0</v>
      </c>
      <c r="J50">
        <v>0</v>
      </c>
      <c r="K50">
        <v>0</v>
      </c>
      <c r="L50">
        <v>200</v>
      </c>
      <c r="M50">
        <v>0</v>
      </c>
      <c r="N50">
        <v>30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60</v>
      </c>
      <c r="W50">
        <v>420</v>
      </c>
      <c r="X50">
        <v>0</v>
      </c>
      <c r="Z50">
        <v>1</v>
      </c>
      <c r="AA50">
        <v>0</v>
      </c>
      <c r="AB50">
        <v>24</v>
      </c>
      <c r="AC50">
        <v>408</v>
      </c>
      <c r="AD50" t="s">
        <v>138</v>
      </c>
    </row>
    <row r="51" spans="1:30" x14ac:dyDescent="0.25">
      <c r="H51" t="s">
        <v>139</v>
      </c>
    </row>
    <row r="52" spans="1:30" x14ac:dyDescent="0.25">
      <c r="A52">
        <v>23</v>
      </c>
      <c r="B52">
        <v>1496</v>
      </c>
      <c r="C52" t="s">
        <v>140</v>
      </c>
      <c r="D52" t="s">
        <v>141</v>
      </c>
      <c r="E52" t="s">
        <v>142</v>
      </c>
      <c r="F52" t="s">
        <v>143</v>
      </c>
      <c r="G52" t="str">
        <f>"200802008114"</f>
        <v>200802008114</v>
      </c>
      <c r="H52" t="s">
        <v>144</v>
      </c>
      <c r="I52">
        <v>0</v>
      </c>
      <c r="J52">
        <v>0</v>
      </c>
      <c r="K52">
        <v>0</v>
      </c>
      <c r="L52">
        <v>200</v>
      </c>
      <c r="M52">
        <v>0</v>
      </c>
      <c r="N52">
        <v>30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60</v>
      </c>
      <c r="W52">
        <v>420</v>
      </c>
      <c r="X52">
        <v>0</v>
      </c>
      <c r="Z52">
        <v>0</v>
      </c>
      <c r="AA52">
        <v>0</v>
      </c>
      <c r="AB52">
        <v>24</v>
      </c>
      <c r="AC52">
        <v>408</v>
      </c>
      <c r="AD52" t="s">
        <v>145</v>
      </c>
    </row>
    <row r="53" spans="1:30" x14ac:dyDescent="0.25">
      <c r="H53" t="s">
        <v>146</v>
      </c>
    </row>
    <row r="54" spans="1:30" x14ac:dyDescent="0.25">
      <c r="A54">
        <v>24</v>
      </c>
      <c r="B54">
        <v>438</v>
      </c>
      <c r="C54" t="s">
        <v>147</v>
      </c>
      <c r="D54" t="s">
        <v>49</v>
      </c>
      <c r="E54" t="s">
        <v>120</v>
      </c>
      <c r="F54" t="s">
        <v>148</v>
      </c>
      <c r="G54" t="str">
        <f>"201406013334"</f>
        <v>201406013334</v>
      </c>
      <c r="H54">
        <v>935</v>
      </c>
      <c r="I54">
        <v>0</v>
      </c>
      <c r="J54">
        <v>0</v>
      </c>
      <c r="K54">
        <v>0</v>
      </c>
      <c r="L54">
        <v>260</v>
      </c>
      <c r="M54">
        <v>0</v>
      </c>
      <c r="N54">
        <v>50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76</v>
      </c>
      <c r="W54">
        <v>532</v>
      </c>
      <c r="X54">
        <v>0</v>
      </c>
      <c r="Z54">
        <v>0</v>
      </c>
      <c r="AA54">
        <v>0</v>
      </c>
      <c r="AB54">
        <v>0</v>
      </c>
      <c r="AC54">
        <v>0</v>
      </c>
      <c r="AD54">
        <v>1777</v>
      </c>
    </row>
    <row r="55" spans="1:30" x14ac:dyDescent="0.25">
      <c r="H55" t="s">
        <v>149</v>
      </c>
    </row>
    <row r="56" spans="1:30" x14ac:dyDescent="0.25">
      <c r="A56">
        <v>25</v>
      </c>
      <c r="B56">
        <v>3689</v>
      </c>
      <c r="C56" t="s">
        <v>150</v>
      </c>
      <c r="D56" t="s">
        <v>151</v>
      </c>
      <c r="E56" t="s">
        <v>84</v>
      </c>
      <c r="F56" t="s">
        <v>152</v>
      </c>
      <c r="G56" t="str">
        <f>"00017261"</f>
        <v>00017261</v>
      </c>
      <c r="H56">
        <v>836</v>
      </c>
      <c r="I56">
        <v>0</v>
      </c>
      <c r="J56">
        <v>0</v>
      </c>
      <c r="K56">
        <v>0</v>
      </c>
      <c r="L56">
        <v>200</v>
      </c>
      <c r="M56">
        <v>0</v>
      </c>
      <c r="N56">
        <v>70</v>
      </c>
      <c r="O56">
        <v>30</v>
      </c>
      <c r="P56">
        <v>50</v>
      </c>
      <c r="Q56">
        <v>0</v>
      </c>
      <c r="R56">
        <v>0</v>
      </c>
      <c r="S56">
        <v>0</v>
      </c>
      <c r="T56">
        <v>0</v>
      </c>
      <c r="U56">
        <v>0</v>
      </c>
      <c r="V56">
        <v>84</v>
      </c>
      <c r="W56">
        <v>588</v>
      </c>
      <c r="X56">
        <v>0</v>
      </c>
      <c r="Z56">
        <v>0</v>
      </c>
      <c r="AA56">
        <v>0</v>
      </c>
      <c r="AB56">
        <v>0</v>
      </c>
      <c r="AC56">
        <v>0</v>
      </c>
      <c r="AD56">
        <v>1774</v>
      </c>
    </row>
    <row r="57" spans="1:30" x14ac:dyDescent="0.25">
      <c r="H57" t="s">
        <v>153</v>
      </c>
    </row>
    <row r="58" spans="1:30" x14ac:dyDescent="0.25">
      <c r="A58">
        <v>26</v>
      </c>
      <c r="B58">
        <v>1342</v>
      </c>
      <c r="C58" t="s">
        <v>154</v>
      </c>
      <c r="D58" t="s">
        <v>32</v>
      </c>
      <c r="E58" t="s">
        <v>155</v>
      </c>
      <c r="F58" t="s">
        <v>156</v>
      </c>
      <c r="G58" t="str">
        <f>"201402009631"</f>
        <v>201402009631</v>
      </c>
      <c r="H58" t="s">
        <v>157</v>
      </c>
      <c r="I58">
        <v>0</v>
      </c>
      <c r="J58">
        <v>0</v>
      </c>
      <c r="K58">
        <v>0</v>
      </c>
      <c r="L58">
        <v>200</v>
      </c>
      <c r="M58">
        <v>0</v>
      </c>
      <c r="N58">
        <v>50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84</v>
      </c>
      <c r="W58">
        <v>588</v>
      </c>
      <c r="X58">
        <v>0</v>
      </c>
      <c r="Z58">
        <v>2</v>
      </c>
      <c r="AA58">
        <v>0</v>
      </c>
      <c r="AB58">
        <v>0</v>
      </c>
      <c r="AC58">
        <v>0</v>
      </c>
      <c r="AD58" t="s">
        <v>158</v>
      </c>
    </row>
    <row r="59" spans="1:30" x14ac:dyDescent="0.25">
      <c r="H59" t="s">
        <v>159</v>
      </c>
    </row>
    <row r="60" spans="1:30" x14ac:dyDescent="0.25">
      <c r="A60">
        <v>27</v>
      </c>
      <c r="B60">
        <v>4946</v>
      </c>
      <c r="C60" t="s">
        <v>160</v>
      </c>
      <c r="D60" t="s">
        <v>39</v>
      </c>
      <c r="E60" t="s">
        <v>21</v>
      </c>
      <c r="F60" t="s">
        <v>161</v>
      </c>
      <c r="G60" t="str">
        <f>"00149369"</f>
        <v>00149369</v>
      </c>
      <c r="H60" t="s">
        <v>162</v>
      </c>
      <c r="I60">
        <v>150</v>
      </c>
      <c r="J60">
        <v>0</v>
      </c>
      <c r="K60">
        <v>0</v>
      </c>
      <c r="L60">
        <v>200</v>
      </c>
      <c r="M60">
        <v>0</v>
      </c>
      <c r="N60">
        <v>30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84</v>
      </c>
      <c r="W60">
        <v>588</v>
      </c>
      <c r="X60">
        <v>0</v>
      </c>
      <c r="Z60">
        <v>0</v>
      </c>
      <c r="AA60">
        <v>0</v>
      </c>
      <c r="AB60">
        <v>0</v>
      </c>
      <c r="AC60">
        <v>0</v>
      </c>
      <c r="AD60" t="s">
        <v>163</v>
      </c>
    </row>
    <row r="61" spans="1:30" x14ac:dyDescent="0.25">
      <c r="H61" t="s">
        <v>164</v>
      </c>
    </row>
    <row r="62" spans="1:30" x14ac:dyDescent="0.25">
      <c r="A62">
        <v>28</v>
      </c>
      <c r="B62">
        <v>2095</v>
      </c>
      <c r="C62" t="s">
        <v>165</v>
      </c>
      <c r="D62" t="s">
        <v>166</v>
      </c>
      <c r="E62" t="s">
        <v>167</v>
      </c>
      <c r="F62" t="s">
        <v>168</v>
      </c>
      <c r="G62" t="str">
        <f>"201411002923"</f>
        <v>201411002923</v>
      </c>
      <c r="H62" t="s">
        <v>169</v>
      </c>
      <c r="I62">
        <v>150</v>
      </c>
      <c r="J62">
        <v>0</v>
      </c>
      <c r="K62">
        <v>0</v>
      </c>
      <c r="L62">
        <v>200</v>
      </c>
      <c r="M62">
        <v>0</v>
      </c>
      <c r="N62">
        <v>30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84</v>
      </c>
      <c r="W62">
        <v>588</v>
      </c>
      <c r="X62">
        <v>0</v>
      </c>
      <c r="Z62">
        <v>0</v>
      </c>
      <c r="AA62">
        <v>0</v>
      </c>
      <c r="AB62">
        <v>0</v>
      </c>
      <c r="AC62">
        <v>0</v>
      </c>
      <c r="AD62" t="s">
        <v>170</v>
      </c>
    </row>
    <row r="63" spans="1:30" x14ac:dyDescent="0.25">
      <c r="H63" t="s">
        <v>171</v>
      </c>
    </row>
    <row r="64" spans="1:30" x14ac:dyDescent="0.25">
      <c r="A64">
        <v>29</v>
      </c>
      <c r="B64">
        <v>1700</v>
      </c>
      <c r="C64" t="s">
        <v>172</v>
      </c>
      <c r="D64" t="s">
        <v>107</v>
      </c>
      <c r="E64" t="s">
        <v>76</v>
      </c>
      <c r="F64" t="s">
        <v>173</v>
      </c>
      <c r="G64" t="str">
        <f>"201511033215"</f>
        <v>201511033215</v>
      </c>
      <c r="H64">
        <v>693</v>
      </c>
      <c r="I64">
        <v>0</v>
      </c>
      <c r="J64">
        <v>0</v>
      </c>
      <c r="K64">
        <v>0</v>
      </c>
      <c r="L64">
        <v>200</v>
      </c>
      <c r="M64">
        <v>0</v>
      </c>
      <c r="N64">
        <v>30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60</v>
      </c>
      <c r="W64">
        <v>420</v>
      </c>
      <c r="X64">
        <v>0</v>
      </c>
      <c r="Z64">
        <v>0</v>
      </c>
      <c r="AA64">
        <v>0</v>
      </c>
      <c r="AB64">
        <v>24</v>
      </c>
      <c r="AC64">
        <v>408</v>
      </c>
      <c r="AD64">
        <v>1751</v>
      </c>
    </row>
    <row r="65" spans="1:30" x14ac:dyDescent="0.25">
      <c r="H65" t="s">
        <v>174</v>
      </c>
    </row>
    <row r="66" spans="1:30" x14ac:dyDescent="0.25">
      <c r="A66">
        <v>30</v>
      </c>
      <c r="B66">
        <v>6072</v>
      </c>
      <c r="C66" t="s">
        <v>175</v>
      </c>
      <c r="D66" t="s">
        <v>28</v>
      </c>
      <c r="E66" t="s">
        <v>176</v>
      </c>
      <c r="F66" t="s">
        <v>177</v>
      </c>
      <c r="G66" t="str">
        <f>"00175908"</f>
        <v>00175908</v>
      </c>
      <c r="H66">
        <v>737</v>
      </c>
      <c r="I66">
        <v>150</v>
      </c>
      <c r="J66">
        <v>0</v>
      </c>
      <c r="K66">
        <v>0</v>
      </c>
      <c r="L66">
        <v>200</v>
      </c>
      <c r="M66">
        <v>0</v>
      </c>
      <c r="N66">
        <v>30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32</v>
      </c>
      <c r="W66">
        <v>224</v>
      </c>
      <c r="X66">
        <v>0</v>
      </c>
      <c r="Z66">
        <v>0</v>
      </c>
      <c r="AA66">
        <v>0</v>
      </c>
      <c r="AB66">
        <v>24</v>
      </c>
      <c r="AC66">
        <v>408</v>
      </c>
      <c r="AD66">
        <v>1749</v>
      </c>
    </row>
    <row r="67" spans="1:30" x14ac:dyDescent="0.25">
      <c r="H67" t="s">
        <v>178</v>
      </c>
    </row>
    <row r="68" spans="1:30" x14ac:dyDescent="0.25">
      <c r="A68">
        <v>31</v>
      </c>
      <c r="B68">
        <v>681</v>
      </c>
      <c r="C68" t="s">
        <v>179</v>
      </c>
      <c r="D68" t="s">
        <v>180</v>
      </c>
      <c r="E68" t="s">
        <v>181</v>
      </c>
      <c r="F68" t="s">
        <v>182</v>
      </c>
      <c r="G68" t="str">
        <f>"00257931"</f>
        <v>00257931</v>
      </c>
      <c r="H68">
        <v>935</v>
      </c>
      <c r="I68">
        <v>0</v>
      </c>
      <c r="J68">
        <v>0</v>
      </c>
      <c r="K68">
        <v>0</v>
      </c>
      <c r="L68">
        <v>0</v>
      </c>
      <c r="M68">
        <v>0</v>
      </c>
      <c r="N68">
        <v>30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53</v>
      </c>
      <c r="W68">
        <v>371</v>
      </c>
      <c r="X68">
        <v>0</v>
      </c>
      <c r="Z68">
        <v>0</v>
      </c>
      <c r="AA68">
        <v>0</v>
      </c>
      <c r="AB68">
        <v>24</v>
      </c>
      <c r="AC68">
        <v>408</v>
      </c>
      <c r="AD68">
        <v>1744</v>
      </c>
    </row>
    <row r="69" spans="1:30" x14ac:dyDescent="0.25">
      <c r="H69" t="s">
        <v>183</v>
      </c>
    </row>
    <row r="70" spans="1:30" x14ac:dyDescent="0.25">
      <c r="A70">
        <v>32</v>
      </c>
      <c r="B70">
        <v>3454</v>
      </c>
      <c r="C70" t="s">
        <v>184</v>
      </c>
      <c r="D70" t="s">
        <v>185</v>
      </c>
      <c r="E70" t="s">
        <v>28</v>
      </c>
      <c r="F70" t="s">
        <v>186</v>
      </c>
      <c r="G70" t="str">
        <f>"00160079"</f>
        <v>00160079</v>
      </c>
      <c r="H70" t="s">
        <v>187</v>
      </c>
      <c r="I70">
        <v>0</v>
      </c>
      <c r="J70">
        <v>0</v>
      </c>
      <c r="K70">
        <v>0</v>
      </c>
      <c r="L70">
        <v>260</v>
      </c>
      <c r="M70">
        <v>0</v>
      </c>
      <c r="N70">
        <v>30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60</v>
      </c>
      <c r="W70">
        <v>420</v>
      </c>
      <c r="X70">
        <v>0</v>
      </c>
      <c r="Z70">
        <v>0</v>
      </c>
      <c r="AA70">
        <v>0</v>
      </c>
      <c r="AB70">
        <v>24</v>
      </c>
      <c r="AC70">
        <v>408</v>
      </c>
      <c r="AD70" t="s">
        <v>188</v>
      </c>
    </row>
    <row r="71" spans="1:30" x14ac:dyDescent="0.25">
      <c r="H71" t="s">
        <v>189</v>
      </c>
    </row>
    <row r="72" spans="1:30" x14ac:dyDescent="0.25">
      <c r="A72">
        <v>33</v>
      </c>
      <c r="B72">
        <v>4878</v>
      </c>
      <c r="C72" t="s">
        <v>190</v>
      </c>
      <c r="D72" t="s">
        <v>191</v>
      </c>
      <c r="E72" t="s">
        <v>107</v>
      </c>
      <c r="F72" t="s">
        <v>192</v>
      </c>
      <c r="G72" t="str">
        <f>"201406002514"</f>
        <v>201406002514</v>
      </c>
      <c r="H72" t="s">
        <v>169</v>
      </c>
      <c r="I72">
        <v>0</v>
      </c>
      <c r="J72">
        <v>0</v>
      </c>
      <c r="K72">
        <v>0</v>
      </c>
      <c r="L72">
        <v>0</v>
      </c>
      <c r="M72">
        <v>0</v>
      </c>
      <c r="N72">
        <v>50</v>
      </c>
      <c r="O72">
        <v>0</v>
      </c>
      <c r="P72">
        <v>0</v>
      </c>
      <c r="Q72">
        <v>0</v>
      </c>
      <c r="R72">
        <v>0</v>
      </c>
      <c r="S72">
        <v>0</v>
      </c>
      <c r="T72">
        <v>70</v>
      </c>
      <c r="U72">
        <v>0</v>
      </c>
      <c r="V72">
        <v>60</v>
      </c>
      <c r="W72">
        <v>420</v>
      </c>
      <c r="X72">
        <v>0</v>
      </c>
      <c r="Z72">
        <v>0</v>
      </c>
      <c r="AA72">
        <v>0</v>
      </c>
      <c r="AB72">
        <v>24</v>
      </c>
      <c r="AC72">
        <v>408</v>
      </c>
      <c r="AD72" t="s">
        <v>193</v>
      </c>
    </row>
    <row r="73" spans="1:30" x14ac:dyDescent="0.25">
      <c r="H73" t="s">
        <v>194</v>
      </c>
    </row>
    <row r="74" spans="1:30" x14ac:dyDescent="0.25">
      <c r="A74">
        <v>34</v>
      </c>
      <c r="B74">
        <v>2298</v>
      </c>
      <c r="C74" t="s">
        <v>195</v>
      </c>
      <c r="D74" t="s">
        <v>196</v>
      </c>
      <c r="E74" t="s">
        <v>49</v>
      </c>
      <c r="F74" t="s">
        <v>197</v>
      </c>
      <c r="G74" t="str">
        <f>"201406010417"</f>
        <v>201406010417</v>
      </c>
      <c r="H74" t="s">
        <v>198</v>
      </c>
      <c r="I74">
        <v>150</v>
      </c>
      <c r="J74">
        <v>0</v>
      </c>
      <c r="K74">
        <v>0</v>
      </c>
      <c r="L74">
        <v>200</v>
      </c>
      <c r="M74">
        <v>0</v>
      </c>
      <c r="N74">
        <v>70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84</v>
      </c>
      <c r="W74">
        <v>588</v>
      </c>
      <c r="X74">
        <v>0</v>
      </c>
      <c r="Z74">
        <v>0</v>
      </c>
      <c r="AA74">
        <v>0</v>
      </c>
      <c r="AB74">
        <v>0</v>
      </c>
      <c r="AC74">
        <v>0</v>
      </c>
      <c r="AD74" t="s">
        <v>199</v>
      </c>
    </row>
    <row r="75" spans="1:30" x14ac:dyDescent="0.25">
      <c r="H75" t="s">
        <v>200</v>
      </c>
    </row>
    <row r="76" spans="1:30" x14ac:dyDescent="0.25">
      <c r="A76">
        <v>35</v>
      </c>
      <c r="B76">
        <v>5990</v>
      </c>
      <c r="C76" t="s">
        <v>201</v>
      </c>
      <c r="D76" t="s">
        <v>202</v>
      </c>
      <c r="E76" t="s">
        <v>32</v>
      </c>
      <c r="F76" t="s">
        <v>203</v>
      </c>
      <c r="G76" t="str">
        <f>"00344891"</f>
        <v>00344891</v>
      </c>
      <c r="H76" t="s">
        <v>204</v>
      </c>
      <c r="I76">
        <v>0</v>
      </c>
      <c r="J76">
        <v>0</v>
      </c>
      <c r="K76">
        <v>0</v>
      </c>
      <c r="L76">
        <v>200</v>
      </c>
      <c r="M76">
        <v>0</v>
      </c>
      <c r="N76">
        <v>70</v>
      </c>
      <c r="O76">
        <v>0</v>
      </c>
      <c r="P76">
        <v>0</v>
      </c>
      <c r="Q76">
        <v>30</v>
      </c>
      <c r="R76">
        <v>0</v>
      </c>
      <c r="S76">
        <v>0</v>
      </c>
      <c r="T76">
        <v>0</v>
      </c>
      <c r="U76">
        <v>0</v>
      </c>
      <c r="V76">
        <v>84</v>
      </c>
      <c r="W76">
        <v>588</v>
      </c>
      <c r="X76">
        <v>0</v>
      </c>
      <c r="Z76">
        <v>0</v>
      </c>
      <c r="AA76">
        <v>0</v>
      </c>
      <c r="AB76">
        <v>0</v>
      </c>
      <c r="AC76">
        <v>0</v>
      </c>
      <c r="AD76" t="s">
        <v>205</v>
      </c>
    </row>
    <row r="77" spans="1:30" x14ac:dyDescent="0.25">
      <c r="H77" t="s">
        <v>206</v>
      </c>
    </row>
    <row r="78" spans="1:30" x14ac:dyDescent="0.25">
      <c r="A78">
        <v>36</v>
      </c>
      <c r="B78">
        <v>4086</v>
      </c>
      <c r="C78" t="s">
        <v>207</v>
      </c>
      <c r="D78" t="s">
        <v>70</v>
      </c>
      <c r="E78" t="s">
        <v>64</v>
      </c>
      <c r="F78" t="s">
        <v>208</v>
      </c>
      <c r="G78" t="str">
        <f>"201412001348"</f>
        <v>201412001348</v>
      </c>
      <c r="H78" t="s">
        <v>209</v>
      </c>
      <c r="I78">
        <v>0</v>
      </c>
      <c r="J78">
        <v>0</v>
      </c>
      <c r="K78">
        <v>0</v>
      </c>
      <c r="L78">
        <v>200</v>
      </c>
      <c r="M78">
        <v>0</v>
      </c>
      <c r="N78">
        <v>70</v>
      </c>
      <c r="O78">
        <v>30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73</v>
      </c>
      <c r="W78">
        <v>511</v>
      </c>
      <c r="X78">
        <v>0</v>
      </c>
      <c r="Z78">
        <v>0</v>
      </c>
      <c r="AA78">
        <v>0</v>
      </c>
      <c r="AB78">
        <v>0</v>
      </c>
      <c r="AC78">
        <v>0</v>
      </c>
      <c r="AD78" t="s">
        <v>210</v>
      </c>
    </row>
    <row r="79" spans="1:30" x14ac:dyDescent="0.25">
      <c r="H79" t="s">
        <v>211</v>
      </c>
    </row>
    <row r="80" spans="1:30" x14ac:dyDescent="0.25">
      <c r="A80">
        <v>37</v>
      </c>
      <c r="B80">
        <v>4977</v>
      </c>
      <c r="C80" t="s">
        <v>212</v>
      </c>
      <c r="D80" t="s">
        <v>213</v>
      </c>
      <c r="E80" t="s">
        <v>102</v>
      </c>
      <c r="F80" t="s">
        <v>214</v>
      </c>
      <c r="G80" t="str">
        <f>"00298918"</f>
        <v>00298918</v>
      </c>
      <c r="H80" t="s">
        <v>215</v>
      </c>
      <c r="I80">
        <v>0</v>
      </c>
      <c r="J80">
        <v>0</v>
      </c>
      <c r="K80">
        <v>0</v>
      </c>
      <c r="L80">
        <v>200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63</v>
      </c>
      <c r="W80">
        <v>441</v>
      </c>
      <c r="X80">
        <v>0</v>
      </c>
      <c r="Z80">
        <v>0</v>
      </c>
      <c r="AA80">
        <v>0</v>
      </c>
      <c r="AB80">
        <v>21</v>
      </c>
      <c r="AC80">
        <v>357</v>
      </c>
      <c r="AD80" t="s">
        <v>210</v>
      </c>
    </row>
    <row r="81" spans="1:30" x14ac:dyDescent="0.25">
      <c r="H81" t="s">
        <v>216</v>
      </c>
    </row>
    <row r="82" spans="1:30" x14ac:dyDescent="0.25">
      <c r="A82">
        <v>38</v>
      </c>
      <c r="B82">
        <v>5917</v>
      </c>
      <c r="C82" t="s">
        <v>217</v>
      </c>
      <c r="D82" t="s">
        <v>218</v>
      </c>
      <c r="E82" t="s">
        <v>32</v>
      </c>
      <c r="F82" t="s">
        <v>219</v>
      </c>
      <c r="G82" t="str">
        <f>"201511030726"</f>
        <v>201511030726</v>
      </c>
      <c r="H82">
        <v>869</v>
      </c>
      <c r="I82">
        <v>0</v>
      </c>
      <c r="J82">
        <v>0</v>
      </c>
      <c r="K82">
        <v>0</v>
      </c>
      <c r="L82">
        <v>0</v>
      </c>
      <c r="M82">
        <v>0</v>
      </c>
      <c r="N82">
        <v>30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60</v>
      </c>
      <c r="W82">
        <v>420</v>
      </c>
      <c r="X82">
        <v>0</v>
      </c>
      <c r="Z82">
        <v>0</v>
      </c>
      <c r="AA82">
        <v>0</v>
      </c>
      <c r="AB82">
        <v>24</v>
      </c>
      <c r="AC82">
        <v>408</v>
      </c>
      <c r="AD82">
        <v>1727</v>
      </c>
    </row>
    <row r="83" spans="1:30" x14ac:dyDescent="0.25">
      <c r="H83" t="s">
        <v>220</v>
      </c>
    </row>
    <row r="84" spans="1:30" x14ac:dyDescent="0.25">
      <c r="A84">
        <v>39</v>
      </c>
      <c r="B84">
        <v>4588</v>
      </c>
      <c r="C84" t="s">
        <v>221</v>
      </c>
      <c r="D84" t="s">
        <v>32</v>
      </c>
      <c r="E84" t="s">
        <v>107</v>
      </c>
      <c r="F84" t="s">
        <v>222</v>
      </c>
      <c r="G84" t="str">
        <f>"201304003534"</f>
        <v>201304003534</v>
      </c>
      <c r="H84">
        <v>770</v>
      </c>
      <c r="I84">
        <v>150</v>
      </c>
      <c r="J84">
        <v>0</v>
      </c>
      <c r="K84">
        <v>0</v>
      </c>
      <c r="L84">
        <v>200</v>
      </c>
      <c r="M84">
        <v>0</v>
      </c>
      <c r="N84">
        <v>30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82</v>
      </c>
      <c r="W84">
        <v>574</v>
      </c>
      <c r="X84">
        <v>0</v>
      </c>
      <c r="Z84">
        <v>0</v>
      </c>
      <c r="AA84">
        <v>0</v>
      </c>
      <c r="AB84">
        <v>0</v>
      </c>
      <c r="AC84">
        <v>0</v>
      </c>
      <c r="AD84">
        <v>1724</v>
      </c>
    </row>
    <row r="85" spans="1:30" x14ac:dyDescent="0.25">
      <c r="H85" t="s">
        <v>223</v>
      </c>
    </row>
    <row r="86" spans="1:30" x14ac:dyDescent="0.25">
      <c r="A86">
        <v>40</v>
      </c>
      <c r="B86">
        <v>4965</v>
      </c>
      <c r="C86" t="s">
        <v>224</v>
      </c>
      <c r="D86" t="s">
        <v>225</v>
      </c>
      <c r="E86" t="s">
        <v>142</v>
      </c>
      <c r="F86" t="s">
        <v>226</v>
      </c>
      <c r="G86" t="str">
        <f>"201406015865"</f>
        <v>201406015865</v>
      </c>
      <c r="H86">
        <v>814</v>
      </c>
      <c r="I86">
        <v>0</v>
      </c>
      <c r="J86">
        <v>0</v>
      </c>
      <c r="K86">
        <v>0</v>
      </c>
      <c r="L86">
        <v>200</v>
      </c>
      <c r="M86">
        <v>0</v>
      </c>
      <c r="N86">
        <v>70</v>
      </c>
      <c r="O86">
        <v>0</v>
      </c>
      <c r="P86">
        <v>50</v>
      </c>
      <c r="Q86">
        <v>0</v>
      </c>
      <c r="R86">
        <v>0</v>
      </c>
      <c r="S86">
        <v>0</v>
      </c>
      <c r="T86">
        <v>0</v>
      </c>
      <c r="U86">
        <v>0</v>
      </c>
      <c r="V86">
        <v>84</v>
      </c>
      <c r="W86">
        <v>588</v>
      </c>
      <c r="X86">
        <v>0</v>
      </c>
      <c r="Z86">
        <v>0</v>
      </c>
      <c r="AA86">
        <v>0</v>
      </c>
      <c r="AB86">
        <v>0</v>
      </c>
      <c r="AC86">
        <v>0</v>
      </c>
      <c r="AD86">
        <v>1722</v>
      </c>
    </row>
    <row r="87" spans="1:30" x14ac:dyDescent="0.25">
      <c r="H87" t="s">
        <v>227</v>
      </c>
    </row>
    <row r="88" spans="1:30" x14ac:dyDescent="0.25">
      <c r="A88">
        <v>41</v>
      </c>
      <c r="B88">
        <v>4077</v>
      </c>
      <c r="C88" t="s">
        <v>228</v>
      </c>
      <c r="D88" t="s">
        <v>229</v>
      </c>
      <c r="E88" t="s">
        <v>230</v>
      </c>
      <c r="F88" t="s">
        <v>231</v>
      </c>
      <c r="G88" t="str">
        <f>"201406013241"</f>
        <v>201406013241</v>
      </c>
      <c r="H88" t="s">
        <v>232</v>
      </c>
      <c r="I88">
        <v>0</v>
      </c>
      <c r="J88">
        <v>0</v>
      </c>
      <c r="K88">
        <v>0</v>
      </c>
      <c r="L88">
        <v>0</v>
      </c>
      <c r="M88">
        <v>0</v>
      </c>
      <c r="N88">
        <v>70</v>
      </c>
      <c r="O88">
        <v>0</v>
      </c>
      <c r="P88">
        <v>0</v>
      </c>
      <c r="Q88">
        <v>0</v>
      </c>
      <c r="R88">
        <v>0</v>
      </c>
      <c r="S88">
        <v>50</v>
      </c>
      <c r="T88">
        <v>0</v>
      </c>
      <c r="U88">
        <v>0</v>
      </c>
      <c r="V88">
        <v>60</v>
      </c>
      <c r="W88">
        <v>420</v>
      </c>
      <c r="X88">
        <v>0</v>
      </c>
      <c r="Z88">
        <v>0</v>
      </c>
      <c r="AA88">
        <v>0</v>
      </c>
      <c r="AB88">
        <v>24</v>
      </c>
      <c r="AC88">
        <v>408</v>
      </c>
      <c r="AD88" t="s">
        <v>233</v>
      </c>
    </row>
    <row r="89" spans="1:30" x14ac:dyDescent="0.25">
      <c r="H89" t="s">
        <v>234</v>
      </c>
    </row>
    <row r="90" spans="1:30" x14ac:dyDescent="0.25">
      <c r="A90">
        <v>42</v>
      </c>
      <c r="B90">
        <v>1932</v>
      </c>
      <c r="C90" t="s">
        <v>235</v>
      </c>
      <c r="D90" t="s">
        <v>236</v>
      </c>
      <c r="E90" t="s">
        <v>28</v>
      </c>
      <c r="F90" t="s">
        <v>237</v>
      </c>
      <c r="G90" t="str">
        <f>"00314191"</f>
        <v>00314191</v>
      </c>
      <c r="H90" t="s">
        <v>238</v>
      </c>
      <c r="I90">
        <v>0</v>
      </c>
      <c r="J90">
        <v>0</v>
      </c>
      <c r="K90">
        <v>0</v>
      </c>
      <c r="L90">
        <v>0</v>
      </c>
      <c r="M90">
        <v>0</v>
      </c>
      <c r="N90">
        <v>30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60</v>
      </c>
      <c r="W90">
        <v>420</v>
      </c>
      <c r="X90">
        <v>0</v>
      </c>
      <c r="Z90">
        <v>0</v>
      </c>
      <c r="AA90">
        <v>0</v>
      </c>
      <c r="AB90">
        <v>24</v>
      </c>
      <c r="AC90">
        <v>408</v>
      </c>
      <c r="AD90" t="s">
        <v>239</v>
      </c>
    </row>
    <row r="91" spans="1:30" x14ac:dyDescent="0.25">
      <c r="H91" t="s">
        <v>240</v>
      </c>
    </row>
    <row r="92" spans="1:30" x14ac:dyDescent="0.25">
      <c r="A92">
        <v>43</v>
      </c>
      <c r="B92">
        <v>743</v>
      </c>
      <c r="C92" t="s">
        <v>241</v>
      </c>
      <c r="D92" t="s">
        <v>135</v>
      </c>
      <c r="E92" t="s">
        <v>28</v>
      </c>
      <c r="F92" t="s">
        <v>242</v>
      </c>
      <c r="G92" t="str">
        <f>"201402008762"</f>
        <v>201402008762</v>
      </c>
      <c r="H92" t="s">
        <v>243</v>
      </c>
      <c r="I92">
        <v>0</v>
      </c>
      <c r="J92">
        <v>0</v>
      </c>
      <c r="K92">
        <v>0</v>
      </c>
      <c r="L92">
        <v>200</v>
      </c>
      <c r="M92">
        <v>0</v>
      </c>
      <c r="N92">
        <v>70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84</v>
      </c>
      <c r="W92">
        <v>588</v>
      </c>
      <c r="X92">
        <v>0</v>
      </c>
      <c r="Z92">
        <v>0</v>
      </c>
      <c r="AA92">
        <v>0</v>
      </c>
      <c r="AB92">
        <v>0</v>
      </c>
      <c r="AC92">
        <v>0</v>
      </c>
      <c r="AD92" t="s">
        <v>244</v>
      </c>
    </row>
    <row r="93" spans="1:30" x14ac:dyDescent="0.25">
      <c r="H93" t="s">
        <v>245</v>
      </c>
    </row>
    <row r="94" spans="1:30" x14ac:dyDescent="0.25">
      <c r="A94">
        <v>44</v>
      </c>
      <c r="B94">
        <v>2759</v>
      </c>
      <c r="C94" t="s">
        <v>246</v>
      </c>
      <c r="D94" t="s">
        <v>49</v>
      </c>
      <c r="E94" t="s">
        <v>64</v>
      </c>
      <c r="F94" t="s">
        <v>247</v>
      </c>
      <c r="G94" t="str">
        <f>"00158409"</f>
        <v>00158409</v>
      </c>
      <c r="H94" t="s">
        <v>248</v>
      </c>
      <c r="I94">
        <v>0</v>
      </c>
      <c r="J94">
        <v>0</v>
      </c>
      <c r="K94">
        <v>0</v>
      </c>
      <c r="L94">
        <v>200</v>
      </c>
      <c r="M94">
        <v>0</v>
      </c>
      <c r="N94">
        <v>30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60</v>
      </c>
      <c r="W94">
        <v>420</v>
      </c>
      <c r="X94">
        <v>0</v>
      </c>
      <c r="Z94">
        <v>0</v>
      </c>
      <c r="AA94">
        <v>0</v>
      </c>
      <c r="AB94">
        <v>24</v>
      </c>
      <c r="AC94">
        <v>408</v>
      </c>
      <c r="AD94" t="s">
        <v>249</v>
      </c>
    </row>
    <row r="95" spans="1:30" x14ac:dyDescent="0.25">
      <c r="H95" t="s">
        <v>250</v>
      </c>
    </row>
    <row r="96" spans="1:30" x14ac:dyDescent="0.25">
      <c r="A96">
        <v>45</v>
      </c>
      <c r="B96">
        <v>3712</v>
      </c>
      <c r="C96" t="s">
        <v>251</v>
      </c>
      <c r="D96" t="s">
        <v>135</v>
      </c>
      <c r="E96" t="s">
        <v>181</v>
      </c>
      <c r="F96" t="s">
        <v>252</v>
      </c>
      <c r="G96" t="str">
        <f>"201406001970"</f>
        <v>201406001970</v>
      </c>
      <c r="H96">
        <v>704</v>
      </c>
      <c r="I96">
        <v>150</v>
      </c>
      <c r="J96">
        <v>0</v>
      </c>
      <c r="K96">
        <v>0</v>
      </c>
      <c r="L96">
        <v>200</v>
      </c>
      <c r="M96">
        <v>0</v>
      </c>
      <c r="N96">
        <v>70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84</v>
      </c>
      <c r="W96">
        <v>588</v>
      </c>
      <c r="X96">
        <v>0</v>
      </c>
      <c r="Z96">
        <v>0</v>
      </c>
      <c r="AA96">
        <v>0</v>
      </c>
      <c r="AB96">
        <v>0</v>
      </c>
      <c r="AC96">
        <v>0</v>
      </c>
      <c r="AD96">
        <v>1712</v>
      </c>
    </row>
    <row r="97" spans="1:30" x14ac:dyDescent="0.25">
      <c r="H97" t="s">
        <v>253</v>
      </c>
    </row>
    <row r="98" spans="1:30" x14ac:dyDescent="0.25">
      <c r="A98">
        <v>46</v>
      </c>
      <c r="B98">
        <v>569</v>
      </c>
      <c r="C98" t="s">
        <v>48</v>
      </c>
      <c r="D98" t="s">
        <v>254</v>
      </c>
      <c r="E98" t="s">
        <v>255</v>
      </c>
      <c r="F98" t="s">
        <v>256</v>
      </c>
      <c r="G98" t="str">
        <f>"200812000463"</f>
        <v>200812000463</v>
      </c>
      <c r="H98">
        <v>671</v>
      </c>
      <c r="I98">
        <v>0</v>
      </c>
      <c r="J98">
        <v>0</v>
      </c>
      <c r="K98">
        <v>0</v>
      </c>
      <c r="L98">
        <v>200</v>
      </c>
      <c r="M98">
        <v>0</v>
      </c>
      <c r="N98">
        <v>30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62</v>
      </c>
      <c r="W98">
        <v>434</v>
      </c>
      <c r="X98">
        <v>0</v>
      </c>
      <c r="Z98">
        <v>0</v>
      </c>
      <c r="AA98">
        <v>0</v>
      </c>
      <c r="AB98">
        <v>22</v>
      </c>
      <c r="AC98">
        <v>374</v>
      </c>
      <c r="AD98">
        <v>1709</v>
      </c>
    </row>
    <row r="99" spans="1:30" x14ac:dyDescent="0.25">
      <c r="H99" t="s">
        <v>257</v>
      </c>
    </row>
    <row r="100" spans="1:30" x14ac:dyDescent="0.25">
      <c r="A100">
        <v>47</v>
      </c>
      <c r="B100">
        <v>4694</v>
      </c>
      <c r="C100" t="s">
        <v>258</v>
      </c>
      <c r="D100" t="s">
        <v>191</v>
      </c>
      <c r="E100" t="s">
        <v>49</v>
      </c>
      <c r="F100" t="s">
        <v>259</v>
      </c>
      <c r="G100" t="str">
        <f>"00104236"</f>
        <v>00104236</v>
      </c>
      <c r="H100" t="s">
        <v>260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30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60</v>
      </c>
      <c r="W100">
        <v>420</v>
      </c>
      <c r="X100">
        <v>0</v>
      </c>
      <c r="Z100">
        <v>0</v>
      </c>
      <c r="AA100">
        <v>0</v>
      </c>
      <c r="AB100">
        <v>24</v>
      </c>
      <c r="AC100">
        <v>408</v>
      </c>
      <c r="AD100" t="s">
        <v>261</v>
      </c>
    </row>
    <row r="101" spans="1:30" x14ac:dyDescent="0.25">
      <c r="H101" t="s">
        <v>262</v>
      </c>
    </row>
    <row r="102" spans="1:30" x14ac:dyDescent="0.25">
      <c r="A102">
        <v>48</v>
      </c>
      <c r="B102">
        <v>6044</v>
      </c>
      <c r="C102" t="s">
        <v>263</v>
      </c>
      <c r="D102" t="s">
        <v>225</v>
      </c>
      <c r="E102" t="s">
        <v>120</v>
      </c>
      <c r="F102" t="s">
        <v>264</v>
      </c>
      <c r="G102" t="str">
        <f>"200905000591"</f>
        <v>200905000591</v>
      </c>
      <c r="H102" t="s">
        <v>265</v>
      </c>
      <c r="I102">
        <v>150</v>
      </c>
      <c r="J102">
        <v>0</v>
      </c>
      <c r="K102">
        <v>0</v>
      </c>
      <c r="L102">
        <v>0</v>
      </c>
      <c r="M102">
        <v>0</v>
      </c>
      <c r="N102">
        <v>30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60</v>
      </c>
      <c r="W102">
        <v>420</v>
      </c>
      <c r="X102">
        <v>0</v>
      </c>
      <c r="Z102">
        <v>1</v>
      </c>
      <c r="AA102">
        <v>0</v>
      </c>
      <c r="AB102">
        <v>24</v>
      </c>
      <c r="AC102">
        <v>408</v>
      </c>
      <c r="AD102" t="s">
        <v>266</v>
      </c>
    </row>
    <row r="103" spans="1:30" x14ac:dyDescent="0.25">
      <c r="H103" t="s">
        <v>267</v>
      </c>
    </row>
    <row r="104" spans="1:30" x14ac:dyDescent="0.25">
      <c r="A104">
        <v>49</v>
      </c>
      <c r="B104">
        <v>6000</v>
      </c>
      <c r="C104" t="s">
        <v>268</v>
      </c>
      <c r="D104" t="s">
        <v>102</v>
      </c>
      <c r="E104" t="s">
        <v>120</v>
      </c>
      <c r="F104" t="s">
        <v>269</v>
      </c>
      <c r="G104" t="str">
        <f>"00198564"</f>
        <v>00198564</v>
      </c>
      <c r="H104">
        <v>847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30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60</v>
      </c>
      <c r="W104">
        <v>420</v>
      </c>
      <c r="X104">
        <v>0</v>
      </c>
      <c r="Z104">
        <v>0</v>
      </c>
      <c r="AA104">
        <v>0</v>
      </c>
      <c r="AB104">
        <v>24</v>
      </c>
      <c r="AC104">
        <v>408</v>
      </c>
      <c r="AD104">
        <v>1705</v>
      </c>
    </row>
    <row r="105" spans="1:30" x14ac:dyDescent="0.25">
      <c r="H105" t="s">
        <v>270</v>
      </c>
    </row>
    <row r="106" spans="1:30" x14ac:dyDescent="0.25">
      <c r="A106">
        <v>50</v>
      </c>
      <c r="B106">
        <v>3536</v>
      </c>
      <c r="C106" t="s">
        <v>271</v>
      </c>
      <c r="D106" t="s">
        <v>102</v>
      </c>
      <c r="E106" t="s">
        <v>107</v>
      </c>
      <c r="F106" t="s">
        <v>272</v>
      </c>
      <c r="G106" t="str">
        <f>"201412006996"</f>
        <v>201412006996</v>
      </c>
      <c r="H106" t="s">
        <v>273</v>
      </c>
      <c r="I106">
        <v>150</v>
      </c>
      <c r="J106">
        <v>0</v>
      </c>
      <c r="K106">
        <v>0</v>
      </c>
      <c r="L106">
        <v>0</v>
      </c>
      <c r="M106">
        <v>0</v>
      </c>
      <c r="N106">
        <v>30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74</v>
      </c>
      <c r="W106">
        <v>518</v>
      </c>
      <c r="X106">
        <v>0</v>
      </c>
      <c r="Z106">
        <v>0</v>
      </c>
      <c r="AA106">
        <v>0</v>
      </c>
      <c r="AB106">
        <v>0</v>
      </c>
      <c r="AC106">
        <v>0</v>
      </c>
      <c r="AD106" t="s">
        <v>274</v>
      </c>
    </row>
    <row r="107" spans="1:30" x14ac:dyDescent="0.25">
      <c r="H107" t="s">
        <v>275</v>
      </c>
    </row>
    <row r="108" spans="1:30" x14ac:dyDescent="0.25">
      <c r="A108">
        <v>51</v>
      </c>
      <c r="B108">
        <v>5976</v>
      </c>
      <c r="C108" t="s">
        <v>276</v>
      </c>
      <c r="D108" t="s">
        <v>277</v>
      </c>
      <c r="E108" t="s">
        <v>255</v>
      </c>
      <c r="F108" t="s">
        <v>278</v>
      </c>
      <c r="G108" t="str">
        <f>"201410007539"</f>
        <v>201410007539</v>
      </c>
      <c r="H108" t="s">
        <v>279</v>
      </c>
      <c r="I108">
        <v>0</v>
      </c>
      <c r="J108">
        <v>0</v>
      </c>
      <c r="K108">
        <v>0</v>
      </c>
      <c r="L108">
        <v>200</v>
      </c>
      <c r="M108">
        <v>0</v>
      </c>
      <c r="N108">
        <v>70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84</v>
      </c>
      <c r="W108">
        <v>588</v>
      </c>
      <c r="X108">
        <v>0</v>
      </c>
      <c r="Z108">
        <v>0</v>
      </c>
      <c r="AA108">
        <v>0</v>
      </c>
      <c r="AB108">
        <v>0</v>
      </c>
      <c r="AC108">
        <v>0</v>
      </c>
      <c r="AD108" t="s">
        <v>280</v>
      </c>
    </row>
    <row r="109" spans="1:30" x14ac:dyDescent="0.25">
      <c r="H109" t="s">
        <v>281</v>
      </c>
    </row>
    <row r="110" spans="1:30" x14ac:dyDescent="0.25">
      <c r="A110">
        <v>52</v>
      </c>
      <c r="B110">
        <v>5101</v>
      </c>
      <c r="C110" t="s">
        <v>282</v>
      </c>
      <c r="D110" t="s">
        <v>283</v>
      </c>
      <c r="E110" t="s">
        <v>120</v>
      </c>
      <c r="F110" t="s">
        <v>284</v>
      </c>
      <c r="G110" t="str">
        <f>"00140087"</f>
        <v>00140087</v>
      </c>
      <c r="H110" t="s">
        <v>285</v>
      </c>
      <c r="I110">
        <v>150</v>
      </c>
      <c r="J110">
        <v>0</v>
      </c>
      <c r="K110">
        <v>0</v>
      </c>
      <c r="L110">
        <v>200</v>
      </c>
      <c r="M110">
        <v>0</v>
      </c>
      <c r="N110">
        <v>70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84</v>
      </c>
      <c r="W110">
        <v>588</v>
      </c>
      <c r="X110">
        <v>0</v>
      </c>
      <c r="Z110">
        <v>1</v>
      </c>
      <c r="AA110">
        <v>0</v>
      </c>
      <c r="AB110">
        <v>0</v>
      </c>
      <c r="AC110">
        <v>0</v>
      </c>
      <c r="AD110" t="s">
        <v>286</v>
      </c>
    </row>
    <row r="111" spans="1:30" x14ac:dyDescent="0.25">
      <c r="H111" t="s">
        <v>287</v>
      </c>
    </row>
    <row r="112" spans="1:30" x14ac:dyDescent="0.25">
      <c r="A112">
        <v>53</v>
      </c>
      <c r="B112">
        <v>3950</v>
      </c>
      <c r="C112" t="s">
        <v>288</v>
      </c>
      <c r="D112" t="s">
        <v>102</v>
      </c>
      <c r="E112" t="s">
        <v>289</v>
      </c>
      <c r="F112" t="s">
        <v>290</v>
      </c>
      <c r="G112" t="str">
        <f>"201406015369"</f>
        <v>201406015369</v>
      </c>
      <c r="H112" t="s">
        <v>291</v>
      </c>
      <c r="I112">
        <v>0</v>
      </c>
      <c r="J112">
        <v>0</v>
      </c>
      <c r="K112">
        <v>0</v>
      </c>
      <c r="L112">
        <v>200</v>
      </c>
      <c r="M112">
        <v>0</v>
      </c>
      <c r="N112">
        <v>70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84</v>
      </c>
      <c r="W112">
        <v>588</v>
      </c>
      <c r="X112">
        <v>0</v>
      </c>
      <c r="Z112">
        <v>0</v>
      </c>
      <c r="AA112">
        <v>0</v>
      </c>
      <c r="AB112">
        <v>0</v>
      </c>
      <c r="AC112">
        <v>0</v>
      </c>
      <c r="AD112" t="s">
        <v>292</v>
      </c>
    </row>
    <row r="113" spans="1:30" x14ac:dyDescent="0.25">
      <c r="H113" t="s">
        <v>293</v>
      </c>
    </row>
    <row r="114" spans="1:30" x14ac:dyDescent="0.25">
      <c r="A114">
        <v>54</v>
      </c>
      <c r="B114">
        <v>2428</v>
      </c>
      <c r="C114" t="s">
        <v>294</v>
      </c>
      <c r="D114" t="s">
        <v>218</v>
      </c>
      <c r="E114" t="s">
        <v>295</v>
      </c>
      <c r="F114" t="s">
        <v>296</v>
      </c>
      <c r="G114" t="str">
        <f>"00148850"</f>
        <v>00148850</v>
      </c>
      <c r="H114">
        <v>737</v>
      </c>
      <c r="I114">
        <v>0</v>
      </c>
      <c r="J114">
        <v>0</v>
      </c>
      <c r="K114">
        <v>0</v>
      </c>
      <c r="L114">
        <v>200</v>
      </c>
      <c r="M114">
        <v>30</v>
      </c>
      <c r="N114">
        <v>70</v>
      </c>
      <c r="O114">
        <v>0</v>
      </c>
      <c r="P114">
        <v>0</v>
      </c>
      <c r="Q114">
        <v>70</v>
      </c>
      <c r="R114">
        <v>0</v>
      </c>
      <c r="S114">
        <v>0</v>
      </c>
      <c r="T114">
        <v>0</v>
      </c>
      <c r="U114">
        <v>0</v>
      </c>
      <c r="V114">
        <v>84</v>
      </c>
      <c r="W114">
        <v>588</v>
      </c>
      <c r="X114">
        <v>0</v>
      </c>
      <c r="Z114">
        <v>0</v>
      </c>
      <c r="AA114">
        <v>0</v>
      </c>
      <c r="AB114">
        <v>0</v>
      </c>
      <c r="AC114">
        <v>0</v>
      </c>
      <c r="AD114">
        <v>1695</v>
      </c>
    </row>
    <row r="115" spans="1:30" x14ac:dyDescent="0.25">
      <c r="H115" t="s">
        <v>297</v>
      </c>
    </row>
    <row r="116" spans="1:30" x14ac:dyDescent="0.25">
      <c r="A116">
        <v>55</v>
      </c>
      <c r="B116">
        <v>5133</v>
      </c>
      <c r="C116" t="s">
        <v>298</v>
      </c>
      <c r="D116" t="s">
        <v>299</v>
      </c>
      <c r="E116" t="s">
        <v>102</v>
      </c>
      <c r="F116" t="s">
        <v>300</v>
      </c>
      <c r="G116" t="str">
        <f>"201406018512"</f>
        <v>201406018512</v>
      </c>
      <c r="H116">
        <v>836</v>
      </c>
      <c r="I116">
        <v>0</v>
      </c>
      <c r="J116">
        <v>0</v>
      </c>
      <c r="K116">
        <v>0</v>
      </c>
      <c r="L116">
        <v>200</v>
      </c>
      <c r="M116">
        <v>0</v>
      </c>
      <c r="N116">
        <v>70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84</v>
      </c>
      <c r="W116">
        <v>588</v>
      </c>
      <c r="X116">
        <v>0</v>
      </c>
      <c r="Z116">
        <v>0</v>
      </c>
      <c r="AA116">
        <v>0</v>
      </c>
      <c r="AB116">
        <v>0</v>
      </c>
      <c r="AC116">
        <v>0</v>
      </c>
      <c r="AD116">
        <v>1694</v>
      </c>
    </row>
    <row r="117" spans="1:30" x14ac:dyDescent="0.25">
      <c r="H117" t="s">
        <v>301</v>
      </c>
    </row>
    <row r="118" spans="1:30" x14ac:dyDescent="0.25">
      <c r="A118">
        <v>56</v>
      </c>
      <c r="B118">
        <v>339</v>
      </c>
      <c r="C118" t="s">
        <v>302</v>
      </c>
      <c r="D118" t="s">
        <v>303</v>
      </c>
      <c r="E118" t="s">
        <v>102</v>
      </c>
      <c r="F118" t="s">
        <v>304</v>
      </c>
      <c r="G118" t="str">
        <f>"201408000226"</f>
        <v>201408000226</v>
      </c>
      <c r="H118">
        <v>902</v>
      </c>
      <c r="I118">
        <v>0</v>
      </c>
      <c r="J118">
        <v>0</v>
      </c>
      <c r="K118">
        <v>0</v>
      </c>
      <c r="L118">
        <v>200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84</v>
      </c>
      <c r="W118">
        <v>588</v>
      </c>
      <c r="X118">
        <v>0</v>
      </c>
      <c r="Z118">
        <v>0</v>
      </c>
      <c r="AA118">
        <v>0</v>
      </c>
      <c r="AB118">
        <v>0</v>
      </c>
      <c r="AC118">
        <v>0</v>
      </c>
      <c r="AD118">
        <v>1690</v>
      </c>
    </row>
    <row r="119" spans="1:30" x14ac:dyDescent="0.25">
      <c r="H119">
        <v>1255</v>
      </c>
    </row>
    <row r="120" spans="1:30" x14ac:dyDescent="0.25">
      <c r="A120">
        <v>57</v>
      </c>
      <c r="B120">
        <v>315</v>
      </c>
      <c r="C120" t="s">
        <v>305</v>
      </c>
      <c r="D120" t="s">
        <v>306</v>
      </c>
      <c r="E120" t="s">
        <v>255</v>
      </c>
      <c r="F120" t="s">
        <v>307</v>
      </c>
      <c r="G120" t="str">
        <f>"00262504"</f>
        <v>00262504</v>
      </c>
      <c r="H120">
        <v>704</v>
      </c>
      <c r="I120">
        <v>0</v>
      </c>
      <c r="J120">
        <v>520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66</v>
      </c>
      <c r="W120">
        <v>462</v>
      </c>
      <c r="X120">
        <v>0</v>
      </c>
      <c r="Z120">
        <v>1</v>
      </c>
      <c r="AA120">
        <v>0</v>
      </c>
      <c r="AB120">
        <v>0</v>
      </c>
      <c r="AC120">
        <v>0</v>
      </c>
      <c r="AD120">
        <v>1686</v>
      </c>
    </row>
    <row r="121" spans="1:30" x14ac:dyDescent="0.25">
      <c r="H121">
        <v>1255</v>
      </c>
    </row>
    <row r="122" spans="1:30" x14ac:dyDescent="0.25">
      <c r="A122">
        <v>58</v>
      </c>
      <c r="B122">
        <v>6106</v>
      </c>
      <c r="C122" t="s">
        <v>308</v>
      </c>
      <c r="D122" t="s">
        <v>283</v>
      </c>
      <c r="E122" t="s">
        <v>309</v>
      </c>
      <c r="F122" t="s">
        <v>310</v>
      </c>
      <c r="G122" t="str">
        <f>"00369136"</f>
        <v>00369136</v>
      </c>
      <c r="H122" t="s">
        <v>311</v>
      </c>
      <c r="I122">
        <v>0</v>
      </c>
      <c r="J122">
        <v>0</v>
      </c>
      <c r="K122">
        <v>0</v>
      </c>
      <c r="L122">
        <v>200</v>
      </c>
      <c r="M122">
        <v>0</v>
      </c>
      <c r="N122">
        <v>70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56</v>
      </c>
      <c r="W122">
        <v>392</v>
      </c>
      <c r="X122">
        <v>0</v>
      </c>
      <c r="Z122">
        <v>0</v>
      </c>
      <c r="AA122">
        <v>0</v>
      </c>
      <c r="AB122">
        <v>14</v>
      </c>
      <c r="AC122">
        <v>238</v>
      </c>
      <c r="AD122" t="s">
        <v>312</v>
      </c>
    </row>
    <row r="123" spans="1:30" x14ac:dyDescent="0.25">
      <c r="H123" t="s">
        <v>313</v>
      </c>
    </row>
    <row r="124" spans="1:30" x14ac:dyDescent="0.25">
      <c r="A124">
        <v>59</v>
      </c>
      <c r="B124">
        <v>3084</v>
      </c>
      <c r="C124" t="s">
        <v>314</v>
      </c>
      <c r="D124" t="s">
        <v>315</v>
      </c>
      <c r="E124" t="s">
        <v>32</v>
      </c>
      <c r="F124" t="s">
        <v>316</v>
      </c>
      <c r="G124" t="str">
        <f>"00206543"</f>
        <v>00206543</v>
      </c>
      <c r="H124">
        <v>814</v>
      </c>
      <c r="I124">
        <v>0</v>
      </c>
      <c r="J124">
        <v>0</v>
      </c>
      <c r="K124">
        <v>0</v>
      </c>
      <c r="L124">
        <v>200</v>
      </c>
      <c r="M124">
        <v>0</v>
      </c>
      <c r="N124">
        <v>50</v>
      </c>
      <c r="O124">
        <v>0</v>
      </c>
      <c r="P124">
        <v>30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84</v>
      </c>
      <c r="W124">
        <v>588</v>
      </c>
      <c r="X124">
        <v>0</v>
      </c>
      <c r="Z124">
        <v>0</v>
      </c>
      <c r="AA124">
        <v>0</v>
      </c>
      <c r="AB124">
        <v>0</v>
      </c>
      <c r="AC124">
        <v>0</v>
      </c>
      <c r="AD124">
        <v>1682</v>
      </c>
    </row>
    <row r="125" spans="1:30" x14ac:dyDescent="0.25">
      <c r="H125" t="s">
        <v>317</v>
      </c>
    </row>
    <row r="126" spans="1:30" x14ac:dyDescent="0.25">
      <c r="A126">
        <v>60</v>
      </c>
      <c r="B126">
        <v>5271</v>
      </c>
      <c r="C126" t="s">
        <v>318</v>
      </c>
      <c r="D126" t="s">
        <v>319</v>
      </c>
      <c r="E126" t="s">
        <v>102</v>
      </c>
      <c r="F126" t="s">
        <v>320</v>
      </c>
      <c r="G126" t="str">
        <f>"201402006625"</f>
        <v>201402006625</v>
      </c>
      <c r="H126" t="s">
        <v>321</v>
      </c>
      <c r="I126">
        <v>0</v>
      </c>
      <c r="J126">
        <v>0</v>
      </c>
      <c r="K126">
        <v>0</v>
      </c>
      <c r="L126">
        <v>200</v>
      </c>
      <c r="M126">
        <v>0</v>
      </c>
      <c r="N126">
        <v>50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84</v>
      </c>
      <c r="W126">
        <v>588</v>
      </c>
      <c r="X126">
        <v>0</v>
      </c>
      <c r="Z126">
        <v>0</v>
      </c>
      <c r="AA126">
        <v>0</v>
      </c>
      <c r="AB126">
        <v>0</v>
      </c>
      <c r="AC126">
        <v>0</v>
      </c>
      <c r="AD126" t="s">
        <v>322</v>
      </c>
    </row>
    <row r="127" spans="1:30" x14ac:dyDescent="0.25">
      <c r="H127" t="s">
        <v>323</v>
      </c>
    </row>
    <row r="128" spans="1:30" x14ac:dyDescent="0.25">
      <c r="A128">
        <v>61</v>
      </c>
      <c r="B128">
        <v>1364</v>
      </c>
      <c r="C128" t="s">
        <v>324</v>
      </c>
      <c r="D128" t="s">
        <v>283</v>
      </c>
      <c r="E128" t="s">
        <v>325</v>
      </c>
      <c r="F128" t="s">
        <v>326</v>
      </c>
      <c r="G128" t="str">
        <f>"200801003186"</f>
        <v>200801003186</v>
      </c>
      <c r="H128">
        <v>792</v>
      </c>
      <c r="I128">
        <v>0</v>
      </c>
      <c r="J128">
        <v>0</v>
      </c>
      <c r="K128">
        <v>0</v>
      </c>
      <c r="L128">
        <v>200</v>
      </c>
      <c r="M128">
        <v>0</v>
      </c>
      <c r="N128">
        <v>70</v>
      </c>
      <c r="O128">
        <v>0</v>
      </c>
      <c r="P128">
        <v>0</v>
      </c>
      <c r="Q128">
        <v>30</v>
      </c>
      <c r="R128">
        <v>0</v>
      </c>
      <c r="S128">
        <v>0</v>
      </c>
      <c r="T128">
        <v>0</v>
      </c>
      <c r="U128">
        <v>0</v>
      </c>
      <c r="V128">
        <v>84</v>
      </c>
      <c r="W128">
        <v>588</v>
      </c>
      <c r="X128">
        <v>0</v>
      </c>
      <c r="Z128">
        <v>0</v>
      </c>
      <c r="AA128">
        <v>0</v>
      </c>
      <c r="AB128">
        <v>0</v>
      </c>
      <c r="AC128">
        <v>0</v>
      </c>
      <c r="AD128">
        <v>1680</v>
      </c>
    </row>
    <row r="129" spans="1:30" x14ac:dyDescent="0.25">
      <c r="H129" t="s">
        <v>327</v>
      </c>
    </row>
    <row r="130" spans="1:30" x14ac:dyDescent="0.25">
      <c r="A130">
        <v>62</v>
      </c>
      <c r="B130">
        <v>3115</v>
      </c>
      <c r="C130" t="s">
        <v>328</v>
      </c>
      <c r="D130" t="s">
        <v>180</v>
      </c>
      <c r="E130" t="s">
        <v>33</v>
      </c>
      <c r="F130" t="s">
        <v>329</v>
      </c>
      <c r="G130" t="str">
        <f>"201406000284"</f>
        <v>201406000284</v>
      </c>
      <c r="H130">
        <v>792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30</v>
      </c>
      <c r="O130">
        <v>0</v>
      </c>
      <c r="P130">
        <v>30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60</v>
      </c>
      <c r="W130">
        <v>420</v>
      </c>
      <c r="X130">
        <v>0</v>
      </c>
      <c r="Z130">
        <v>0</v>
      </c>
      <c r="AA130">
        <v>0</v>
      </c>
      <c r="AB130">
        <v>24</v>
      </c>
      <c r="AC130">
        <v>408</v>
      </c>
      <c r="AD130">
        <v>1680</v>
      </c>
    </row>
    <row r="131" spans="1:30" x14ac:dyDescent="0.25">
      <c r="H131" t="s">
        <v>330</v>
      </c>
    </row>
    <row r="132" spans="1:30" x14ac:dyDescent="0.25">
      <c r="A132">
        <v>63</v>
      </c>
      <c r="B132">
        <v>5022</v>
      </c>
      <c r="C132" t="s">
        <v>331</v>
      </c>
      <c r="D132" t="s">
        <v>332</v>
      </c>
      <c r="E132" t="s">
        <v>32</v>
      </c>
      <c r="F132" t="s">
        <v>333</v>
      </c>
      <c r="G132" t="str">
        <f>"00224861"</f>
        <v>00224861</v>
      </c>
      <c r="H132" t="s">
        <v>97</v>
      </c>
      <c r="I132">
        <v>0</v>
      </c>
      <c r="J132">
        <v>0</v>
      </c>
      <c r="K132">
        <v>0</v>
      </c>
      <c r="L132">
        <v>200</v>
      </c>
      <c r="M132">
        <v>0</v>
      </c>
      <c r="N132">
        <v>70</v>
      </c>
      <c r="O132">
        <v>30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84</v>
      </c>
      <c r="W132">
        <v>588</v>
      </c>
      <c r="X132">
        <v>0</v>
      </c>
      <c r="Z132">
        <v>0</v>
      </c>
      <c r="AA132">
        <v>0</v>
      </c>
      <c r="AB132">
        <v>0</v>
      </c>
      <c r="AC132">
        <v>0</v>
      </c>
      <c r="AD132" t="s">
        <v>334</v>
      </c>
    </row>
    <row r="133" spans="1:30" x14ac:dyDescent="0.25">
      <c r="H133" t="s">
        <v>335</v>
      </c>
    </row>
    <row r="134" spans="1:30" x14ac:dyDescent="0.25">
      <c r="A134">
        <v>64</v>
      </c>
      <c r="B134">
        <v>1634</v>
      </c>
      <c r="C134" t="s">
        <v>336</v>
      </c>
      <c r="D134" t="s">
        <v>337</v>
      </c>
      <c r="E134" t="s">
        <v>141</v>
      </c>
      <c r="F134" t="s">
        <v>338</v>
      </c>
      <c r="G134" t="str">
        <f>"00148504"</f>
        <v>00148504</v>
      </c>
      <c r="H134" t="s">
        <v>339</v>
      </c>
      <c r="I134">
        <v>150</v>
      </c>
      <c r="J134">
        <v>0</v>
      </c>
      <c r="K134">
        <v>0</v>
      </c>
      <c r="L134">
        <v>200</v>
      </c>
      <c r="M134">
        <v>0</v>
      </c>
      <c r="N134">
        <v>30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77</v>
      </c>
      <c r="W134">
        <v>539</v>
      </c>
      <c r="X134">
        <v>0</v>
      </c>
      <c r="Z134">
        <v>0</v>
      </c>
      <c r="AA134">
        <v>0</v>
      </c>
      <c r="AB134">
        <v>0</v>
      </c>
      <c r="AC134">
        <v>0</v>
      </c>
      <c r="AD134" t="s">
        <v>340</v>
      </c>
    </row>
    <row r="135" spans="1:30" x14ac:dyDescent="0.25">
      <c r="H135" t="s">
        <v>341</v>
      </c>
    </row>
    <row r="136" spans="1:30" x14ac:dyDescent="0.25">
      <c r="A136">
        <v>65</v>
      </c>
      <c r="B136">
        <v>1635</v>
      </c>
      <c r="C136" t="s">
        <v>342</v>
      </c>
      <c r="D136" t="s">
        <v>102</v>
      </c>
      <c r="E136" t="s">
        <v>84</v>
      </c>
      <c r="F136" t="s">
        <v>343</v>
      </c>
      <c r="G136" t="str">
        <f>"201405002185"</f>
        <v>201405002185</v>
      </c>
      <c r="H136">
        <v>825</v>
      </c>
      <c r="I136">
        <v>0</v>
      </c>
      <c r="J136">
        <v>0</v>
      </c>
      <c r="K136">
        <v>0</v>
      </c>
      <c r="L136">
        <v>200</v>
      </c>
      <c r="M136">
        <v>0</v>
      </c>
      <c r="N136">
        <v>50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84</v>
      </c>
      <c r="W136">
        <v>588</v>
      </c>
      <c r="X136">
        <v>0</v>
      </c>
      <c r="Z136">
        <v>0</v>
      </c>
      <c r="AA136">
        <v>0</v>
      </c>
      <c r="AB136">
        <v>0</v>
      </c>
      <c r="AC136">
        <v>0</v>
      </c>
      <c r="AD136">
        <v>1663</v>
      </c>
    </row>
    <row r="137" spans="1:30" x14ac:dyDescent="0.25">
      <c r="H137" t="s">
        <v>344</v>
      </c>
    </row>
    <row r="138" spans="1:30" x14ac:dyDescent="0.25">
      <c r="A138">
        <v>66</v>
      </c>
      <c r="B138">
        <v>2770</v>
      </c>
      <c r="C138" t="s">
        <v>345</v>
      </c>
      <c r="D138" t="s">
        <v>346</v>
      </c>
      <c r="E138" t="s">
        <v>347</v>
      </c>
      <c r="F138" t="s">
        <v>348</v>
      </c>
      <c r="G138" t="str">
        <f>"00239809"</f>
        <v>00239809</v>
      </c>
      <c r="H138" t="s">
        <v>349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70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60</v>
      </c>
      <c r="W138">
        <v>420</v>
      </c>
      <c r="X138">
        <v>0</v>
      </c>
      <c r="Z138">
        <v>0</v>
      </c>
      <c r="AA138">
        <v>0</v>
      </c>
      <c r="AB138">
        <v>24</v>
      </c>
      <c r="AC138">
        <v>408</v>
      </c>
      <c r="AD138" t="s">
        <v>350</v>
      </c>
    </row>
    <row r="139" spans="1:30" x14ac:dyDescent="0.25">
      <c r="H139" t="s">
        <v>351</v>
      </c>
    </row>
    <row r="140" spans="1:30" x14ac:dyDescent="0.25">
      <c r="A140">
        <v>67</v>
      </c>
      <c r="B140">
        <v>2165</v>
      </c>
      <c r="C140" t="s">
        <v>352</v>
      </c>
      <c r="D140" t="s">
        <v>191</v>
      </c>
      <c r="E140" t="s">
        <v>64</v>
      </c>
      <c r="F140" t="s">
        <v>353</v>
      </c>
      <c r="G140" t="str">
        <f>"201406016078"</f>
        <v>201406016078</v>
      </c>
      <c r="H140" t="s">
        <v>354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70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57</v>
      </c>
      <c r="W140">
        <v>399</v>
      </c>
      <c r="X140">
        <v>0</v>
      </c>
      <c r="Z140">
        <v>0</v>
      </c>
      <c r="AA140">
        <v>0</v>
      </c>
      <c r="AB140">
        <v>18</v>
      </c>
      <c r="AC140">
        <v>306</v>
      </c>
      <c r="AD140" t="s">
        <v>355</v>
      </c>
    </row>
    <row r="141" spans="1:30" x14ac:dyDescent="0.25">
      <c r="H141" t="s">
        <v>356</v>
      </c>
    </row>
    <row r="142" spans="1:30" x14ac:dyDescent="0.25">
      <c r="A142">
        <v>68</v>
      </c>
      <c r="B142">
        <v>510</v>
      </c>
      <c r="C142" t="s">
        <v>357</v>
      </c>
      <c r="D142" t="s">
        <v>358</v>
      </c>
      <c r="E142" t="s">
        <v>120</v>
      </c>
      <c r="F142" t="s">
        <v>359</v>
      </c>
      <c r="G142" t="str">
        <f>"201506001641"</f>
        <v>201506001641</v>
      </c>
      <c r="H142">
        <v>792</v>
      </c>
      <c r="I142">
        <v>150</v>
      </c>
      <c r="J142">
        <v>0</v>
      </c>
      <c r="K142">
        <v>0</v>
      </c>
      <c r="L142">
        <v>0</v>
      </c>
      <c r="M142">
        <v>100</v>
      </c>
      <c r="N142">
        <v>30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84</v>
      </c>
      <c r="W142">
        <v>588</v>
      </c>
      <c r="X142">
        <v>0</v>
      </c>
      <c r="Z142">
        <v>0</v>
      </c>
      <c r="AA142">
        <v>0</v>
      </c>
      <c r="AB142">
        <v>0</v>
      </c>
      <c r="AC142">
        <v>0</v>
      </c>
      <c r="AD142">
        <v>1660</v>
      </c>
    </row>
    <row r="143" spans="1:30" x14ac:dyDescent="0.25">
      <c r="H143" t="s">
        <v>360</v>
      </c>
    </row>
    <row r="144" spans="1:30" x14ac:dyDescent="0.25">
      <c r="A144">
        <v>69</v>
      </c>
      <c r="B144">
        <v>1098</v>
      </c>
      <c r="C144" t="s">
        <v>361</v>
      </c>
      <c r="D144" t="s">
        <v>76</v>
      </c>
      <c r="E144" t="s">
        <v>102</v>
      </c>
      <c r="F144" t="s">
        <v>362</v>
      </c>
      <c r="G144" t="str">
        <f>"200809000863"</f>
        <v>200809000863</v>
      </c>
      <c r="H144" t="s">
        <v>363</v>
      </c>
      <c r="I144">
        <v>0</v>
      </c>
      <c r="J144">
        <v>0</v>
      </c>
      <c r="K144">
        <v>0</v>
      </c>
      <c r="L144">
        <v>200</v>
      </c>
      <c r="M144">
        <v>0</v>
      </c>
      <c r="N144">
        <v>70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42</v>
      </c>
      <c r="W144">
        <v>294</v>
      </c>
      <c r="X144">
        <v>0</v>
      </c>
      <c r="Z144">
        <v>0</v>
      </c>
      <c r="AA144">
        <v>0</v>
      </c>
      <c r="AB144">
        <v>24</v>
      </c>
      <c r="AC144">
        <v>408</v>
      </c>
      <c r="AD144" t="s">
        <v>364</v>
      </c>
    </row>
    <row r="145" spans="1:30" x14ac:dyDescent="0.25">
      <c r="H145" t="s">
        <v>365</v>
      </c>
    </row>
    <row r="146" spans="1:30" x14ac:dyDescent="0.25">
      <c r="A146">
        <v>70</v>
      </c>
      <c r="B146">
        <v>2964</v>
      </c>
      <c r="C146" t="s">
        <v>366</v>
      </c>
      <c r="D146" t="s">
        <v>367</v>
      </c>
      <c r="E146" t="s">
        <v>368</v>
      </c>
      <c r="F146" t="s">
        <v>369</v>
      </c>
      <c r="G146" t="str">
        <f>"201405000626"</f>
        <v>201405000626</v>
      </c>
      <c r="H146" t="s">
        <v>349</v>
      </c>
      <c r="I146">
        <v>0</v>
      </c>
      <c r="J146">
        <v>0</v>
      </c>
      <c r="K146">
        <v>0</v>
      </c>
      <c r="L146">
        <v>200</v>
      </c>
      <c r="M146">
        <v>0</v>
      </c>
      <c r="N146">
        <v>70</v>
      </c>
      <c r="O146">
        <v>30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84</v>
      </c>
      <c r="W146">
        <v>588</v>
      </c>
      <c r="X146">
        <v>0</v>
      </c>
      <c r="Z146">
        <v>0</v>
      </c>
      <c r="AA146">
        <v>0</v>
      </c>
      <c r="AB146">
        <v>0</v>
      </c>
      <c r="AC146">
        <v>0</v>
      </c>
      <c r="AD146" t="s">
        <v>370</v>
      </c>
    </row>
    <row r="147" spans="1:30" x14ac:dyDescent="0.25">
      <c r="H147" t="s">
        <v>371</v>
      </c>
    </row>
    <row r="148" spans="1:30" x14ac:dyDescent="0.25">
      <c r="A148">
        <v>71</v>
      </c>
      <c r="B148">
        <v>4045</v>
      </c>
      <c r="C148" t="s">
        <v>372</v>
      </c>
      <c r="D148" t="s">
        <v>373</v>
      </c>
      <c r="E148" t="s">
        <v>120</v>
      </c>
      <c r="F148" t="s">
        <v>374</v>
      </c>
      <c r="G148" t="str">
        <f>"00040118"</f>
        <v>00040118</v>
      </c>
      <c r="H148" t="s">
        <v>375</v>
      </c>
      <c r="I148">
        <v>0</v>
      </c>
      <c r="J148">
        <v>0</v>
      </c>
      <c r="K148">
        <v>0</v>
      </c>
      <c r="L148">
        <v>200</v>
      </c>
      <c r="M148">
        <v>0</v>
      </c>
      <c r="N148">
        <v>70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35</v>
      </c>
      <c r="W148">
        <v>245</v>
      </c>
      <c r="X148">
        <v>0</v>
      </c>
      <c r="Z148">
        <v>0</v>
      </c>
      <c r="AA148">
        <v>0</v>
      </c>
      <c r="AB148">
        <v>24</v>
      </c>
      <c r="AC148">
        <v>408</v>
      </c>
      <c r="AD148" t="s">
        <v>376</v>
      </c>
    </row>
    <row r="149" spans="1:30" x14ac:dyDescent="0.25">
      <c r="H149" t="s">
        <v>377</v>
      </c>
    </row>
    <row r="150" spans="1:30" x14ac:dyDescent="0.25">
      <c r="A150">
        <v>72</v>
      </c>
      <c r="B150">
        <v>2186</v>
      </c>
      <c r="C150" t="s">
        <v>378</v>
      </c>
      <c r="D150" t="s">
        <v>76</v>
      </c>
      <c r="E150" t="s">
        <v>49</v>
      </c>
      <c r="F150" t="s">
        <v>379</v>
      </c>
      <c r="G150" t="str">
        <f>"200801001559"</f>
        <v>200801001559</v>
      </c>
      <c r="H150" t="s">
        <v>380</v>
      </c>
      <c r="I150">
        <v>150</v>
      </c>
      <c r="J150">
        <v>0</v>
      </c>
      <c r="K150">
        <v>0</v>
      </c>
      <c r="L150">
        <v>200</v>
      </c>
      <c r="M150">
        <v>0</v>
      </c>
      <c r="N150">
        <v>70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79</v>
      </c>
      <c r="W150">
        <v>553</v>
      </c>
      <c r="X150">
        <v>0</v>
      </c>
      <c r="Z150">
        <v>0</v>
      </c>
      <c r="AA150">
        <v>0</v>
      </c>
      <c r="AB150">
        <v>0</v>
      </c>
      <c r="AC150">
        <v>0</v>
      </c>
      <c r="AD150" t="s">
        <v>381</v>
      </c>
    </row>
    <row r="151" spans="1:30" x14ac:dyDescent="0.25">
      <c r="H151" t="s">
        <v>382</v>
      </c>
    </row>
    <row r="152" spans="1:30" x14ac:dyDescent="0.25">
      <c r="A152">
        <v>73</v>
      </c>
      <c r="B152">
        <v>3273</v>
      </c>
      <c r="C152" t="s">
        <v>383</v>
      </c>
      <c r="D152" t="s">
        <v>384</v>
      </c>
      <c r="E152" t="s">
        <v>385</v>
      </c>
      <c r="F152" t="s">
        <v>386</v>
      </c>
      <c r="G152" t="str">
        <f>"201412007011"</f>
        <v>201412007011</v>
      </c>
      <c r="H152">
        <v>825</v>
      </c>
      <c r="I152">
        <v>0</v>
      </c>
      <c r="J152">
        <v>0</v>
      </c>
      <c r="K152">
        <v>0</v>
      </c>
      <c r="L152">
        <v>200</v>
      </c>
      <c r="M152">
        <v>0</v>
      </c>
      <c r="N152">
        <v>70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79</v>
      </c>
      <c r="W152">
        <v>553</v>
      </c>
      <c r="X152">
        <v>0</v>
      </c>
      <c r="Z152">
        <v>0</v>
      </c>
      <c r="AA152">
        <v>0</v>
      </c>
      <c r="AB152">
        <v>0</v>
      </c>
      <c r="AC152">
        <v>0</v>
      </c>
      <c r="AD152">
        <v>1648</v>
      </c>
    </row>
    <row r="153" spans="1:30" x14ac:dyDescent="0.25">
      <c r="H153" t="s">
        <v>387</v>
      </c>
    </row>
    <row r="154" spans="1:30" x14ac:dyDescent="0.25">
      <c r="A154">
        <v>74</v>
      </c>
      <c r="B154">
        <v>1586</v>
      </c>
      <c r="C154" t="s">
        <v>388</v>
      </c>
      <c r="D154" t="s">
        <v>236</v>
      </c>
      <c r="E154" t="s">
        <v>389</v>
      </c>
      <c r="F154" t="s">
        <v>390</v>
      </c>
      <c r="G154" t="str">
        <f>"200903000743"</f>
        <v>200903000743</v>
      </c>
      <c r="H154">
        <v>770</v>
      </c>
      <c r="I154">
        <v>0</v>
      </c>
      <c r="J154">
        <v>0</v>
      </c>
      <c r="K154">
        <v>0</v>
      </c>
      <c r="L154">
        <v>260</v>
      </c>
      <c r="M154">
        <v>0</v>
      </c>
      <c r="N154">
        <v>30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84</v>
      </c>
      <c r="W154">
        <v>588</v>
      </c>
      <c r="X154">
        <v>0</v>
      </c>
      <c r="Z154">
        <v>0</v>
      </c>
      <c r="AA154">
        <v>0</v>
      </c>
      <c r="AB154">
        <v>0</v>
      </c>
      <c r="AC154">
        <v>0</v>
      </c>
      <c r="AD154">
        <v>1648</v>
      </c>
    </row>
    <row r="155" spans="1:30" x14ac:dyDescent="0.25">
      <c r="H155" t="s">
        <v>391</v>
      </c>
    </row>
    <row r="156" spans="1:30" x14ac:dyDescent="0.25">
      <c r="A156">
        <v>75</v>
      </c>
      <c r="B156">
        <v>661</v>
      </c>
      <c r="C156" t="s">
        <v>392</v>
      </c>
      <c r="D156" t="s">
        <v>393</v>
      </c>
      <c r="E156" t="s">
        <v>49</v>
      </c>
      <c r="F156" t="s">
        <v>394</v>
      </c>
      <c r="G156" t="str">
        <f>"00293801"</f>
        <v>00293801</v>
      </c>
      <c r="H156">
        <v>770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50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60</v>
      </c>
      <c r="W156">
        <v>420</v>
      </c>
      <c r="X156">
        <v>0</v>
      </c>
      <c r="Z156">
        <v>0</v>
      </c>
      <c r="AA156">
        <v>0</v>
      </c>
      <c r="AB156">
        <v>24</v>
      </c>
      <c r="AC156">
        <v>408</v>
      </c>
      <c r="AD156">
        <v>1648</v>
      </c>
    </row>
    <row r="157" spans="1:30" x14ac:dyDescent="0.25">
      <c r="H157" t="s">
        <v>395</v>
      </c>
    </row>
    <row r="158" spans="1:30" x14ac:dyDescent="0.25">
      <c r="A158">
        <v>76</v>
      </c>
      <c r="B158">
        <v>17</v>
      </c>
      <c r="C158" t="s">
        <v>396</v>
      </c>
      <c r="D158" t="s">
        <v>397</v>
      </c>
      <c r="E158" t="s">
        <v>107</v>
      </c>
      <c r="F158" t="s">
        <v>398</v>
      </c>
      <c r="G158" t="str">
        <f>"201406003081"</f>
        <v>201406003081</v>
      </c>
      <c r="H158" t="s">
        <v>399</v>
      </c>
      <c r="I158">
        <v>0</v>
      </c>
      <c r="J158">
        <v>0</v>
      </c>
      <c r="K158">
        <v>0</v>
      </c>
      <c r="L158">
        <v>200</v>
      </c>
      <c r="M158">
        <v>0</v>
      </c>
      <c r="N158">
        <v>70</v>
      </c>
      <c r="O158">
        <v>0</v>
      </c>
      <c r="P158">
        <v>0</v>
      </c>
      <c r="Q158">
        <v>50</v>
      </c>
      <c r="R158">
        <v>30</v>
      </c>
      <c r="S158">
        <v>0</v>
      </c>
      <c r="T158">
        <v>0</v>
      </c>
      <c r="U158">
        <v>0</v>
      </c>
      <c r="V158">
        <v>59</v>
      </c>
      <c r="W158">
        <v>413</v>
      </c>
      <c r="X158">
        <v>0</v>
      </c>
      <c r="Z158">
        <v>0</v>
      </c>
      <c r="AA158">
        <v>0</v>
      </c>
      <c r="AB158">
        <v>1</v>
      </c>
      <c r="AC158">
        <v>17</v>
      </c>
      <c r="AD158" t="s">
        <v>400</v>
      </c>
    </row>
    <row r="159" spans="1:30" x14ac:dyDescent="0.25">
      <c r="H159" t="s">
        <v>401</v>
      </c>
    </row>
    <row r="160" spans="1:30" x14ac:dyDescent="0.25">
      <c r="A160">
        <v>77</v>
      </c>
      <c r="B160">
        <v>149</v>
      </c>
      <c r="C160" t="s">
        <v>402</v>
      </c>
      <c r="D160" t="s">
        <v>403</v>
      </c>
      <c r="E160" t="s">
        <v>28</v>
      </c>
      <c r="F160" t="s">
        <v>404</v>
      </c>
      <c r="G160" t="str">
        <f>"00119672"</f>
        <v>00119672</v>
      </c>
      <c r="H160" t="s">
        <v>405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70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84</v>
      </c>
      <c r="W160">
        <v>588</v>
      </c>
      <c r="X160">
        <v>0</v>
      </c>
      <c r="Z160">
        <v>0</v>
      </c>
      <c r="AA160">
        <v>0</v>
      </c>
      <c r="AB160">
        <v>0</v>
      </c>
      <c r="AC160">
        <v>0</v>
      </c>
      <c r="AD160" t="s">
        <v>406</v>
      </c>
    </row>
    <row r="161" spans="1:30" x14ac:dyDescent="0.25">
      <c r="H161" t="s">
        <v>407</v>
      </c>
    </row>
    <row r="162" spans="1:30" x14ac:dyDescent="0.25">
      <c r="A162">
        <v>78</v>
      </c>
      <c r="B162">
        <v>2487</v>
      </c>
      <c r="C162" t="s">
        <v>408</v>
      </c>
      <c r="D162" t="s">
        <v>95</v>
      </c>
      <c r="E162" t="s">
        <v>102</v>
      </c>
      <c r="F162" t="s">
        <v>409</v>
      </c>
      <c r="G162" t="str">
        <f>"00323342"</f>
        <v>00323342</v>
      </c>
      <c r="H162" t="s">
        <v>410</v>
      </c>
      <c r="I162">
        <v>150</v>
      </c>
      <c r="J162">
        <v>0</v>
      </c>
      <c r="K162">
        <v>0</v>
      </c>
      <c r="L162">
        <v>0</v>
      </c>
      <c r="M162">
        <v>0</v>
      </c>
      <c r="N162">
        <v>50</v>
      </c>
      <c r="O162">
        <v>0</v>
      </c>
      <c r="P162">
        <v>0</v>
      </c>
      <c r="Q162">
        <v>30</v>
      </c>
      <c r="R162">
        <v>0</v>
      </c>
      <c r="S162">
        <v>0</v>
      </c>
      <c r="T162">
        <v>0</v>
      </c>
      <c r="U162">
        <v>0</v>
      </c>
      <c r="V162">
        <v>84</v>
      </c>
      <c r="W162">
        <v>588</v>
      </c>
      <c r="X162">
        <v>0</v>
      </c>
      <c r="Z162">
        <v>0</v>
      </c>
      <c r="AA162">
        <v>0</v>
      </c>
      <c r="AB162">
        <v>0</v>
      </c>
      <c r="AC162">
        <v>0</v>
      </c>
      <c r="AD162" t="s">
        <v>411</v>
      </c>
    </row>
    <row r="163" spans="1:30" x14ac:dyDescent="0.25">
      <c r="H163" t="s">
        <v>412</v>
      </c>
    </row>
    <row r="164" spans="1:30" x14ac:dyDescent="0.25">
      <c r="A164">
        <v>79</v>
      </c>
      <c r="B164">
        <v>880</v>
      </c>
      <c r="C164" t="s">
        <v>413</v>
      </c>
      <c r="D164" t="s">
        <v>102</v>
      </c>
      <c r="E164" t="s">
        <v>28</v>
      </c>
      <c r="F164" t="s">
        <v>414</v>
      </c>
      <c r="G164" t="str">
        <f>"00300010"</f>
        <v>00300010</v>
      </c>
      <c r="H164" t="s">
        <v>415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30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60</v>
      </c>
      <c r="W164">
        <v>420</v>
      </c>
      <c r="X164">
        <v>0</v>
      </c>
      <c r="Z164">
        <v>0</v>
      </c>
      <c r="AA164">
        <v>0</v>
      </c>
      <c r="AB164">
        <v>24</v>
      </c>
      <c r="AC164">
        <v>408</v>
      </c>
      <c r="AD164" t="s">
        <v>416</v>
      </c>
    </row>
    <row r="165" spans="1:30" x14ac:dyDescent="0.25">
      <c r="H165" t="s">
        <v>417</v>
      </c>
    </row>
    <row r="166" spans="1:30" x14ac:dyDescent="0.25">
      <c r="A166">
        <v>80</v>
      </c>
      <c r="B166">
        <v>3745</v>
      </c>
      <c r="C166" t="s">
        <v>418</v>
      </c>
      <c r="D166" t="s">
        <v>76</v>
      </c>
      <c r="E166" t="s">
        <v>254</v>
      </c>
      <c r="F166" t="s">
        <v>419</v>
      </c>
      <c r="G166" t="str">
        <f>"200712006201"</f>
        <v>200712006201</v>
      </c>
      <c r="H166">
        <v>825</v>
      </c>
      <c r="I166">
        <v>0</v>
      </c>
      <c r="J166">
        <v>0</v>
      </c>
      <c r="K166">
        <v>0</v>
      </c>
      <c r="L166">
        <v>200</v>
      </c>
      <c r="M166">
        <v>0</v>
      </c>
      <c r="N166">
        <v>30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84</v>
      </c>
      <c r="W166">
        <v>588</v>
      </c>
      <c r="X166">
        <v>0</v>
      </c>
      <c r="Z166">
        <v>0</v>
      </c>
      <c r="AA166">
        <v>0</v>
      </c>
      <c r="AB166">
        <v>0</v>
      </c>
      <c r="AC166">
        <v>0</v>
      </c>
      <c r="AD166">
        <v>1643</v>
      </c>
    </row>
    <row r="167" spans="1:30" x14ac:dyDescent="0.25">
      <c r="H167" t="s">
        <v>420</v>
      </c>
    </row>
    <row r="168" spans="1:30" x14ac:dyDescent="0.25">
      <c r="A168">
        <v>81</v>
      </c>
      <c r="B168">
        <v>352</v>
      </c>
      <c r="C168" t="s">
        <v>421</v>
      </c>
      <c r="D168" t="s">
        <v>422</v>
      </c>
      <c r="E168" t="s">
        <v>120</v>
      </c>
      <c r="F168" t="s">
        <v>423</v>
      </c>
      <c r="G168" t="str">
        <f>"201405001374"</f>
        <v>201405001374</v>
      </c>
      <c r="H168">
        <v>803</v>
      </c>
      <c r="I168">
        <v>0</v>
      </c>
      <c r="J168">
        <v>0</v>
      </c>
      <c r="K168">
        <v>0</v>
      </c>
      <c r="L168">
        <v>200</v>
      </c>
      <c r="M168">
        <v>0</v>
      </c>
      <c r="N168">
        <v>50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84</v>
      </c>
      <c r="W168">
        <v>588</v>
      </c>
      <c r="X168">
        <v>0</v>
      </c>
      <c r="Z168">
        <v>1</v>
      </c>
      <c r="AA168">
        <v>0</v>
      </c>
      <c r="AB168">
        <v>0</v>
      </c>
      <c r="AC168">
        <v>0</v>
      </c>
      <c r="AD168">
        <v>1641</v>
      </c>
    </row>
    <row r="169" spans="1:30" x14ac:dyDescent="0.25">
      <c r="H169" t="s">
        <v>424</v>
      </c>
    </row>
    <row r="170" spans="1:30" x14ac:dyDescent="0.25">
      <c r="A170">
        <v>82</v>
      </c>
      <c r="B170">
        <v>3208</v>
      </c>
      <c r="C170" t="s">
        <v>228</v>
      </c>
      <c r="D170" t="s">
        <v>425</v>
      </c>
      <c r="E170" t="s">
        <v>49</v>
      </c>
      <c r="F170" t="s">
        <v>426</v>
      </c>
      <c r="G170" t="str">
        <f>"00150433"</f>
        <v>00150433</v>
      </c>
      <c r="H170" t="s">
        <v>427</v>
      </c>
      <c r="I170">
        <v>0</v>
      </c>
      <c r="J170">
        <v>0</v>
      </c>
      <c r="K170">
        <v>0</v>
      </c>
      <c r="L170">
        <v>200</v>
      </c>
      <c r="M170">
        <v>0</v>
      </c>
      <c r="N170">
        <v>70</v>
      </c>
      <c r="O170">
        <v>30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32</v>
      </c>
      <c r="W170">
        <v>224</v>
      </c>
      <c r="X170">
        <v>0</v>
      </c>
      <c r="Z170">
        <v>0</v>
      </c>
      <c r="AA170">
        <v>0</v>
      </c>
      <c r="AB170">
        <v>24</v>
      </c>
      <c r="AC170">
        <v>408</v>
      </c>
      <c r="AD170" t="s">
        <v>428</v>
      </c>
    </row>
    <row r="171" spans="1:30" x14ac:dyDescent="0.25">
      <c r="H171" t="s">
        <v>429</v>
      </c>
    </row>
    <row r="172" spans="1:30" x14ac:dyDescent="0.25">
      <c r="A172">
        <v>83</v>
      </c>
      <c r="B172">
        <v>2274</v>
      </c>
      <c r="C172" t="s">
        <v>308</v>
      </c>
      <c r="D172" t="s">
        <v>106</v>
      </c>
      <c r="E172" t="s">
        <v>107</v>
      </c>
      <c r="F172" t="s">
        <v>430</v>
      </c>
      <c r="G172" t="str">
        <f>"00316099"</f>
        <v>00316099</v>
      </c>
      <c r="H172" t="s">
        <v>431</v>
      </c>
      <c r="I172">
        <v>150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60</v>
      </c>
      <c r="W172">
        <v>420</v>
      </c>
      <c r="X172">
        <v>0</v>
      </c>
      <c r="Z172">
        <v>1</v>
      </c>
      <c r="AA172">
        <v>0</v>
      </c>
      <c r="AB172">
        <v>24</v>
      </c>
      <c r="AC172">
        <v>408</v>
      </c>
      <c r="AD172" t="s">
        <v>432</v>
      </c>
    </row>
    <row r="173" spans="1:30" x14ac:dyDescent="0.25">
      <c r="H173" t="s">
        <v>433</v>
      </c>
    </row>
    <row r="174" spans="1:30" x14ac:dyDescent="0.25">
      <c r="A174">
        <v>84</v>
      </c>
      <c r="B174">
        <v>814</v>
      </c>
      <c r="C174" t="s">
        <v>434</v>
      </c>
      <c r="D174" t="s">
        <v>435</v>
      </c>
      <c r="E174" t="s">
        <v>167</v>
      </c>
      <c r="F174" t="s">
        <v>436</v>
      </c>
      <c r="G174" t="str">
        <f>"201402000896"</f>
        <v>201402000896</v>
      </c>
      <c r="H174">
        <v>781</v>
      </c>
      <c r="I174">
        <v>0</v>
      </c>
      <c r="J174">
        <v>0</v>
      </c>
      <c r="K174">
        <v>0</v>
      </c>
      <c r="L174">
        <v>200</v>
      </c>
      <c r="M174">
        <v>0</v>
      </c>
      <c r="N174">
        <v>70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84</v>
      </c>
      <c r="W174">
        <v>588</v>
      </c>
      <c r="X174">
        <v>0</v>
      </c>
      <c r="Z174">
        <v>0</v>
      </c>
      <c r="AA174">
        <v>0</v>
      </c>
      <c r="AB174">
        <v>0</v>
      </c>
      <c r="AC174">
        <v>0</v>
      </c>
      <c r="AD174">
        <v>1639</v>
      </c>
    </row>
    <row r="175" spans="1:30" x14ac:dyDescent="0.25">
      <c r="H175" t="s">
        <v>437</v>
      </c>
    </row>
    <row r="176" spans="1:30" x14ac:dyDescent="0.25">
      <c r="A176">
        <v>85</v>
      </c>
      <c r="B176">
        <v>3224</v>
      </c>
      <c r="C176" t="s">
        <v>438</v>
      </c>
      <c r="D176" t="s">
        <v>439</v>
      </c>
      <c r="E176" t="s">
        <v>28</v>
      </c>
      <c r="F176" t="s">
        <v>440</v>
      </c>
      <c r="G176" t="str">
        <f>"00146030"</f>
        <v>00146030</v>
      </c>
      <c r="H176" t="s">
        <v>97</v>
      </c>
      <c r="I176">
        <v>0</v>
      </c>
      <c r="J176">
        <v>0</v>
      </c>
      <c r="K176">
        <v>0</v>
      </c>
      <c r="L176">
        <v>200</v>
      </c>
      <c r="M176">
        <v>0</v>
      </c>
      <c r="N176">
        <v>30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30</v>
      </c>
      <c r="W176">
        <v>210</v>
      </c>
      <c r="X176">
        <v>0</v>
      </c>
      <c r="Z176">
        <v>0</v>
      </c>
      <c r="AA176">
        <v>0</v>
      </c>
      <c r="AB176">
        <v>24</v>
      </c>
      <c r="AC176">
        <v>408</v>
      </c>
      <c r="AD176" t="s">
        <v>441</v>
      </c>
    </row>
    <row r="177" spans="1:30" x14ac:dyDescent="0.25">
      <c r="H177" t="s">
        <v>442</v>
      </c>
    </row>
    <row r="178" spans="1:30" x14ac:dyDescent="0.25">
      <c r="A178">
        <v>86</v>
      </c>
      <c r="B178">
        <v>5420</v>
      </c>
      <c r="C178" t="s">
        <v>443</v>
      </c>
      <c r="D178" t="s">
        <v>444</v>
      </c>
      <c r="E178" t="s">
        <v>445</v>
      </c>
      <c r="F178" t="s">
        <v>446</v>
      </c>
      <c r="G178" t="str">
        <f>"201101000120"</f>
        <v>201101000120</v>
      </c>
      <c r="H178">
        <v>770</v>
      </c>
      <c r="I178">
        <v>0</v>
      </c>
      <c r="J178">
        <v>0</v>
      </c>
      <c r="K178">
        <v>0</v>
      </c>
      <c r="L178">
        <v>200</v>
      </c>
      <c r="M178">
        <v>0</v>
      </c>
      <c r="N178">
        <v>50</v>
      </c>
      <c r="O178">
        <v>0</v>
      </c>
      <c r="P178">
        <v>0</v>
      </c>
      <c r="Q178">
        <v>0</v>
      </c>
      <c r="R178">
        <v>30</v>
      </c>
      <c r="S178">
        <v>0</v>
      </c>
      <c r="T178">
        <v>0</v>
      </c>
      <c r="U178">
        <v>0</v>
      </c>
      <c r="V178">
        <v>84</v>
      </c>
      <c r="W178">
        <v>588</v>
      </c>
      <c r="X178">
        <v>0</v>
      </c>
      <c r="Z178">
        <v>0</v>
      </c>
      <c r="AA178">
        <v>0</v>
      </c>
      <c r="AB178">
        <v>0</v>
      </c>
      <c r="AC178">
        <v>0</v>
      </c>
      <c r="AD178">
        <v>1638</v>
      </c>
    </row>
    <row r="179" spans="1:30" x14ac:dyDescent="0.25">
      <c r="H179" t="s">
        <v>447</v>
      </c>
    </row>
    <row r="180" spans="1:30" x14ac:dyDescent="0.25">
      <c r="A180">
        <v>87</v>
      </c>
      <c r="B180">
        <v>1255</v>
      </c>
      <c r="C180" t="s">
        <v>448</v>
      </c>
      <c r="D180" t="s">
        <v>449</v>
      </c>
      <c r="E180" t="s">
        <v>102</v>
      </c>
      <c r="F180" t="s">
        <v>450</v>
      </c>
      <c r="G180" t="str">
        <f>"201406003176"</f>
        <v>201406003176</v>
      </c>
      <c r="H180">
        <v>748</v>
      </c>
      <c r="I180">
        <v>0</v>
      </c>
      <c r="J180">
        <v>0</v>
      </c>
      <c r="K180">
        <v>0</v>
      </c>
      <c r="L180">
        <v>200</v>
      </c>
      <c r="M180">
        <v>30</v>
      </c>
      <c r="N180">
        <v>70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84</v>
      </c>
      <c r="W180">
        <v>588</v>
      </c>
      <c r="X180">
        <v>0</v>
      </c>
      <c r="Z180">
        <v>0</v>
      </c>
      <c r="AA180">
        <v>0</v>
      </c>
      <c r="AB180">
        <v>0</v>
      </c>
      <c r="AC180">
        <v>0</v>
      </c>
      <c r="AD180">
        <v>1636</v>
      </c>
    </row>
    <row r="181" spans="1:30" x14ac:dyDescent="0.25">
      <c r="H181" t="s">
        <v>451</v>
      </c>
    </row>
    <row r="182" spans="1:30" x14ac:dyDescent="0.25">
      <c r="A182">
        <v>88</v>
      </c>
      <c r="B182">
        <v>5257</v>
      </c>
      <c r="C182" t="s">
        <v>452</v>
      </c>
      <c r="D182" t="s">
        <v>453</v>
      </c>
      <c r="E182" t="s">
        <v>167</v>
      </c>
      <c r="F182" t="s">
        <v>454</v>
      </c>
      <c r="G182" t="str">
        <f>"201512004395"</f>
        <v>201512004395</v>
      </c>
      <c r="H182" t="s">
        <v>455</v>
      </c>
      <c r="I182">
        <v>150</v>
      </c>
      <c r="J182">
        <v>0</v>
      </c>
      <c r="K182">
        <v>0</v>
      </c>
      <c r="L182">
        <v>0</v>
      </c>
      <c r="M182">
        <v>0</v>
      </c>
      <c r="N182">
        <v>30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38</v>
      </c>
      <c r="W182">
        <v>266</v>
      </c>
      <c r="X182">
        <v>0</v>
      </c>
      <c r="Z182">
        <v>0</v>
      </c>
      <c r="AA182">
        <v>0</v>
      </c>
      <c r="AB182">
        <v>24</v>
      </c>
      <c r="AC182">
        <v>408</v>
      </c>
      <c r="AD182" t="s">
        <v>456</v>
      </c>
    </row>
    <row r="183" spans="1:30" x14ac:dyDescent="0.25">
      <c r="H183" t="s">
        <v>457</v>
      </c>
    </row>
    <row r="184" spans="1:30" x14ac:dyDescent="0.25">
      <c r="A184">
        <v>89</v>
      </c>
      <c r="B184">
        <v>5854</v>
      </c>
      <c r="C184" t="s">
        <v>458</v>
      </c>
      <c r="D184" t="s">
        <v>453</v>
      </c>
      <c r="E184" t="s">
        <v>120</v>
      </c>
      <c r="F184" t="s">
        <v>459</v>
      </c>
      <c r="G184" t="str">
        <f>"201406011084"</f>
        <v>201406011084</v>
      </c>
      <c r="H184">
        <v>770</v>
      </c>
      <c r="I184">
        <v>0</v>
      </c>
      <c r="J184">
        <v>0</v>
      </c>
      <c r="K184">
        <v>0</v>
      </c>
      <c r="L184">
        <v>200</v>
      </c>
      <c r="M184">
        <v>0</v>
      </c>
      <c r="N184">
        <v>70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84</v>
      </c>
      <c r="W184">
        <v>588</v>
      </c>
      <c r="X184">
        <v>0</v>
      </c>
      <c r="Z184">
        <v>0</v>
      </c>
      <c r="AA184">
        <v>0</v>
      </c>
      <c r="AB184">
        <v>0</v>
      </c>
      <c r="AC184">
        <v>0</v>
      </c>
      <c r="AD184">
        <v>1628</v>
      </c>
    </row>
    <row r="185" spans="1:30" x14ac:dyDescent="0.25">
      <c r="H185" t="s">
        <v>460</v>
      </c>
    </row>
    <row r="186" spans="1:30" x14ac:dyDescent="0.25">
      <c r="A186">
        <v>90</v>
      </c>
      <c r="B186">
        <v>4172</v>
      </c>
      <c r="C186" t="s">
        <v>461</v>
      </c>
      <c r="D186" t="s">
        <v>39</v>
      </c>
      <c r="E186" t="s">
        <v>64</v>
      </c>
      <c r="F186" t="s">
        <v>462</v>
      </c>
      <c r="G186" t="str">
        <f>"00158824"</f>
        <v>00158824</v>
      </c>
      <c r="H186">
        <v>770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30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60</v>
      </c>
      <c r="W186">
        <v>420</v>
      </c>
      <c r="X186">
        <v>0</v>
      </c>
      <c r="Z186">
        <v>3</v>
      </c>
      <c r="AA186">
        <v>0</v>
      </c>
      <c r="AB186">
        <v>24</v>
      </c>
      <c r="AC186">
        <v>408</v>
      </c>
      <c r="AD186">
        <v>1628</v>
      </c>
    </row>
    <row r="187" spans="1:30" x14ac:dyDescent="0.25">
      <c r="H187" t="s">
        <v>463</v>
      </c>
    </row>
    <row r="188" spans="1:30" x14ac:dyDescent="0.25">
      <c r="A188">
        <v>91</v>
      </c>
      <c r="B188">
        <v>5858</v>
      </c>
      <c r="C188" t="s">
        <v>464</v>
      </c>
      <c r="D188" t="s">
        <v>128</v>
      </c>
      <c r="E188" t="s">
        <v>465</v>
      </c>
      <c r="F188" t="s">
        <v>466</v>
      </c>
      <c r="G188" t="str">
        <f>"200802007141"</f>
        <v>200802007141</v>
      </c>
      <c r="H188">
        <v>792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70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51</v>
      </c>
      <c r="W188">
        <v>357</v>
      </c>
      <c r="X188">
        <v>0</v>
      </c>
      <c r="Z188">
        <v>0</v>
      </c>
      <c r="AA188">
        <v>0</v>
      </c>
      <c r="AB188">
        <v>24</v>
      </c>
      <c r="AC188">
        <v>408</v>
      </c>
      <c r="AD188">
        <v>1627</v>
      </c>
    </row>
    <row r="189" spans="1:30" x14ac:dyDescent="0.25">
      <c r="H189" t="s">
        <v>467</v>
      </c>
    </row>
    <row r="190" spans="1:30" x14ac:dyDescent="0.25">
      <c r="A190">
        <v>92</v>
      </c>
      <c r="B190">
        <v>4933</v>
      </c>
      <c r="C190" t="s">
        <v>468</v>
      </c>
      <c r="D190" t="s">
        <v>95</v>
      </c>
      <c r="E190" t="s">
        <v>155</v>
      </c>
      <c r="F190" t="s">
        <v>469</v>
      </c>
      <c r="G190" t="str">
        <f>"201412000599"</f>
        <v>201412000599</v>
      </c>
      <c r="H190" t="s">
        <v>470</v>
      </c>
      <c r="I190">
        <v>0</v>
      </c>
      <c r="J190">
        <v>0</v>
      </c>
      <c r="K190">
        <v>0</v>
      </c>
      <c r="L190">
        <v>200</v>
      </c>
      <c r="M190">
        <v>0</v>
      </c>
      <c r="N190">
        <v>70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84</v>
      </c>
      <c r="W190">
        <v>588</v>
      </c>
      <c r="X190">
        <v>0</v>
      </c>
      <c r="Z190">
        <v>0</v>
      </c>
      <c r="AA190">
        <v>0</v>
      </c>
      <c r="AB190">
        <v>0</v>
      </c>
      <c r="AC190">
        <v>0</v>
      </c>
      <c r="AD190" t="s">
        <v>471</v>
      </c>
    </row>
    <row r="191" spans="1:30" x14ac:dyDescent="0.25">
      <c r="H191" t="s">
        <v>472</v>
      </c>
    </row>
    <row r="192" spans="1:30" x14ac:dyDescent="0.25">
      <c r="A192">
        <v>93</v>
      </c>
      <c r="B192">
        <v>4776</v>
      </c>
      <c r="C192" t="s">
        <v>473</v>
      </c>
      <c r="D192" t="s">
        <v>474</v>
      </c>
      <c r="E192" t="s">
        <v>76</v>
      </c>
      <c r="F192" t="s">
        <v>475</v>
      </c>
      <c r="G192" t="str">
        <f>"201511013175"</f>
        <v>201511013175</v>
      </c>
      <c r="H192" t="s">
        <v>476</v>
      </c>
      <c r="I192">
        <v>0</v>
      </c>
      <c r="J192">
        <v>0</v>
      </c>
      <c r="K192">
        <v>0</v>
      </c>
      <c r="L192">
        <v>200</v>
      </c>
      <c r="M192">
        <v>0</v>
      </c>
      <c r="N192">
        <v>70</v>
      </c>
      <c r="O192">
        <v>30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84</v>
      </c>
      <c r="W192">
        <v>588</v>
      </c>
      <c r="X192">
        <v>0</v>
      </c>
      <c r="Z192">
        <v>0</v>
      </c>
      <c r="AA192">
        <v>0</v>
      </c>
      <c r="AB192">
        <v>0</v>
      </c>
      <c r="AC192">
        <v>0</v>
      </c>
      <c r="AD192" t="s">
        <v>477</v>
      </c>
    </row>
    <row r="193" spans="1:30" x14ac:dyDescent="0.25">
      <c r="H193" t="s">
        <v>478</v>
      </c>
    </row>
    <row r="194" spans="1:30" x14ac:dyDescent="0.25">
      <c r="A194">
        <v>94</v>
      </c>
      <c r="B194">
        <v>1086</v>
      </c>
      <c r="C194" t="s">
        <v>479</v>
      </c>
      <c r="D194" t="s">
        <v>254</v>
      </c>
      <c r="E194" t="s">
        <v>32</v>
      </c>
      <c r="F194" t="s">
        <v>480</v>
      </c>
      <c r="G194" t="str">
        <f>"00260529"</f>
        <v>00260529</v>
      </c>
      <c r="H194" t="s">
        <v>481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60</v>
      </c>
      <c r="W194">
        <v>420</v>
      </c>
      <c r="X194">
        <v>0</v>
      </c>
      <c r="Z194">
        <v>0</v>
      </c>
      <c r="AA194">
        <v>0</v>
      </c>
      <c r="AB194">
        <v>24</v>
      </c>
      <c r="AC194">
        <v>408</v>
      </c>
      <c r="AD194" t="s">
        <v>482</v>
      </c>
    </row>
    <row r="195" spans="1:30" x14ac:dyDescent="0.25">
      <c r="H195" t="s">
        <v>483</v>
      </c>
    </row>
    <row r="196" spans="1:30" x14ac:dyDescent="0.25">
      <c r="A196">
        <v>95</v>
      </c>
      <c r="B196">
        <v>2810</v>
      </c>
      <c r="C196" t="s">
        <v>484</v>
      </c>
      <c r="D196" t="s">
        <v>485</v>
      </c>
      <c r="E196" t="s">
        <v>49</v>
      </c>
      <c r="F196" t="s">
        <v>486</v>
      </c>
      <c r="G196" t="str">
        <f>"00305801"</f>
        <v>00305801</v>
      </c>
      <c r="H196" t="s">
        <v>215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30</v>
      </c>
      <c r="O196">
        <v>0</v>
      </c>
      <c r="P196">
        <v>30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60</v>
      </c>
      <c r="W196">
        <v>420</v>
      </c>
      <c r="X196">
        <v>0</v>
      </c>
      <c r="Z196">
        <v>0</v>
      </c>
      <c r="AA196">
        <v>0</v>
      </c>
      <c r="AB196">
        <v>24</v>
      </c>
      <c r="AC196">
        <v>408</v>
      </c>
      <c r="AD196" t="s">
        <v>487</v>
      </c>
    </row>
    <row r="197" spans="1:30" x14ac:dyDescent="0.25">
      <c r="H197" t="s">
        <v>488</v>
      </c>
    </row>
    <row r="198" spans="1:30" x14ac:dyDescent="0.25">
      <c r="A198">
        <v>96</v>
      </c>
      <c r="B198">
        <v>3750</v>
      </c>
      <c r="C198" t="s">
        <v>489</v>
      </c>
      <c r="D198" t="s">
        <v>490</v>
      </c>
      <c r="E198" t="s">
        <v>368</v>
      </c>
      <c r="F198" t="s">
        <v>491</v>
      </c>
      <c r="G198" t="str">
        <f>"201406012865"</f>
        <v>201406012865</v>
      </c>
      <c r="H198">
        <v>759</v>
      </c>
      <c r="I198">
        <v>0</v>
      </c>
      <c r="J198">
        <v>0</v>
      </c>
      <c r="K198">
        <v>0</v>
      </c>
      <c r="L198">
        <v>200</v>
      </c>
      <c r="M198">
        <v>0</v>
      </c>
      <c r="N198">
        <v>70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84</v>
      </c>
      <c r="W198">
        <v>588</v>
      </c>
      <c r="X198">
        <v>0</v>
      </c>
      <c r="Z198">
        <v>0</v>
      </c>
      <c r="AA198">
        <v>0</v>
      </c>
      <c r="AB198">
        <v>0</v>
      </c>
      <c r="AC198">
        <v>0</v>
      </c>
      <c r="AD198">
        <v>1617</v>
      </c>
    </row>
    <row r="199" spans="1:30" x14ac:dyDescent="0.25">
      <c r="H199" t="s">
        <v>492</v>
      </c>
    </row>
    <row r="200" spans="1:30" x14ac:dyDescent="0.25">
      <c r="A200">
        <v>97</v>
      </c>
      <c r="B200">
        <v>3050</v>
      </c>
      <c r="C200" t="s">
        <v>493</v>
      </c>
      <c r="D200" t="s">
        <v>494</v>
      </c>
      <c r="E200" t="s">
        <v>32</v>
      </c>
      <c r="F200" t="s">
        <v>495</v>
      </c>
      <c r="G200" t="str">
        <f>"201401000774"</f>
        <v>201401000774</v>
      </c>
      <c r="H200">
        <v>649</v>
      </c>
      <c r="I200">
        <v>150</v>
      </c>
      <c r="J200">
        <v>0</v>
      </c>
      <c r="K200">
        <v>0</v>
      </c>
      <c r="L200">
        <v>200</v>
      </c>
      <c r="M200">
        <v>0</v>
      </c>
      <c r="N200">
        <v>30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84</v>
      </c>
      <c r="W200">
        <v>588</v>
      </c>
      <c r="X200">
        <v>0</v>
      </c>
      <c r="Z200">
        <v>1</v>
      </c>
      <c r="AA200">
        <v>0</v>
      </c>
      <c r="AB200">
        <v>0</v>
      </c>
      <c r="AC200">
        <v>0</v>
      </c>
      <c r="AD200">
        <v>1617</v>
      </c>
    </row>
    <row r="201" spans="1:30" x14ac:dyDescent="0.25">
      <c r="H201" t="s">
        <v>496</v>
      </c>
    </row>
    <row r="202" spans="1:30" x14ac:dyDescent="0.25">
      <c r="A202">
        <v>98</v>
      </c>
      <c r="B202">
        <v>1163</v>
      </c>
      <c r="C202" t="s">
        <v>497</v>
      </c>
      <c r="D202" t="s">
        <v>498</v>
      </c>
      <c r="E202" t="s">
        <v>77</v>
      </c>
      <c r="F202" t="s">
        <v>499</v>
      </c>
      <c r="G202" t="str">
        <f>"200802006233"</f>
        <v>200802006233</v>
      </c>
      <c r="H202" t="s">
        <v>500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30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51</v>
      </c>
      <c r="W202">
        <v>357</v>
      </c>
      <c r="X202">
        <v>0</v>
      </c>
      <c r="Z202">
        <v>0</v>
      </c>
      <c r="AA202">
        <v>0</v>
      </c>
      <c r="AB202">
        <v>24</v>
      </c>
      <c r="AC202">
        <v>408</v>
      </c>
      <c r="AD202" t="s">
        <v>501</v>
      </c>
    </row>
    <row r="203" spans="1:30" x14ac:dyDescent="0.25">
      <c r="H203" t="s">
        <v>502</v>
      </c>
    </row>
    <row r="204" spans="1:30" x14ac:dyDescent="0.25">
      <c r="A204">
        <v>99</v>
      </c>
      <c r="B204">
        <v>706</v>
      </c>
      <c r="C204" t="s">
        <v>503</v>
      </c>
      <c r="D204" t="s">
        <v>465</v>
      </c>
      <c r="E204" t="s">
        <v>120</v>
      </c>
      <c r="F204" t="s">
        <v>504</v>
      </c>
      <c r="G204" t="str">
        <f>"00151086"</f>
        <v>00151086</v>
      </c>
      <c r="H204" t="s">
        <v>505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70</v>
      </c>
      <c r="O204">
        <v>30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60</v>
      </c>
      <c r="W204">
        <v>420</v>
      </c>
      <c r="X204">
        <v>0</v>
      </c>
      <c r="Z204">
        <v>0</v>
      </c>
      <c r="AA204">
        <v>0</v>
      </c>
      <c r="AB204">
        <v>24</v>
      </c>
      <c r="AC204">
        <v>408</v>
      </c>
      <c r="AD204" t="s">
        <v>506</v>
      </c>
    </row>
    <row r="205" spans="1:30" x14ac:dyDescent="0.25">
      <c r="H205" t="s">
        <v>507</v>
      </c>
    </row>
    <row r="206" spans="1:30" x14ac:dyDescent="0.25">
      <c r="A206">
        <v>100</v>
      </c>
      <c r="B206">
        <v>1339</v>
      </c>
      <c r="C206" t="s">
        <v>508</v>
      </c>
      <c r="D206" t="s">
        <v>107</v>
      </c>
      <c r="E206" t="s">
        <v>509</v>
      </c>
      <c r="F206" t="s">
        <v>510</v>
      </c>
      <c r="G206" t="str">
        <f>"201405000487"</f>
        <v>201405000487</v>
      </c>
      <c r="H206" t="s">
        <v>511</v>
      </c>
      <c r="I206">
        <v>0</v>
      </c>
      <c r="J206">
        <v>0</v>
      </c>
      <c r="K206">
        <v>0</v>
      </c>
      <c r="L206">
        <v>200</v>
      </c>
      <c r="M206">
        <v>0</v>
      </c>
      <c r="N206">
        <v>70</v>
      </c>
      <c r="O206">
        <v>50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84</v>
      </c>
      <c r="W206">
        <v>588</v>
      </c>
      <c r="X206">
        <v>0</v>
      </c>
      <c r="Z206">
        <v>0</v>
      </c>
      <c r="AA206">
        <v>0</v>
      </c>
      <c r="AB206">
        <v>0</v>
      </c>
      <c r="AC206">
        <v>0</v>
      </c>
      <c r="AD206" t="s">
        <v>512</v>
      </c>
    </row>
    <row r="207" spans="1:30" x14ac:dyDescent="0.25">
      <c r="H207" t="s">
        <v>513</v>
      </c>
    </row>
    <row r="208" spans="1:30" x14ac:dyDescent="0.25">
      <c r="A208">
        <v>101</v>
      </c>
      <c r="B208">
        <v>3735</v>
      </c>
      <c r="C208" t="s">
        <v>514</v>
      </c>
      <c r="D208" t="s">
        <v>77</v>
      </c>
      <c r="E208" t="s">
        <v>76</v>
      </c>
      <c r="F208" t="s">
        <v>515</v>
      </c>
      <c r="G208" t="str">
        <f>"201406002151"</f>
        <v>201406002151</v>
      </c>
      <c r="H208">
        <v>836</v>
      </c>
      <c r="I208">
        <v>0</v>
      </c>
      <c r="J208">
        <v>0</v>
      </c>
      <c r="K208">
        <v>0</v>
      </c>
      <c r="L208">
        <v>200</v>
      </c>
      <c r="M208">
        <v>0</v>
      </c>
      <c r="N208">
        <v>30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78</v>
      </c>
      <c r="W208">
        <v>546</v>
      </c>
      <c r="X208">
        <v>0</v>
      </c>
      <c r="Z208">
        <v>0</v>
      </c>
      <c r="AA208">
        <v>0</v>
      </c>
      <c r="AB208">
        <v>0</v>
      </c>
      <c r="AC208">
        <v>0</v>
      </c>
      <c r="AD208">
        <v>1612</v>
      </c>
    </row>
    <row r="209" spans="1:30" x14ac:dyDescent="0.25">
      <c r="H209" t="s">
        <v>516</v>
      </c>
    </row>
    <row r="210" spans="1:30" x14ac:dyDescent="0.25">
      <c r="A210">
        <v>102</v>
      </c>
      <c r="B210">
        <v>3664</v>
      </c>
      <c r="C210" t="s">
        <v>517</v>
      </c>
      <c r="D210" t="s">
        <v>518</v>
      </c>
      <c r="E210" t="s">
        <v>519</v>
      </c>
      <c r="F210" t="s">
        <v>520</v>
      </c>
      <c r="G210" t="str">
        <f>"201405000333"</f>
        <v>201405000333</v>
      </c>
      <c r="H210" t="s">
        <v>521</v>
      </c>
      <c r="I210">
        <v>0</v>
      </c>
      <c r="J210">
        <v>0</v>
      </c>
      <c r="K210">
        <v>0</v>
      </c>
      <c r="L210">
        <v>200</v>
      </c>
      <c r="M210">
        <v>0</v>
      </c>
      <c r="N210">
        <v>70</v>
      </c>
      <c r="O210">
        <v>0</v>
      </c>
      <c r="P210">
        <v>30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84</v>
      </c>
      <c r="W210">
        <v>588</v>
      </c>
      <c r="X210">
        <v>0</v>
      </c>
      <c r="Z210">
        <v>0</v>
      </c>
      <c r="AA210">
        <v>0</v>
      </c>
      <c r="AB210">
        <v>0</v>
      </c>
      <c r="AC210">
        <v>0</v>
      </c>
      <c r="AD210" t="s">
        <v>522</v>
      </c>
    </row>
    <row r="211" spans="1:30" x14ac:dyDescent="0.25">
      <c r="H211" t="s">
        <v>523</v>
      </c>
    </row>
    <row r="212" spans="1:30" x14ac:dyDescent="0.25">
      <c r="A212">
        <v>103</v>
      </c>
      <c r="B212">
        <v>5512</v>
      </c>
      <c r="C212" t="s">
        <v>524</v>
      </c>
      <c r="D212" t="s">
        <v>525</v>
      </c>
      <c r="E212" t="s">
        <v>28</v>
      </c>
      <c r="F212" t="s">
        <v>526</v>
      </c>
      <c r="G212" t="str">
        <f>"00285359"</f>
        <v>00285359</v>
      </c>
      <c r="H212" t="s">
        <v>527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30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60</v>
      </c>
      <c r="W212">
        <v>420</v>
      </c>
      <c r="X212">
        <v>0</v>
      </c>
      <c r="Z212">
        <v>0</v>
      </c>
      <c r="AA212">
        <v>0</v>
      </c>
      <c r="AB212">
        <v>24</v>
      </c>
      <c r="AC212">
        <v>408</v>
      </c>
      <c r="AD212" t="s">
        <v>528</v>
      </c>
    </row>
    <row r="213" spans="1:30" x14ac:dyDescent="0.25">
      <c r="H213" t="s">
        <v>529</v>
      </c>
    </row>
    <row r="214" spans="1:30" x14ac:dyDescent="0.25">
      <c r="A214">
        <v>104</v>
      </c>
      <c r="B214">
        <v>914</v>
      </c>
      <c r="C214" t="s">
        <v>530</v>
      </c>
      <c r="D214" t="s">
        <v>120</v>
      </c>
      <c r="E214" t="s">
        <v>28</v>
      </c>
      <c r="F214" t="s">
        <v>531</v>
      </c>
      <c r="G214" t="str">
        <f>"00155965"</f>
        <v>00155965</v>
      </c>
      <c r="H214" t="s">
        <v>532</v>
      </c>
      <c r="I214">
        <v>150</v>
      </c>
      <c r="J214">
        <v>0</v>
      </c>
      <c r="K214">
        <v>0</v>
      </c>
      <c r="L214">
        <v>200</v>
      </c>
      <c r="M214">
        <v>0</v>
      </c>
      <c r="N214">
        <v>30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67</v>
      </c>
      <c r="W214">
        <v>469</v>
      </c>
      <c r="X214">
        <v>0</v>
      </c>
      <c r="Z214">
        <v>0</v>
      </c>
      <c r="AA214">
        <v>0</v>
      </c>
      <c r="AB214">
        <v>0</v>
      </c>
      <c r="AC214">
        <v>0</v>
      </c>
      <c r="AD214" t="s">
        <v>533</v>
      </c>
    </row>
    <row r="215" spans="1:30" x14ac:dyDescent="0.25">
      <c r="H215" t="s">
        <v>534</v>
      </c>
    </row>
    <row r="216" spans="1:30" x14ac:dyDescent="0.25">
      <c r="A216">
        <v>105</v>
      </c>
      <c r="B216">
        <v>746</v>
      </c>
      <c r="C216" t="s">
        <v>201</v>
      </c>
      <c r="D216" t="s">
        <v>535</v>
      </c>
      <c r="E216" t="s">
        <v>76</v>
      </c>
      <c r="F216" t="s">
        <v>536</v>
      </c>
      <c r="G216" t="str">
        <f>"00255660"</f>
        <v>00255660</v>
      </c>
      <c r="H216">
        <v>781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60</v>
      </c>
      <c r="W216">
        <v>420</v>
      </c>
      <c r="X216">
        <v>0</v>
      </c>
      <c r="Z216">
        <v>0</v>
      </c>
      <c r="AA216">
        <v>0</v>
      </c>
      <c r="AB216">
        <v>24</v>
      </c>
      <c r="AC216">
        <v>408</v>
      </c>
      <c r="AD216">
        <v>1609</v>
      </c>
    </row>
    <row r="217" spans="1:30" x14ac:dyDescent="0.25">
      <c r="H217" t="s">
        <v>537</v>
      </c>
    </row>
    <row r="218" spans="1:30" x14ac:dyDescent="0.25">
      <c r="A218">
        <v>106</v>
      </c>
      <c r="B218">
        <v>3819</v>
      </c>
      <c r="C218" t="s">
        <v>538</v>
      </c>
      <c r="D218" t="s">
        <v>120</v>
      </c>
      <c r="E218" t="s">
        <v>49</v>
      </c>
      <c r="F218" t="s">
        <v>539</v>
      </c>
      <c r="G218" t="str">
        <f>"00231444"</f>
        <v>00231444</v>
      </c>
      <c r="H218">
        <v>649</v>
      </c>
      <c r="I218">
        <v>0</v>
      </c>
      <c r="J218">
        <v>0</v>
      </c>
      <c r="K218">
        <v>0</v>
      </c>
      <c r="L218">
        <v>0</v>
      </c>
      <c r="M218">
        <v>100</v>
      </c>
      <c r="N218">
        <v>30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60</v>
      </c>
      <c r="W218">
        <v>420</v>
      </c>
      <c r="X218">
        <v>0</v>
      </c>
      <c r="Z218">
        <v>0</v>
      </c>
      <c r="AA218">
        <v>0</v>
      </c>
      <c r="AB218">
        <v>24</v>
      </c>
      <c r="AC218">
        <v>408</v>
      </c>
      <c r="AD218">
        <v>1607</v>
      </c>
    </row>
    <row r="219" spans="1:30" x14ac:dyDescent="0.25">
      <c r="H219" t="s">
        <v>540</v>
      </c>
    </row>
    <row r="220" spans="1:30" x14ac:dyDescent="0.25">
      <c r="A220">
        <v>107</v>
      </c>
      <c r="B220">
        <v>2382</v>
      </c>
      <c r="C220" t="s">
        <v>541</v>
      </c>
      <c r="D220" t="s">
        <v>542</v>
      </c>
      <c r="E220" t="s">
        <v>40</v>
      </c>
      <c r="F220" t="s">
        <v>543</v>
      </c>
      <c r="G220" t="str">
        <f>"00006181"</f>
        <v>00006181</v>
      </c>
      <c r="H220">
        <v>748</v>
      </c>
      <c r="I220">
        <v>0</v>
      </c>
      <c r="J220">
        <v>0</v>
      </c>
      <c r="K220">
        <v>0</v>
      </c>
      <c r="L220">
        <v>200</v>
      </c>
      <c r="M220">
        <v>0</v>
      </c>
      <c r="N220">
        <v>70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84</v>
      </c>
      <c r="W220">
        <v>588</v>
      </c>
      <c r="X220">
        <v>0</v>
      </c>
      <c r="Z220">
        <v>0</v>
      </c>
      <c r="AA220">
        <v>0</v>
      </c>
      <c r="AB220">
        <v>0</v>
      </c>
      <c r="AC220">
        <v>0</v>
      </c>
      <c r="AD220">
        <v>1606</v>
      </c>
    </row>
    <row r="221" spans="1:30" x14ac:dyDescent="0.25">
      <c r="H221" t="s">
        <v>544</v>
      </c>
    </row>
    <row r="222" spans="1:30" x14ac:dyDescent="0.25">
      <c r="A222">
        <v>108</v>
      </c>
      <c r="B222">
        <v>3446</v>
      </c>
      <c r="C222" t="s">
        <v>545</v>
      </c>
      <c r="D222" t="s">
        <v>28</v>
      </c>
      <c r="E222" t="s">
        <v>49</v>
      </c>
      <c r="F222" t="s">
        <v>546</v>
      </c>
      <c r="G222" t="str">
        <f>"00141706"</f>
        <v>00141706</v>
      </c>
      <c r="H222">
        <v>748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30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60</v>
      </c>
      <c r="W222">
        <v>420</v>
      </c>
      <c r="X222">
        <v>0</v>
      </c>
      <c r="Z222">
        <v>0</v>
      </c>
      <c r="AA222">
        <v>0</v>
      </c>
      <c r="AB222">
        <v>24</v>
      </c>
      <c r="AC222">
        <v>408</v>
      </c>
      <c r="AD222">
        <v>1606</v>
      </c>
    </row>
    <row r="223" spans="1:30" x14ac:dyDescent="0.25">
      <c r="H223" t="s">
        <v>547</v>
      </c>
    </row>
    <row r="224" spans="1:30" x14ac:dyDescent="0.25">
      <c r="A224">
        <v>109</v>
      </c>
      <c r="B224">
        <v>3650</v>
      </c>
      <c r="C224" t="s">
        <v>548</v>
      </c>
      <c r="D224" t="s">
        <v>180</v>
      </c>
      <c r="E224" t="s">
        <v>167</v>
      </c>
      <c r="F224" t="s">
        <v>549</v>
      </c>
      <c r="G224" t="str">
        <f>"00181461"</f>
        <v>00181461</v>
      </c>
      <c r="H224" t="s">
        <v>550</v>
      </c>
      <c r="I224">
        <v>150</v>
      </c>
      <c r="J224">
        <v>0</v>
      </c>
      <c r="K224">
        <v>0</v>
      </c>
      <c r="L224">
        <v>0</v>
      </c>
      <c r="M224">
        <v>0</v>
      </c>
      <c r="N224">
        <v>30</v>
      </c>
      <c r="O224">
        <v>30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84</v>
      </c>
      <c r="W224">
        <v>588</v>
      </c>
      <c r="X224">
        <v>0</v>
      </c>
      <c r="Z224">
        <v>2</v>
      </c>
      <c r="AA224">
        <v>0</v>
      </c>
      <c r="AB224">
        <v>0</v>
      </c>
      <c r="AC224">
        <v>0</v>
      </c>
      <c r="AD224" t="s">
        <v>551</v>
      </c>
    </row>
    <row r="225" spans="1:30" x14ac:dyDescent="0.25">
      <c r="H225" t="s">
        <v>552</v>
      </c>
    </row>
    <row r="226" spans="1:30" x14ac:dyDescent="0.25">
      <c r="A226">
        <v>110</v>
      </c>
      <c r="B226">
        <v>1555</v>
      </c>
      <c r="C226" t="s">
        <v>553</v>
      </c>
      <c r="D226" t="s">
        <v>554</v>
      </c>
      <c r="E226" t="s">
        <v>167</v>
      </c>
      <c r="F226" t="s">
        <v>555</v>
      </c>
      <c r="G226" t="str">
        <f>"00255239"</f>
        <v>00255239</v>
      </c>
      <c r="H226">
        <v>803</v>
      </c>
      <c r="I226">
        <v>0</v>
      </c>
      <c r="J226">
        <v>0</v>
      </c>
      <c r="K226">
        <v>0</v>
      </c>
      <c r="L226">
        <v>200</v>
      </c>
      <c r="M226">
        <v>0</v>
      </c>
      <c r="N226">
        <v>50</v>
      </c>
      <c r="O226">
        <v>30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74</v>
      </c>
      <c r="W226">
        <v>518</v>
      </c>
      <c r="X226">
        <v>0</v>
      </c>
      <c r="Z226">
        <v>0</v>
      </c>
      <c r="AA226">
        <v>0</v>
      </c>
      <c r="AB226">
        <v>0</v>
      </c>
      <c r="AC226">
        <v>0</v>
      </c>
      <c r="AD226">
        <v>1601</v>
      </c>
    </row>
    <row r="227" spans="1:30" x14ac:dyDescent="0.25">
      <c r="H227" t="s">
        <v>556</v>
      </c>
    </row>
    <row r="228" spans="1:30" x14ac:dyDescent="0.25">
      <c r="A228">
        <v>111</v>
      </c>
      <c r="B228">
        <v>1010</v>
      </c>
      <c r="C228" t="s">
        <v>557</v>
      </c>
      <c r="D228" t="s">
        <v>180</v>
      </c>
      <c r="E228" t="s">
        <v>120</v>
      </c>
      <c r="F228" t="s">
        <v>558</v>
      </c>
      <c r="G228" t="str">
        <f>"200712003664"</f>
        <v>200712003664</v>
      </c>
      <c r="H228">
        <v>759</v>
      </c>
      <c r="I228">
        <v>0</v>
      </c>
      <c r="J228">
        <v>0</v>
      </c>
      <c r="K228">
        <v>0</v>
      </c>
      <c r="L228">
        <v>200</v>
      </c>
      <c r="M228">
        <v>0</v>
      </c>
      <c r="N228">
        <v>50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84</v>
      </c>
      <c r="W228">
        <v>588</v>
      </c>
      <c r="X228">
        <v>0</v>
      </c>
      <c r="Z228">
        <v>0</v>
      </c>
      <c r="AA228">
        <v>0</v>
      </c>
      <c r="AB228">
        <v>0</v>
      </c>
      <c r="AC228">
        <v>0</v>
      </c>
      <c r="AD228">
        <v>1597</v>
      </c>
    </row>
    <row r="229" spans="1:30" x14ac:dyDescent="0.25">
      <c r="H229" t="s">
        <v>559</v>
      </c>
    </row>
    <row r="230" spans="1:30" x14ac:dyDescent="0.25">
      <c r="A230">
        <v>112</v>
      </c>
      <c r="B230">
        <v>1426</v>
      </c>
      <c r="C230" t="s">
        <v>560</v>
      </c>
      <c r="D230" t="s">
        <v>39</v>
      </c>
      <c r="E230" t="s">
        <v>120</v>
      </c>
      <c r="F230" t="s">
        <v>561</v>
      </c>
      <c r="G230" t="str">
        <f>"201406012047"</f>
        <v>201406012047</v>
      </c>
      <c r="H230" t="s">
        <v>562</v>
      </c>
      <c r="I230">
        <v>0</v>
      </c>
      <c r="J230">
        <v>0</v>
      </c>
      <c r="K230">
        <v>0</v>
      </c>
      <c r="L230">
        <v>200</v>
      </c>
      <c r="M230">
        <v>0</v>
      </c>
      <c r="N230">
        <v>70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84</v>
      </c>
      <c r="W230">
        <v>588</v>
      </c>
      <c r="X230">
        <v>0</v>
      </c>
      <c r="Z230">
        <v>0</v>
      </c>
      <c r="AA230">
        <v>0</v>
      </c>
      <c r="AB230">
        <v>0</v>
      </c>
      <c r="AC230">
        <v>0</v>
      </c>
      <c r="AD230" t="s">
        <v>563</v>
      </c>
    </row>
    <row r="231" spans="1:30" x14ac:dyDescent="0.25">
      <c r="H231" t="s">
        <v>564</v>
      </c>
    </row>
    <row r="232" spans="1:30" x14ac:dyDescent="0.25">
      <c r="A232">
        <v>113</v>
      </c>
      <c r="B232">
        <v>5611</v>
      </c>
      <c r="C232" t="s">
        <v>565</v>
      </c>
      <c r="D232" t="s">
        <v>566</v>
      </c>
      <c r="E232" t="s">
        <v>102</v>
      </c>
      <c r="F232" t="s">
        <v>567</v>
      </c>
      <c r="G232" t="str">
        <f>"00004583"</f>
        <v>00004583</v>
      </c>
      <c r="H232" t="s">
        <v>568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70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84</v>
      </c>
      <c r="W232">
        <v>588</v>
      </c>
      <c r="X232">
        <v>0</v>
      </c>
      <c r="Z232">
        <v>1</v>
      </c>
      <c r="AA232">
        <v>0</v>
      </c>
      <c r="AB232">
        <v>0</v>
      </c>
      <c r="AC232">
        <v>0</v>
      </c>
      <c r="AD232" t="s">
        <v>569</v>
      </c>
    </row>
    <row r="233" spans="1:30" x14ac:dyDescent="0.25">
      <c r="H233" t="s">
        <v>570</v>
      </c>
    </row>
    <row r="234" spans="1:30" x14ac:dyDescent="0.25">
      <c r="A234">
        <v>114</v>
      </c>
      <c r="B234">
        <v>1931</v>
      </c>
      <c r="C234" t="s">
        <v>571</v>
      </c>
      <c r="D234" t="s">
        <v>142</v>
      </c>
      <c r="E234" t="s">
        <v>167</v>
      </c>
      <c r="F234" t="s">
        <v>572</v>
      </c>
      <c r="G234" t="str">
        <f>"00321619"</f>
        <v>00321619</v>
      </c>
      <c r="H234" t="s">
        <v>573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60</v>
      </c>
      <c r="W234">
        <v>420</v>
      </c>
      <c r="X234">
        <v>0</v>
      </c>
      <c r="Z234">
        <v>0</v>
      </c>
      <c r="AA234">
        <v>0</v>
      </c>
      <c r="AB234">
        <v>24</v>
      </c>
      <c r="AC234">
        <v>408</v>
      </c>
      <c r="AD234" t="s">
        <v>574</v>
      </c>
    </row>
    <row r="235" spans="1:30" x14ac:dyDescent="0.25">
      <c r="H235" t="s">
        <v>575</v>
      </c>
    </row>
    <row r="236" spans="1:30" x14ac:dyDescent="0.25">
      <c r="A236">
        <v>115</v>
      </c>
      <c r="B236">
        <v>2708</v>
      </c>
      <c r="C236" t="s">
        <v>576</v>
      </c>
      <c r="D236" t="s">
        <v>319</v>
      </c>
      <c r="E236" t="s">
        <v>254</v>
      </c>
      <c r="F236" t="s">
        <v>577</v>
      </c>
      <c r="G236" t="str">
        <f>"00300982"</f>
        <v>00300982</v>
      </c>
      <c r="H236" t="s">
        <v>573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60</v>
      </c>
      <c r="W236">
        <v>420</v>
      </c>
      <c r="X236">
        <v>0</v>
      </c>
      <c r="Z236">
        <v>2</v>
      </c>
      <c r="AA236">
        <v>0</v>
      </c>
      <c r="AB236">
        <v>24</v>
      </c>
      <c r="AC236">
        <v>408</v>
      </c>
      <c r="AD236" t="s">
        <v>574</v>
      </c>
    </row>
    <row r="237" spans="1:30" x14ac:dyDescent="0.25">
      <c r="H237" t="s">
        <v>578</v>
      </c>
    </row>
    <row r="238" spans="1:30" x14ac:dyDescent="0.25">
      <c r="A238">
        <v>116</v>
      </c>
      <c r="B238">
        <v>1722</v>
      </c>
      <c r="C238" t="s">
        <v>579</v>
      </c>
      <c r="D238" t="s">
        <v>580</v>
      </c>
      <c r="E238" t="s">
        <v>337</v>
      </c>
      <c r="F238" t="s">
        <v>581</v>
      </c>
      <c r="G238" t="str">
        <f>"00286525"</f>
        <v>00286525</v>
      </c>
      <c r="H238">
        <v>946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30</v>
      </c>
      <c r="O238">
        <v>0</v>
      </c>
      <c r="P238">
        <v>0</v>
      </c>
      <c r="Q238">
        <v>30</v>
      </c>
      <c r="R238">
        <v>0</v>
      </c>
      <c r="S238">
        <v>0</v>
      </c>
      <c r="T238">
        <v>0</v>
      </c>
      <c r="U238">
        <v>0</v>
      </c>
      <c r="V238">
        <v>84</v>
      </c>
      <c r="W238">
        <v>588</v>
      </c>
      <c r="X238">
        <v>0</v>
      </c>
      <c r="Z238">
        <v>2</v>
      </c>
      <c r="AA238">
        <v>0</v>
      </c>
      <c r="AB238">
        <v>0</v>
      </c>
      <c r="AC238">
        <v>0</v>
      </c>
      <c r="AD238">
        <v>1594</v>
      </c>
    </row>
    <row r="239" spans="1:30" x14ac:dyDescent="0.25">
      <c r="H239" t="s">
        <v>582</v>
      </c>
    </row>
    <row r="240" spans="1:30" x14ac:dyDescent="0.25">
      <c r="A240">
        <v>117</v>
      </c>
      <c r="B240">
        <v>2378</v>
      </c>
      <c r="C240" t="s">
        <v>583</v>
      </c>
      <c r="D240" t="s">
        <v>584</v>
      </c>
      <c r="E240" t="s">
        <v>49</v>
      </c>
      <c r="F240" t="s">
        <v>585</v>
      </c>
      <c r="G240" t="str">
        <f>"201510000621"</f>
        <v>201510000621</v>
      </c>
      <c r="H240" t="s">
        <v>586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70</v>
      </c>
      <c r="O240">
        <v>30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60</v>
      </c>
      <c r="W240">
        <v>420</v>
      </c>
      <c r="X240">
        <v>0</v>
      </c>
      <c r="Z240">
        <v>0</v>
      </c>
      <c r="AA240">
        <v>0</v>
      </c>
      <c r="AB240">
        <v>24</v>
      </c>
      <c r="AC240">
        <v>408</v>
      </c>
      <c r="AD240" t="s">
        <v>587</v>
      </c>
    </row>
    <row r="241" spans="1:30" x14ac:dyDescent="0.25">
      <c r="H241" t="s">
        <v>570</v>
      </c>
    </row>
    <row r="242" spans="1:30" x14ac:dyDescent="0.25">
      <c r="A242">
        <v>118</v>
      </c>
      <c r="B242">
        <v>5760</v>
      </c>
      <c r="C242" t="s">
        <v>588</v>
      </c>
      <c r="D242" t="s">
        <v>589</v>
      </c>
      <c r="E242" t="s">
        <v>32</v>
      </c>
      <c r="F242" t="s">
        <v>590</v>
      </c>
      <c r="G242" t="str">
        <f>"201511038508"</f>
        <v>201511038508</v>
      </c>
      <c r="H242" t="s">
        <v>591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50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60</v>
      </c>
      <c r="W242">
        <v>420</v>
      </c>
      <c r="X242">
        <v>0</v>
      </c>
      <c r="Z242">
        <v>1</v>
      </c>
      <c r="AA242">
        <v>0</v>
      </c>
      <c r="AB242">
        <v>24</v>
      </c>
      <c r="AC242">
        <v>408</v>
      </c>
      <c r="AD242" t="s">
        <v>592</v>
      </c>
    </row>
    <row r="243" spans="1:30" x14ac:dyDescent="0.25">
      <c r="H243" t="s">
        <v>593</v>
      </c>
    </row>
    <row r="244" spans="1:30" x14ac:dyDescent="0.25">
      <c r="A244">
        <v>119</v>
      </c>
      <c r="B244">
        <v>5795</v>
      </c>
      <c r="C244" t="s">
        <v>594</v>
      </c>
      <c r="D244" t="s">
        <v>20</v>
      </c>
      <c r="E244" t="s">
        <v>77</v>
      </c>
      <c r="F244" t="s">
        <v>595</v>
      </c>
      <c r="G244" t="str">
        <f>"00251950"</f>
        <v>00251950</v>
      </c>
      <c r="H244">
        <v>770</v>
      </c>
      <c r="I244">
        <v>0</v>
      </c>
      <c r="J244">
        <v>0</v>
      </c>
      <c r="K244">
        <v>0</v>
      </c>
      <c r="L244">
        <v>200</v>
      </c>
      <c r="M244">
        <v>0</v>
      </c>
      <c r="N244">
        <v>30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84</v>
      </c>
      <c r="W244">
        <v>588</v>
      </c>
      <c r="X244">
        <v>0</v>
      </c>
      <c r="Z244">
        <v>0</v>
      </c>
      <c r="AA244">
        <v>0</v>
      </c>
      <c r="AB244">
        <v>0</v>
      </c>
      <c r="AC244">
        <v>0</v>
      </c>
      <c r="AD244">
        <v>1588</v>
      </c>
    </row>
    <row r="245" spans="1:30" x14ac:dyDescent="0.25">
      <c r="H245" t="s">
        <v>596</v>
      </c>
    </row>
    <row r="246" spans="1:30" x14ac:dyDescent="0.25">
      <c r="A246">
        <v>120</v>
      </c>
      <c r="B246">
        <v>5296</v>
      </c>
      <c r="C246" t="s">
        <v>597</v>
      </c>
      <c r="D246" t="s">
        <v>598</v>
      </c>
      <c r="E246" t="s">
        <v>49</v>
      </c>
      <c r="F246" t="s">
        <v>599</v>
      </c>
      <c r="G246" t="str">
        <f>"00345690"</f>
        <v>00345690</v>
      </c>
      <c r="H246">
        <v>759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60</v>
      </c>
      <c r="W246">
        <v>420</v>
      </c>
      <c r="X246">
        <v>0</v>
      </c>
      <c r="Z246">
        <v>0</v>
      </c>
      <c r="AA246">
        <v>0</v>
      </c>
      <c r="AB246">
        <v>24</v>
      </c>
      <c r="AC246">
        <v>408</v>
      </c>
      <c r="AD246">
        <v>1587</v>
      </c>
    </row>
    <row r="247" spans="1:30" x14ac:dyDescent="0.25">
      <c r="H247" t="s">
        <v>600</v>
      </c>
    </row>
    <row r="248" spans="1:30" x14ac:dyDescent="0.25">
      <c r="A248">
        <v>121</v>
      </c>
      <c r="B248">
        <v>4428</v>
      </c>
      <c r="C248" t="s">
        <v>601</v>
      </c>
      <c r="D248" t="s">
        <v>166</v>
      </c>
      <c r="E248" t="s">
        <v>602</v>
      </c>
      <c r="F248" t="s">
        <v>603</v>
      </c>
      <c r="G248" t="str">
        <f>"201511039792"</f>
        <v>201511039792</v>
      </c>
      <c r="H248">
        <v>946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50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84</v>
      </c>
      <c r="W248">
        <v>588</v>
      </c>
      <c r="X248">
        <v>0</v>
      </c>
      <c r="Z248">
        <v>0</v>
      </c>
      <c r="AA248">
        <v>0</v>
      </c>
      <c r="AB248">
        <v>0</v>
      </c>
      <c r="AC248">
        <v>0</v>
      </c>
      <c r="AD248">
        <v>1584</v>
      </c>
    </row>
    <row r="249" spans="1:30" x14ac:dyDescent="0.25">
      <c r="H249" t="s">
        <v>604</v>
      </c>
    </row>
    <row r="250" spans="1:30" x14ac:dyDescent="0.25">
      <c r="A250">
        <v>122</v>
      </c>
      <c r="B250">
        <v>1191</v>
      </c>
      <c r="C250" t="s">
        <v>605</v>
      </c>
      <c r="D250" t="s">
        <v>218</v>
      </c>
      <c r="E250" t="s">
        <v>102</v>
      </c>
      <c r="F250" t="s">
        <v>606</v>
      </c>
      <c r="G250" t="str">
        <f>"201405000514"</f>
        <v>201405000514</v>
      </c>
      <c r="H250">
        <v>726</v>
      </c>
      <c r="I250">
        <v>0</v>
      </c>
      <c r="J250">
        <v>0</v>
      </c>
      <c r="K250">
        <v>0</v>
      </c>
      <c r="L250">
        <v>200</v>
      </c>
      <c r="M250">
        <v>0</v>
      </c>
      <c r="N250">
        <v>70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84</v>
      </c>
      <c r="W250">
        <v>588</v>
      </c>
      <c r="X250">
        <v>0</v>
      </c>
      <c r="Z250">
        <v>0</v>
      </c>
      <c r="AA250">
        <v>0</v>
      </c>
      <c r="AB250">
        <v>0</v>
      </c>
      <c r="AC250">
        <v>0</v>
      </c>
      <c r="AD250">
        <v>1584</v>
      </c>
    </row>
    <row r="251" spans="1:30" x14ac:dyDescent="0.25">
      <c r="H251" t="s">
        <v>607</v>
      </c>
    </row>
    <row r="252" spans="1:30" x14ac:dyDescent="0.25">
      <c r="A252">
        <v>123</v>
      </c>
      <c r="B252">
        <v>2715</v>
      </c>
      <c r="C252" t="s">
        <v>608</v>
      </c>
      <c r="D252" t="s">
        <v>191</v>
      </c>
      <c r="E252" t="s">
        <v>254</v>
      </c>
      <c r="F252" t="s">
        <v>609</v>
      </c>
      <c r="G252" t="str">
        <f>"201411001709"</f>
        <v>201411001709</v>
      </c>
      <c r="H252">
        <v>726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30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60</v>
      </c>
      <c r="W252">
        <v>420</v>
      </c>
      <c r="X252">
        <v>0</v>
      </c>
      <c r="Z252">
        <v>0</v>
      </c>
      <c r="AA252">
        <v>0</v>
      </c>
      <c r="AB252">
        <v>24</v>
      </c>
      <c r="AC252">
        <v>408</v>
      </c>
      <c r="AD252">
        <v>1584</v>
      </c>
    </row>
    <row r="253" spans="1:30" x14ac:dyDescent="0.25">
      <c r="H253" t="s">
        <v>610</v>
      </c>
    </row>
    <row r="254" spans="1:30" x14ac:dyDescent="0.25">
      <c r="A254">
        <v>124</v>
      </c>
      <c r="B254">
        <v>5205</v>
      </c>
      <c r="C254" t="s">
        <v>611</v>
      </c>
      <c r="D254" t="s">
        <v>236</v>
      </c>
      <c r="E254" t="s">
        <v>102</v>
      </c>
      <c r="F254" t="s">
        <v>612</v>
      </c>
      <c r="G254" t="str">
        <f>"00157178"</f>
        <v>00157178</v>
      </c>
      <c r="H254">
        <v>726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30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60</v>
      </c>
      <c r="W254">
        <v>420</v>
      </c>
      <c r="X254">
        <v>0</v>
      </c>
      <c r="Z254">
        <v>0</v>
      </c>
      <c r="AA254">
        <v>0</v>
      </c>
      <c r="AB254">
        <v>24</v>
      </c>
      <c r="AC254">
        <v>408</v>
      </c>
      <c r="AD254">
        <v>1584</v>
      </c>
    </row>
    <row r="255" spans="1:30" x14ac:dyDescent="0.25">
      <c r="H255" t="s">
        <v>613</v>
      </c>
    </row>
    <row r="256" spans="1:30" x14ac:dyDescent="0.25">
      <c r="A256">
        <v>125</v>
      </c>
      <c r="B256">
        <v>2278</v>
      </c>
      <c r="C256" t="s">
        <v>614</v>
      </c>
      <c r="D256" t="s">
        <v>615</v>
      </c>
      <c r="E256" t="s">
        <v>49</v>
      </c>
      <c r="F256" t="s">
        <v>616</v>
      </c>
      <c r="G256" t="str">
        <f>"201406004319"</f>
        <v>201406004319</v>
      </c>
      <c r="H256">
        <v>715</v>
      </c>
      <c r="I256">
        <v>150</v>
      </c>
      <c r="J256">
        <v>0</v>
      </c>
      <c r="K256">
        <v>0</v>
      </c>
      <c r="L256">
        <v>0</v>
      </c>
      <c r="M256">
        <v>0</v>
      </c>
      <c r="N256">
        <v>50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76</v>
      </c>
      <c r="W256">
        <v>532</v>
      </c>
      <c r="X256">
        <v>0</v>
      </c>
      <c r="Z256">
        <v>0</v>
      </c>
      <c r="AA256">
        <v>0</v>
      </c>
      <c r="AB256">
        <v>8</v>
      </c>
      <c r="AC256">
        <v>136</v>
      </c>
      <c r="AD256">
        <v>1583</v>
      </c>
    </row>
    <row r="257" spans="1:30" x14ac:dyDescent="0.25">
      <c r="H257" t="s">
        <v>617</v>
      </c>
    </row>
    <row r="258" spans="1:30" x14ac:dyDescent="0.25">
      <c r="A258">
        <v>126</v>
      </c>
      <c r="B258">
        <v>2004</v>
      </c>
      <c r="C258" t="s">
        <v>618</v>
      </c>
      <c r="D258" t="s">
        <v>444</v>
      </c>
      <c r="E258" t="s">
        <v>32</v>
      </c>
      <c r="F258" t="s">
        <v>619</v>
      </c>
      <c r="G258" t="str">
        <f>"201412005537"</f>
        <v>201412005537</v>
      </c>
      <c r="H258" t="s">
        <v>620</v>
      </c>
      <c r="I258">
        <v>0</v>
      </c>
      <c r="J258">
        <v>0</v>
      </c>
      <c r="K258">
        <v>0</v>
      </c>
      <c r="L258">
        <v>200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84</v>
      </c>
      <c r="W258">
        <v>588</v>
      </c>
      <c r="X258">
        <v>0</v>
      </c>
      <c r="Z258">
        <v>0</v>
      </c>
      <c r="AA258">
        <v>0</v>
      </c>
      <c r="AB258">
        <v>0</v>
      </c>
      <c r="AC258">
        <v>0</v>
      </c>
      <c r="AD258" t="s">
        <v>621</v>
      </c>
    </row>
    <row r="259" spans="1:30" x14ac:dyDescent="0.25">
      <c r="H259" t="s">
        <v>622</v>
      </c>
    </row>
    <row r="260" spans="1:30" x14ac:dyDescent="0.25">
      <c r="A260">
        <v>127</v>
      </c>
      <c r="B260">
        <v>3949</v>
      </c>
      <c r="C260" t="s">
        <v>623</v>
      </c>
      <c r="D260" t="s">
        <v>624</v>
      </c>
      <c r="E260" t="s">
        <v>625</v>
      </c>
      <c r="F260" t="s">
        <v>626</v>
      </c>
      <c r="G260" t="str">
        <f>"200801003576"</f>
        <v>200801003576</v>
      </c>
      <c r="H260">
        <v>803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30</v>
      </c>
      <c r="O260">
        <v>0</v>
      </c>
      <c r="P260">
        <v>0</v>
      </c>
      <c r="Q260">
        <v>30</v>
      </c>
      <c r="R260">
        <v>0</v>
      </c>
      <c r="S260">
        <v>0</v>
      </c>
      <c r="T260">
        <v>0</v>
      </c>
      <c r="U260">
        <v>0</v>
      </c>
      <c r="V260">
        <v>71</v>
      </c>
      <c r="W260">
        <v>497</v>
      </c>
      <c r="X260">
        <v>0</v>
      </c>
      <c r="Z260">
        <v>0</v>
      </c>
      <c r="AA260">
        <v>0</v>
      </c>
      <c r="AB260">
        <v>13</v>
      </c>
      <c r="AC260">
        <v>221</v>
      </c>
      <c r="AD260">
        <v>1581</v>
      </c>
    </row>
    <row r="261" spans="1:30" x14ac:dyDescent="0.25">
      <c r="H261" t="s">
        <v>627</v>
      </c>
    </row>
    <row r="262" spans="1:30" x14ac:dyDescent="0.25">
      <c r="A262">
        <v>128</v>
      </c>
      <c r="B262">
        <v>4309</v>
      </c>
      <c r="C262" t="s">
        <v>628</v>
      </c>
      <c r="D262" t="s">
        <v>629</v>
      </c>
      <c r="E262" t="s">
        <v>102</v>
      </c>
      <c r="F262" t="s">
        <v>630</v>
      </c>
      <c r="G262" t="str">
        <f>"00333308"</f>
        <v>00333308</v>
      </c>
      <c r="H262" t="s">
        <v>631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30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60</v>
      </c>
      <c r="W262">
        <v>420</v>
      </c>
      <c r="X262">
        <v>0</v>
      </c>
      <c r="Z262">
        <v>0</v>
      </c>
      <c r="AA262">
        <v>0</v>
      </c>
      <c r="AB262">
        <v>24</v>
      </c>
      <c r="AC262">
        <v>408</v>
      </c>
      <c r="AD262" t="s">
        <v>632</v>
      </c>
    </row>
    <row r="263" spans="1:30" x14ac:dyDescent="0.25">
      <c r="H263" t="s">
        <v>633</v>
      </c>
    </row>
    <row r="264" spans="1:30" x14ac:dyDescent="0.25">
      <c r="A264">
        <v>129</v>
      </c>
      <c r="B264">
        <v>6116</v>
      </c>
      <c r="C264" t="s">
        <v>634</v>
      </c>
      <c r="D264" t="s">
        <v>306</v>
      </c>
      <c r="E264" t="s">
        <v>49</v>
      </c>
      <c r="F264" t="s">
        <v>635</v>
      </c>
      <c r="G264" t="str">
        <f>"00368921"</f>
        <v>00368921</v>
      </c>
      <c r="H264" t="s">
        <v>455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70</v>
      </c>
      <c r="O264">
        <v>30</v>
      </c>
      <c r="P264">
        <v>0</v>
      </c>
      <c r="Q264">
        <v>50</v>
      </c>
      <c r="R264">
        <v>0</v>
      </c>
      <c r="S264">
        <v>0</v>
      </c>
      <c r="T264">
        <v>0</v>
      </c>
      <c r="U264">
        <v>0</v>
      </c>
      <c r="V264">
        <v>78</v>
      </c>
      <c r="W264">
        <v>546</v>
      </c>
      <c r="X264">
        <v>0</v>
      </c>
      <c r="Z264">
        <v>0</v>
      </c>
      <c r="AA264">
        <v>0</v>
      </c>
      <c r="AB264">
        <v>6</v>
      </c>
      <c r="AC264">
        <v>102</v>
      </c>
      <c r="AD264" t="s">
        <v>636</v>
      </c>
    </row>
    <row r="265" spans="1:30" x14ac:dyDescent="0.25">
      <c r="H265" t="s">
        <v>153</v>
      </c>
    </row>
    <row r="266" spans="1:30" x14ac:dyDescent="0.25">
      <c r="A266">
        <v>130</v>
      </c>
      <c r="B266">
        <v>1158</v>
      </c>
      <c r="C266" t="s">
        <v>637</v>
      </c>
      <c r="D266" t="s">
        <v>638</v>
      </c>
      <c r="E266" t="s">
        <v>254</v>
      </c>
      <c r="F266" t="s">
        <v>639</v>
      </c>
      <c r="G266" t="str">
        <f>"200901000066"</f>
        <v>200901000066</v>
      </c>
      <c r="H266">
        <v>759</v>
      </c>
      <c r="I266">
        <v>0</v>
      </c>
      <c r="J266">
        <v>0</v>
      </c>
      <c r="K266">
        <v>0</v>
      </c>
      <c r="L266">
        <v>200</v>
      </c>
      <c r="M266">
        <v>0</v>
      </c>
      <c r="N266">
        <v>30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84</v>
      </c>
      <c r="W266">
        <v>588</v>
      </c>
      <c r="X266">
        <v>0</v>
      </c>
      <c r="Z266">
        <v>0</v>
      </c>
      <c r="AA266">
        <v>0</v>
      </c>
      <c r="AB266">
        <v>0</v>
      </c>
      <c r="AC266">
        <v>0</v>
      </c>
      <c r="AD266">
        <v>1577</v>
      </c>
    </row>
    <row r="267" spans="1:30" x14ac:dyDescent="0.25">
      <c r="H267" t="s">
        <v>640</v>
      </c>
    </row>
    <row r="268" spans="1:30" x14ac:dyDescent="0.25">
      <c r="A268">
        <v>131</v>
      </c>
      <c r="B268">
        <v>3346</v>
      </c>
      <c r="C268" t="s">
        <v>641</v>
      </c>
      <c r="D268" t="s">
        <v>49</v>
      </c>
      <c r="E268" t="s">
        <v>32</v>
      </c>
      <c r="F268" t="s">
        <v>642</v>
      </c>
      <c r="G268" t="str">
        <f>"201001000375"</f>
        <v>201001000375</v>
      </c>
      <c r="H268">
        <v>649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50</v>
      </c>
      <c r="O268">
        <v>0</v>
      </c>
      <c r="P268">
        <v>50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60</v>
      </c>
      <c r="W268">
        <v>420</v>
      </c>
      <c r="X268">
        <v>0</v>
      </c>
      <c r="Z268">
        <v>0</v>
      </c>
      <c r="AA268">
        <v>0</v>
      </c>
      <c r="AB268">
        <v>24</v>
      </c>
      <c r="AC268">
        <v>408</v>
      </c>
      <c r="AD268">
        <v>1577</v>
      </c>
    </row>
    <row r="269" spans="1:30" x14ac:dyDescent="0.25">
      <c r="H269" t="s">
        <v>643</v>
      </c>
    </row>
    <row r="270" spans="1:30" x14ac:dyDescent="0.25">
      <c r="A270">
        <v>132</v>
      </c>
      <c r="B270">
        <v>5766</v>
      </c>
      <c r="C270" t="s">
        <v>438</v>
      </c>
      <c r="D270" t="s">
        <v>32</v>
      </c>
      <c r="E270" t="s">
        <v>254</v>
      </c>
      <c r="F270" t="s">
        <v>644</v>
      </c>
      <c r="G270" t="str">
        <f>"201406005889"</f>
        <v>201406005889</v>
      </c>
      <c r="H270" t="s">
        <v>631</v>
      </c>
      <c r="I270">
        <v>0</v>
      </c>
      <c r="J270">
        <v>0</v>
      </c>
      <c r="K270">
        <v>0</v>
      </c>
      <c r="L270">
        <v>200</v>
      </c>
      <c r="M270">
        <v>0</v>
      </c>
      <c r="N270">
        <v>30</v>
      </c>
      <c r="O270">
        <v>0</v>
      </c>
      <c r="P270">
        <v>0</v>
      </c>
      <c r="Q270">
        <v>50</v>
      </c>
      <c r="R270">
        <v>0</v>
      </c>
      <c r="S270">
        <v>0</v>
      </c>
      <c r="T270">
        <v>0</v>
      </c>
      <c r="U270">
        <v>0</v>
      </c>
      <c r="V270">
        <v>82</v>
      </c>
      <c r="W270">
        <v>574</v>
      </c>
      <c r="X270">
        <v>0</v>
      </c>
      <c r="Z270">
        <v>0</v>
      </c>
      <c r="AA270">
        <v>0</v>
      </c>
      <c r="AB270">
        <v>0</v>
      </c>
      <c r="AC270">
        <v>0</v>
      </c>
      <c r="AD270" t="s">
        <v>645</v>
      </c>
    </row>
    <row r="271" spans="1:30" x14ac:dyDescent="0.25">
      <c r="H271" t="s">
        <v>646</v>
      </c>
    </row>
    <row r="272" spans="1:30" x14ac:dyDescent="0.25">
      <c r="A272">
        <v>133</v>
      </c>
      <c r="B272">
        <v>1857</v>
      </c>
      <c r="C272" t="s">
        <v>647</v>
      </c>
      <c r="D272" t="s">
        <v>32</v>
      </c>
      <c r="E272" t="s">
        <v>648</v>
      </c>
      <c r="F272" t="s">
        <v>649</v>
      </c>
      <c r="G272" t="str">
        <f>"00262686"</f>
        <v>00262686</v>
      </c>
      <c r="H272">
        <v>858</v>
      </c>
      <c r="I272">
        <v>0</v>
      </c>
      <c r="J272">
        <v>0</v>
      </c>
      <c r="K272">
        <v>0</v>
      </c>
      <c r="L272">
        <v>0</v>
      </c>
      <c r="M272">
        <v>100</v>
      </c>
      <c r="N272">
        <v>30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84</v>
      </c>
      <c r="W272">
        <v>588</v>
      </c>
      <c r="X272">
        <v>0</v>
      </c>
      <c r="Z272">
        <v>0</v>
      </c>
      <c r="AA272">
        <v>0</v>
      </c>
      <c r="AB272">
        <v>0</v>
      </c>
      <c r="AC272">
        <v>0</v>
      </c>
      <c r="AD272">
        <v>1576</v>
      </c>
    </row>
    <row r="273" spans="1:30" x14ac:dyDescent="0.25">
      <c r="H273" t="s">
        <v>650</v>
      </c>
    </row>
    <row r="274" spans="1:30" x14ac:dyDescent="0.25">
      <c r="A274">
        <v>134</v>
      </c>
      <c r="B274">
        <v>4815</v>
      </c>
      <c r="C274" t="s">
        <v>517</v>
      </c>
      <c r="D274" t="s">
        <v>57</v>
      </c>
      <c r="E274" t="s">
        <v>102</v>
      </c>
      <c r="F274" t="s">
        <v>651</v>
      </c>
      <c r="G274" t="str">
        <f>"201402005988"</f>
        <v>201402005988</v>
      </c>
      <c r="H274" t="s">
        <v>652</v>
      </c>
      <c r="I274">
        <v>0</v>
      </c>
      <c r="J274">
        <v>0</v>
      </c>
      <c r="K274">
        <v>0</v>
      </c>
      <c r="L274">
        <v>260</v>
      </c>
      <c r="M274">
        <v>0</v>
      </c>
      <c r="N274">
        <v>70</v>
      </c>
      <c r="O274">
        <v>30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13</v>
      </c>
      <c r="W274">
        <v>91</v>
      </c>
      <c r="X274">
        <v>0</v>
      </c>
      <c r="Z274">
        <v>0</v>
      </c>
      <c r="AA274">
        <v>0</v>
      </c>
      <c r="AB274">
        <v>24</v>
      </c>
      <c r="AC274">
        <v>408</v>
      </c>
      <c r="AD274" t="s">
        <v>653</v>
      </c>
    </row>
    <row r="275" spans="1:30" x14ac:dyDescent="0.25">
      <c r="H275" t="s">
        <v>654</v>
      </c>
    </row>
    <row r="276" spans="1:30" x14ac:dyDescent="0.25">
      <c r="A276">
        <v>135</v>
      </c>
      <c r="B276">
        <v>1345</v>
      </c>
      <c r="C276" t="s">
        <v>655</v>
      </c>
      <c r="D276" t="s">
        <v>28</v>
      </c>
      <c r="E276" t="s">
        <v>337</v>
      </c>
      <c r="F276" t="s">
        <v>656</v>
      </c>
      <c r="G276" t="str">
        <f>"201411000126"</f>
        <v>201411000126</v>
      </c>
      <c r="H276">
        <v>726</v>
      </c>
      <c r="I276">
        <v>0</v>
      </c>
      <c r="J276">
        <v>0</v>
      </c>
      <c r="K276">
        <v>0</v>
      </c>
      <c r="L276">
        <v>200</v>
      </c>
      <c r="M276">
        <v>30</v>
      </c>
      <c r="N276">
        <v>30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84</v>
      </c>
      <c r="W276">
        <v>588</v>
      </c>
      <c r="X276">
        <v>0</v>
      </c>
      <c r="Z276">
        <v>0</v>
      </c>
      <c r="AA276">
        <v>0</v>
      </c>
      <c r="AB276">
        <v>0</v>
      </c>
      <c r="AC276">
        <v>0</v>
      </c>
      <c r="AD276">
        <v>1574</v>
      </c>
    </row>
    <row r="277" spans="1:30" x14ac:dyDescent="0.25">
      <c r="H277" t="s">
        <v>657</v>
      </c>
    </row>
    <row r="278" spans="1:30" x14ac:dyDescent="0.25">
      <c r="A278">
        <v>136</v>
      </c>
      <c r="B278">
        <v>401</v>
      </c>
      <c r="C278" t="s">
        <v>271</v>
      </c>
      <c r="D278" t="s">
        <v>658</v>
      </c>
      <c r="E278" t="s">
        <v>40</v>
      </c>
      <c r="F278" t="s">
        <v>659</v>
      </c>
      <c r="G278" t="str">
        <f>"00266146"</f>
        <v>00266146</v>
      </c>
      <c r="H278">
        <v>715</v>
      </c>
      <c r="I278">
        <v>0</v>
      </c>
      <c r="J278">
        <v>0</v>
      </c>
      <c r="K278">
        <v>0</v>
      </c>
      <c r="L278">
        <v>200</v>
      </c>
      <c r="M278">
        <v>0</v>
      </c>
      <c r="N278">
        <v>70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84</v>
      </c>
      <c r="W278">
        <v>588</v>
      </c>
      <c r="X278">
        <v>0</v>
      </c>
      <c r="Z278">
        <v>2</v>
      </c>
      <c r="AA278">
        <v>0</v>
      </c>
      <c r="AB278">
        <v>0</v>
      </c>
      <c r="AC278">
        <v>0</v>
      </c>
      <c r="AD278">
        <v>1573</v>
      </c>
    </row>
    <row r="279" spans="1:30" x14ac:dyDescent="0.25">
      <c r="H279" t="s">
        <v>660</v>
      </c>
    </row>
    <row r="280" spans="1:30" x14ac:dyDescent="0.25">
      <c r="A280">
        <v>137</v>
      </c>
      <c r="B280">
        <v>1616</v>
      </c>
      <c r="C280" t="s">
        <v>661</v>
      </c>
      <c r="D280" t="s">
        <v>225</v>
      </c>
      <c r="E280" t="s">
        <v>107</v>
      </c>
      <c r="F280" t="s">
        <v>662</v>
      </c>
      <c r="G280" t="str">
        <f>"00017436"</f>
        <v>00017436</v>
      </c>
      <c r="H280">
        <v>913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70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84</v>
      </c>
      <c r="W280">
        <v>588</v>
      </c>
      <c r="X280">
        <v>0</v>
      </c>
      <c r="Z280">
        <v>0</v>
      </c>
      <c r="AA280">
        <v>0</v>
      </c>
      <c r="AB280">
        <v>0</v>
      </c>
      <c r="AC280">
        <v>0</v>
      </c>
      <c r="AD280">
        <v>1571</v>
      </c>
    </row>
    <row r="281" spans="1:30" x14ac:dyDescent="0.25">
      <c r="H281" t="s">
        <v>663</v>
      </c>
    </row>
    <row r="282" spans="1:30" x14ac:dyDescent="0.25">
      <c r="A282">
        <v>138</v>
      </c>
      <c r="B282">
        <v>5107</v>
      </c>
      <c r="C282" t="s">
        <v>664</v>
      </c>
      <c r="D282" t="s">
        <v>120</v>
      </c>
      <c r="E282" t="s">
        <v>665</v>
      </c>
      <c r="F282" t="s">
        <v>666</v>
      </c>
      <c r="G282" t="str">
        <f>"00366644"</f>
        <v>00366644</v>
      </c>
      <c r="H282">
        <v>781</v>
      </c>
      <c r="I282">
        <v>0</v>
      </c>
      <c r="J282">
        <v>0</v>
      </c>
      <c r="K282">
        <v>0</v>
      </c>
      <c r="L282">
        <v>200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84</v>
      </c>
      <c r="W282">
        <v>588</v>
      </c>
      <c r="X282">
        <v>0</v>
      </c>
      <c r="Z282">
        <v>0</v>
      </c>
      <c r="AA282">
        <v>0</v>
      </c>
      <c r="AB282">
        <v>0</v>
      </c>
      <c r="AC282">
        <v>0</v>
      </c>
      <c r="AD282">
        <v>1569</v>
      </c>
    </row>
    <row r="283" spans="1:30" x14ac:dyDescent="0.25">
      <c r="H283" t="s">
        <v>667</v>
      </c>
    </row>
    <row r="284" spans="1:30" x14ac:dyDescent="0.25">
      <c r="A284">
        <v>139</v>
      </c>
      <c r="B284">
        <v>4512</v>
      </c>
      <c r="C284" t="s">
        <v>668</v>
      </c>
      <c r="D284" t="s">
        <v>120</v>
      </c>
      <c r="E284" t="s">
        <v>669</v>
      </c>
      <c r="F284" t="s">
        <v>670</v>
      </c>
      <c r="G284" t="str">
        <f>"200802008736"</f>
        <v>200802008736</v>
      </c>
      <c r="H284" t="s">
        <v>671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50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30</v>
      </c>
      <c r="U284">
        <v>0</v>
      </c>
      <c r="V284">
        <v>84</v>
      </c>
      <c r="W284">
        <v>588</v>
      </c>
      <c r="X284">
        <v>0</v>
      </c>
      <c r="Z284">
        <v>0</v>
      </c>
      <c r="AA284">
        <v>0</v>
      </c>
      <c r="AB284">
        <v>0</v>
      </c>
      <c r="AC284">
        <v>0</v>
      </c>
      <c r="AD284" t="s">
        <v>672</v>
      </c>
    </row>
    <row r="285" spans="1:30" x14ac:dyDescent="0.25">
      <c r="H285" t="s">
        <v>673</v>
      </c>
    </row>
    <row r="286" spans="1:30" x14ac:dyDescent="0.25">
      <c r="A286">
        <v>140</v>
      </c>
      <c r="B286">
        <v>3903</v>
      </c>
      <c r="C286" t="s">
        <v>674</v>
      </c>
      <c r="D286" t="s">
        <v>337</v>
      </c>
      <c r="E286" t="s">
        <v>347</v>
      </c>
      <c r="F286" t="s">
        <v>675</v>
      </c>
      <c r="G286" t="str">
        <f>"200801010456"</f>
        <v>200801010456</v>
      </c>
      <c r="H286" t="s">
        <v>676</v>
      </c>
      <c r="I286">
        <v>0</v>
      </c>
      <c r="J286">
        <v>0</v>
      </c>
      <c r="K286">
        <v>0</v>
      </c>
      <c r="L286">
        <v>200</v>
      </c>
      <c r="M286">
        <v>0</v>
      </c>
      <c r="N286">
        <v>70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12</v>
      </c>
      <c r="W286">
        <v>84</v>
      </c>
      <c r="X286">
        <v>0</v>
      </c>
      <c r="Z286">
        <v>0</v>
      </c>
      <c r="AA286">
        <v>0</v>
      </c>
      <c r="AB286">
        <v>18</v>
      </c>
      <c r="AC286">
        <v>306</v>
      </c>
      <c r="AD286" t="s">
        <v>677</v>
      </c>
    </row>
    <row r="287" spans="1:30" x14ac:dyDescent="0.25">
      <c r="H287" t="s">
        <v>678</v>
      </c>
    </row>
    <row r="288" spans="1:30" x14ac:dyDescent="0.25">
      <c r="A288">
        <v>141</v>
      </c>
      <c r="B288">
        <v>3615</v>
      </c>
      <c r="C288" t="s">
        <v>679</v>
      </c>
      <c r="D288" t="s">
        <v>444</v>
      </c>
      <c r="E288" t="s">
        <v>28</v>
      </c>
      <c r="F288" t="s">
        <v>680</v>
      </c>
      <c r="G288" t="str">
        <f>"200802005912"</f>
        <v>200802005912</v>
      </c>
      <c r="H288">
        <v>748</v>
      </c>
      <c r="I288">
        <v>0</v>
      </c>
      <c r="J288">
        <v>0</v>
      </c>
      <c r="K288">
        <v>0</v>
      </c>
      <c r="L288">
        <v>200</v>
      </c>
      <c r="M288">
        <v>0</v>
      </c>
      <c r="N288">
        <v>30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84</v>
      </c>
      <c r="W288">
        <v>588</v>
      </c>
      <c r="X288">
        <v>0</v>
      </c>
      <c r="Z288">
        <v>0</v>
      </c>
      <c r="AA288">
        <v>0</v>
      </c>
      <c r="AB288">
        <v>0</v>
      </c>
      <c r="AC288">
        <v>0</v>
      </c>
      <c r="AD288">
        <v>1566</v>
      </c>
    </row>
    <row r="289" spans="1:30" x14ac:dyDescent="0.25">
      <c r="H289" t="s">
        <v>681</v>
      </c>
    </row>
    <row r="290" spans="1:30" x14ac:dyDescent="0.25">
      <c r="A290">
        <v>142</v>
      </c>
      <c r="B290">
        <v>2307</v>
      </c>
      <c r="C290" t="s">
        <v>682</v>
      </c>
      <c r="D290" t="s">
        <v>683</v>
      </c>
      <c r="E290" t="s">
        <v>32</v>
      </c>
      <c r="F290" t="s">
        <v>684</v>
      </c>
      <c r="G290" t="str">
        <f>"00251743"</f>
        <v>00251743</v>
      </c>
      <c r="H290">
        <v>715</v>
      </c>
      <c r="I290">
        <v>0</v>
      </c>
      <c r="J290">
        <v>0</v>
      </c>
      <c r="K290">
        <v>0</v>
      </c>
      <c r="L290">
        <v>200</v>
      </c>
      <c r="M290">
        <v>0</v>
      </c>
      <c r="N290">
        <v>70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83</v>
      </c>
      <c r="W290">
        <v>581</v>
      </c>
      <c r="X290">
        <v>0</v>
      </c>
      <c r="Z290">
        <v>0</v>
      </c>
      <c r="AA290">
        <v>0</v>
      </c>
      <c r="AB290">
        <v>0</v>
      </c>
      <c r="AC290">
        <v>0</v>
      </c>
      <c r="AD290">
        <v>1566</v>
      </c>
    </row>
    <row r="291" spans="1:30" x14ac:dyDescent="0.25">
      <c r="H291" t="s">
        <v>685</v>
      </c>
    </row>
    <row r="292" spans="1:30" x14ac:dyDescent="0.25">
      <c r="A292">
        <v>143</v>
      </c>
      <c r="B292">
        <v>1690</v>
      </c>
      <c r="C292" t="s">
        <v>686</v>
      </c>
      <c r="D292" t="s">
        <v>580</v>
      </c>
      <c r="E292" t="s">
        <v>32</v>
      </c>
      <c r="F292" t="s">
        <v>687</v>
      </c>
      <c r="G292" t="str">
        <f>"200802007743"</f>
        <v>200802007743</v>
      </c>
      <c r="H292" t="s">
        <v>688</v>
      </c>
      <c r="I292">
        <v>150</v>
      </c>
      <c r="J292">
        <v>0</v>
      </c>
      <c r="K292">
        <v>0</v>
      </c>
      <c r="L292">
        <v>0</v>
      </c>
      <c r="M292">
        <v>0</v>
      </c>
      <c r="N292">
        <v>50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84</v>
      </c>
      <c r="W292">
        <v>588</v>
      </c>
      <c r="X292">
        <v>0</v>
      </c>
      <c r="Z292">
        <v>0</v>
      </c>
      <c r="AA292">
        <v>0</v>
      </c>
      <c r="AB292">
        <v>0</v>
      </c>
      <c r="AC292">
        <v>0</v>
      </c>
      <c r="AD292" t="s">
        <v>689</v>
      </c>
    </row>
    <row r="293" spans="1:30" x14ac:dyDescent="0.25">
      <c r="H293" t="s">
        <v>690</v>
      </c>
    </row>
    <row r="294" spans="1:30" x14ac:dyDescent="0.25">
      <c r="A294">
        <v>144</v>
      </c>
      <c r="B294">
        <v>3353</v>
      </c>
      <c r="C294" t="s">
        <v>691</v>
      </c>
      <c r="D294" t="s">
        <v>180</v>
      </c>
      <c r="E294" t="s">
        <v>120</v>
      </c>
      <c r="F294" t="s">
        <v>692</v>
      </c>
      <c r="G294" t="str">
        <f>"00368577"</f>
        <v>00368577</v>
      </c>
      <c r="H294">
        <v>737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60</v>
      </c>
      <c r="W294">
        <v>420</v>
      </c>
      <c r="X294">
        <v>0</v>
      </c>
      <c r="Z294">
        <v>2</v>
      </c>
      <c r="AA294">
        <v>0</v>
      </c>
      <c r="AB294">
        <v>24</v>
      </c>
      <c r="AC294">
        <v>408</v>
      </c>
      <c r="AD294">
        <v>1565</v>
      </c>
    </row>
    <row r="295" spans="1:30" x14ac:dyDescent="0.25">
      <c r="H295" t="s">
        <v>693</v>
      </c>
    </row>
    <row r="296" spans="1:30" x14ac:dyDescent="0.25">
      <c r="A296">
        <v>145</v>
      </c>
      <c r="B296">
        <v>4471</v>
      </c>
      <c r="C296" t="s">
        <v>694</v>
      </c>
      <c r="D296" t="s">
        <v>32</v>
      </c>
      <c r="E296" t="s">
        <v>695</v>
      </c>
      <c r="F296" t="s">
        <v>696</v>
      </c>
      <c r="G296" t="str">
        <f>"00249261"</f>
        <v>00249261</v>
      </c>
      <c r="H296">
        <v>737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60</v>
      </c>
      <c r="W296">
        <v>420</v>
      </c>
      <c r="X296">
        <v>0</v>
      </c>
      <c r="Z296">
        <v>0</v>
      </c>
      <c r="AA296">
        <v>0</v>
      </c>
      <c r="AB296">
        <v>24</v>
      </c>
      <c r="AC296">
        <v>408</v>
      </c>
      <c r="AD296">
        <v>1565</v>
      </c>
    </row>
    <row r="297" spans="1:30" x14ac:dyDescent="0.25">
      <c r="H297" t="s">
        <v>697</v>
      </c>
    </row>
    <row r="298" spans="1:30" x14ac:dyDescent="0.25">
      <c r="A298">
        <v>146</v>
      </c>
      <c r="B298">
        <v>1011</v>
      </c>
      <c r="C298" t="s">
        <v>698</v>
      </c>
      <c r="D298" t="s">
        <v>699</v>
      </c>
      <c r="E298" t="s">
        <v>700</v>
      </c>
      <c r="F298" t="s">
        <v>701</v>
      </c>
      <c r="G298" t="str">
        <f>"201406002907"</f>
        <v>201406002907</v>
      </c>
      <c r="H298">
        <v>726</v>
      </c>
      <c r="I298">
        <v>0</v>
      </c>
      <c r="J298">
        <v>0</v>
      </c>
      <c r="K298">
        <v>0</v>
      </c>
      <c r="L298">
        <v>200</v>
      </c>
      <c r="M298">
        <v>0</v>
      </c>
      <c r="N298">
        <v>50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84</v>
      </c>
      <c r="W298">
        <v>588</v>
      </c>
      <c r="X298">
        <v>0</v>
      </c>
      <c r="Z298">
        <v>0</v>
      </c>
      <c r="AA298">
        <v>0</v>
      </c>
      <c r="AB298">
        <v>0</v>
      </c>
      <c r="AC298">
        <v>0</v>
      </c>
      <c r="AD298">
        <v>1564</v>
      </c>
    </row>
    <row r="299" spans="1:30" x14ac:dyDescent="0.25">
      <c r="H299" t="s">
        <v>702</v>
      </c>
    </row>
    <row r="300" spans="1:30" x14ac:dyDescent="0.25">
      <c r="A300">
        <v>147</v>
      </c>
      <c r="B300">
        <v>367</v>
      </c>
      <c r="C300" t="s">
        <v>703</v>
      </c>
      <c r="D300" t="s">
        <v>580</v>
      </c>
      <c r="E300" t="s">
        <v>107</v>
      </c>
      <c r="F300" t="s">
        <v>704</v>
      </c>
      <c r="G300" t="str">
        <f>"200801001453"</f>
        <v>200801001453</v>
      </c>
      <c r="H300">
        <v>748</v>
      </c>
      <c r="I300">
        <v>0</v>
      </c>
      <c r="J300">
        <v>0</v>
      </c>
      <c r="K300">
        <v>0</v>
      </c>
      <c r="L300">
        <v>200</v>
      </c>
      <c r="M300">
        <v>0</v>
      </c>
      <c r="N300">
        <v>30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64</v>
      </c>
      <c r="W300">
        <v>448</v>
      </c>
      <c r="X300">
        <v>0</v>
      </c>
      <c r="Z300">
        <v>0</v>
      </c>
      <c r="AA300">
        <v>0</v>
      </c>
      <c r="AB300">
        <v>8</v>
      </c>
      <c r="AC300">
        <v>136</v>
      </c>
      <c r="AD300">
        <v>1562</v>
      </c>
    </row>
    <row r="301" spans="1:30" x14ac:dyDescent="0.25">
      <c r="H301" t="s">
        <v>705</v>
      </c>
    </row>
    <row r="302" spans="1:30" x14ac:dyDescent="0.25">
      <c r="A302">
        <v>148</v>
      </c>
      <c r="B302">
        <v>1545</v>
      </c>
      <c r="C302" t="s">
        <v>706</v>
      </c>
      <c r="D302" t="s">
        <v>218</v>
      </c>
      <c r="E302" t="s">
        <v>102</v>
      </c>
      <c r="F302" t="s">
        <v>707</v>
      </c>
      <c r="G302" t="str">
        <f>"200902000567"</f>
        <v>200902000567</v>
      </c>
      <c r="H302">
        <v>704</v>
      </c>
      <c r="I302">
        <v>0</v>
      </c>
      <c r="J302">
        <v>0</v>
      </c>
      <c r="K302">
        <v>0</v>
      </c>
      <c r="L302">
        <v>200</v>
      </c>
      <c r="M302">
        <v>0</v>
      </c>
      <c r="N302">
        <v>70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84</v>
      </c>
      <c r="W302">
        <v>588</v>
      </c>
      <c r="X302">
        <v>0</v>
      </c>
      <c r="Z302">
        <v>0</v>
      </c>
      <c r="AA302">
        <v>0</v>
      </c>
      <c r="AB302">
        <v>0</v>
      </c>
      <c r="AC302">
        <v>0</v>
      </c>
      <c r="AD302">
        <v>1562</v>
      </c>
    </row>
    <row r="303" spans="1:30" x14ac:dyDescent="0.25">
      <c r="H303" t="s">
        <v>708</v>
      </c>
    </row>
    <row r="304" spans="1:30" x14ac:dyDescent="0.25">
      <c r="A304">
        <v>149</v>
      </c>
      <c r="B304">
        <v>617</v>
      </c>
      <c r="C304" t="s">
        <v>709</v>
      </c>
      <c r="D304" t="s">
        <v>106</v>
      </c>
      <c r="E304" t="s">
        <v>710</v>
      </c>
      <c r="F304" t="s">
        <v>711</v>
      </c>
      <c r="G304" t="str">
        <f>"201406014289"</f>
        <v>201406014289</v>
      </c>
      <c r="H304">
        <v>704</v>
      </c>
      <c r="I304">
        <v>0</v>
      </c>
      <c r="J304">
        <v>0</v>
      </c>
      <c r="K304">
        <v>0</v>
      </c>
      <c r="L304">
        <v>200</v>
      </c>
      <c r="M304">
        <v>0</v>
      </c>
      <c r="N304">
        <v>70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84</v>
      </c>
      <c r="W304">
        <v>588</v>
      </c>
      <c r="X304">
        <v>0</v>
      </c>
      <c r="Z304">
        <v>0</v>
      </c>
      <c r="AA304">
        <v>0</v>
      </c>
      <c r="AB304">
        <v>0</v>
      </c>
      <c r="AC304">
        <v>0</v>
      </c>
      <c r="AD304">
        <v>1562</v>
      </c>
    </row>
    <row r="305" spans="1:30" x14ac:dyDescent="0.25">
      <c r="H305" t="s">
        <v>712</v>
      </c>
    </row>
    <row r="306" spans="1:30" x14ac:dyDescent="0.25">
      <c r="A306">
        <v>150</v>
      </c>
      <c r="B306">
        <v>4065</v>
      </c>
      <c r="C306" t="s">
        <v>713</v>
      </c>
      <c r="D306" t="s">
        <v>525</v>
      </c>
      <c r="E306" t="s">
        <v>28</v>
      </c>
      <c r="F306" t="s">
        <v>714</v>
      </c>
      <c r="G306" t="str">
        <f>"00023818"</f>
        <v>00023818</v>
      </c>
      <c r="H306">
        <v>704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30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60</v>
      </c>
      <c r="W306">
        <v>420</v>
      </c>
      <c r="X306">
        <v>0</v>
      </c>
      <c r="Z306">
        <v>0</v>
      </c>
      <c r="AA306">
        <v>0</v>
      </c>
      <c r="AB306">
        <v>24</v>
      </c>
      <c r="AC306">
        <v>408</v>
      </c>
      <c r="AD306">
        <v>1562</v>
      </c>
    </row>
    <row r="307" spans="1:30" x14ac:dyDescent="0.25">
      <c r="H307" t="s">
        <v>715</v>
      </c>
    </row>
    <row r="308" spans="1:30" x14ac:dyDescent="0.25">
      <c r="A308">
        <v>151</v>
      </c>
      <c r="B308">
        <v>3431</v>
      </c>
      <c r="C308" t="s">
        <v>716</v>
      </c>
      <c r="D308" t="s">
        <v>95</v>
      </c>
      <c r="E308" t="s">
        <v>76</v>
      </c>
      <c r="F308" t="s">
        <v>717</v>
      </c>
      <c r="G308" t="str">
        <f>"00366011"</f>
        <v>00366011</v>
      </c>
      <c r="H308" t="s">
        <v>215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60</v>
      </c>
      <c r="W308">
        <v>420</v>
      </c>
      <c r="X308">
        <v>0</v>
      </c>
      <c r="Z308">
        <v>0</v>
      </c>
      <c r="AA308">
        <v>0</v>
      </c>
      <c r="AB308">
        <v>24</v>
      </c>
      <c r="AC308">
        <v>408</v>
      </c>
      <c r="AD308" t="s">
        <v>718</v>
      </c>
    </row>
    <row r="309" spans="1:30" x14ac:dyDescent="0.25">
      <c r="H309" t="s">
        <v>719</v>
      </c>
    </row>
    <row r="310" spans="1:30" x14ac:dyDescent="0.25">
      <c r="A310">
        <v>152</v>
      </c>
      <c r="B310">
        <v>484</v>
      </c>
      <c r="C310" t="s">
        <v>720</v>
      </c>
      <c r="D310" t="s">
        <v>218</v>
      </c>
      <c r="E310" t="s">
        <v>102</v>
      </c>
      <c r="F310" t="s">
        <v>721</v>
      </c>
      <c r="G310" t="str">
        <f>"201510004128"</f>
        <v>201510004128</v>
      </c>
      <c r="H310" t="s">
        <v>722</v>
      </c>
      <c r="I310">
        <v>150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84</v>
      </c>
      <c r="W310">
        <v>588</v>
      </c>
      <c r="X310">
        <v>0</v>
      </c>
      <c r="Z310">
        <v>0</v>
      </c>
      <c r="AA310">
        <v>0</v>
      </c>
      <c r="AB310">
        <v>0</v>
      </c>
      <c r="AC310">
        <v>0</v>
      </c>
      <c r="AD310" t="s">
        <v>723</v>
      </c>
    </row>
    <row r="311" spans="1:30" x14ac:dyDescent="0.25">
      <c r="H311" t="s">
        <v>724</v>
      </c>
    </row>
    <row r="312" spans="1:30" x14ac:dyDescent="0.25">
      <c r="A312">
        <v>153</v>
      </c>
      <c r="B312">
        <v>2800</v>
      </c>
      <c r="C312" t="s">
        <v>725</v>
      </c>
      <c r="D312" t="s">
        <v>236</v>
      </c>
      <c r="E312" t="s">
        <v>509</v>
      </c>
      <c r="F312" t="s">
        <v>726</v>
      </c>
      <c r="G312" t="str">
        <f>"00166774"</f>
        <v>00166774</v>
      </c>
      <c r="H312">
        <v>770</v>
      </c>
      <c r="I312">
        <v>0</v>
      </c>
      <c r="J312">
        <v>0</v>
      </c>
      <c r="K312">
        <v>0</v>
      </c>
      <c r="L312">
        <v>200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84</v>
      </c>
      <c r="W312">
        <v>588</v>
      </c>
      <c r="X312">
        <v>0</v>
      </c>
      <c r="Z312">
        <v>0</v>
      </c>
      <c r="AA312">
        <v>0</v>
      </c>
      <c r="AB312">
        <v>0</v>
      </c>
      <c r="AC312">
        <v>0</v>
      </c>
      <c r="AD312">
        <v>1558</v>
      </c>
    </row>
    <row r="313" spans="1:30" x14ac:dyDescent="0.25">
      <c r="H313" t="s">
        <v>727</v>
      </c>
    </row>
    <row r="314" spans="1:30" x14ac:dyDescent="0.25">
      <c r="A314">
        <v>154</v>
      </c>
      <c r="B314">
        <v>2562</v>
      </c>
      <c r="C314" t="s">
        <v>728</v>
      </c>
      <c r="D314" t="s">
        <v>83</v>
      </c>
      <c r="E314" t="s">
        <v>254</v>
      </c>
      <c r="F314" t="s">
        <v>729</v>
      </c>
      <c r="G314" t="str">
        <f>"201406012772"</f>
        <v>201406012772</v>
      </c>
      <c r="H314" t="s">
        <v>730</v>
      </c>
      <c r="I314">
        <v>0</v>
      </c>
      <c r="J314">
        <v>0</v>
      </c>
      <c r="K314">
        <v>0</v>
      </c>
      <c r="L314">
        <v>200</v>
      </c>
      <c r="M314">
        <v>0</v>
      </c>
      <c r="N314">
        <v>70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75</v>
      </c>
      <c r="W314">
        <v>525</v>
      </c>
      <c r="X314">
        <v>0</v>
      </c>
      <c r="Z314">
        <v>0</v>
      </c>
      <c r="AA314">
        <v>0</v>
      </c>
      <c r="AB314">
        <v>0</v>
      </c>
      <c r="AC314">
        <v>0</v>
      </c>
      <c r="AD314" t="s">
        <v>731</v>
      </c>
    </row>
    <row r="315" spans="1:30" x14ac:dyDescent="0.25">
      <c r="H315" t="s">
        <v>732</v>
      </c>
    </row>
    <row r="316" spans="1:30" x14ac:dyDescent="0.25">
      <c r="A316">
        <v>155</v>
      </c>
      <c r="B316">
        <v>2805</v>
      </c>
      <c r="C316" t="s">
        <v>733</v>
      </c>
      <c r="D316" t="s">
        <v>180</v>
      </c>
      <c r="E316" t="s">
        <v>28</v>
      </c>
      <c r="F316" t="s">
        <v>734</v>
      </c>
      <c r="G316" t="str">
        <f>"00198768"</f>
        <v>00198768</v>
      </c>
      <c r="H316" t="s">
        <v>375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60</v>
      </c>
      <c r="W316">
        <v>420</v>
      </c>
      <c r="X316">
        <v>0</v>
      </c>
      <c r="Z316">
        <v>0</v>
      </c>
      <c r="AA316">
        <v>0</v>
      </c>
      <c r="AB316">
        <v>24</v>
      </c>
      <c r="AC316">
        <v>408</v>
      </c>
      <c r="AD316" t="s">
        <v>731</v>
      </c>
    </row>
    <row r="317" spans="1:30" x14ac:dyDescent="0.25">
      <c r="H317" t="s">
        <v>735</v>
      </c>
    </row>
    <row r="318" spans="1:30" x14ac:dyDescent="0.25">
      <c r="A318">
        <v>156</v>
      </c>
      <c r="B318">
        <v>3157</v>
      </c>
      <c r="C318" t="s">
        <v>736</v>
      </c>
      <c r="D318" t="s">
        <v>737</v>
      </c>
      <c r="E318" t="s">
        <v>337</v>
      </c>
      <c r="F318" t="s">
        <v>738</v>
      </c>
      <c r="G318" t="str">
        <f>"201406015714"</f>
        <v>201406015714</v>
      </c>
      <c r="H318" t="s">
        <v>739</v>
      </c>
      <c r="I318">
        <v>0</v>
      </c>
      <c r="J318">
        <v>0</v>
      </c>
      <c r="K318">
        <v>0</v>
      </c>
      <c r="L318">
        <v>200</v>
      </c>
      <c r="M318">
        <v>0</v>
      </c>
      <c r="N318">
        <v>70</v>
      </c>
      <c r="O318">
        <v>0</v>
      </c>
      <c r="P318">
        <v>30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73</v>
      </c>
      <c r="W318">
        <v>511</v>
      </c>
      <c r="X318">
        <v>0</v>
      </c>
      <c r="Z318">
        <v>0</v>
      </c>
      <c r="AA318">
        <v>0</v>
      </c>
      <c r="AB318">
        <v>0</v>
      </c>
      <c r="AC318">
        <v>0</v>
      </c>
      <c r="AD318" t="s">
        <v>740</v>
      </c>
    </row>
    <row r="319" spans="1:30" x14ac:dyDescent="0.25">
      <c r="H319" t="s">
        <v>741</v>
      </c>
    </row>
    <row r="320" spans="1:30" x14ac:dyDescent="0.25">
      <c r="A320">
        <v>157</v>
      </c>
      <c r="B320">
        <v>3460</v>
      </c>
      <c r="C320" t="s">
        <v>742</v>
      </c>
      <c r="D320" t="s">
        <v>218</v>
      </c>
      <c r="E320" t="s">
        <v>743</v>
      </c>
      <c r="F320" t="s">
        <v>744</v>
      </c>
      <c r="G320" t="str">
        <f>"00161941"</f>
        <v>00161941</v>
      </c>
      <c r="H320">
        <v>726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60</v>
      </c>
      <c r="W320">
        <v>420</v>
      </c>
      <c r="X320">
        <v>0</v>
      </c>
      <c r="Z320">
        <v>0</v>
      </c>
      <c r="AA320">
        <v>0</v>
      </c>
      <c r="AB320">
        <v>24</v>
      </c>
      <c r="AC320">
        <v>408</v>
      </c>
      <c r="AD320">
        <v>1554</v>
      </c>
    </row>
    <row r="321" spans="1:30" x14ac:dyDescent="0.25">
      <c r="H321" t="s">
        <v>745</v>
      </c>
    </row>
    <row r="322" spans="1:30" x14ac:dyDescent="0.25">
      <c r="A322">
        <v>158</v>
      </c>
      <c r="B322">
        <v>4274</v>
      </c>
      <c r="C322" t="s">
        <v>746</v>
      </c>
      <c r="D322" t="s">
        <v>218</v>
      </c>
      <c r="E322" t="s">
        <v>49</v>
      </c>
      <c r="F322" t="s">
        <v>747</v>
      </c>
      <c r="G322" t="str">
        <f>"201512001543"</f>
        <v>201512001543</v>
      </c>
      <c r="H322">
        <v>814</v>
      </c>
      <c r="I322">
        <v>150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84</v>
      </c>
      <c r="W322">
        <v>588</v>
      </c>
      <c r="X322">
        <v>0</v>
      </c>
      <c r="Z322">
        <v>0</v>
      </c>
      <c r="AA322">
        <v>0</v>
      </c>
      <c r="AB322">
        <v>0</v>
      </c>
      <c r="AC322">
        <v>0</v>
      </c>
      <c r="AD322">
        <v>1552</v>
      </c>
    </row>
    <row r="323" spans="1:30" x14ac:dyDescent="0.25">
      <c r="H323" t="s">
        <v>748</v>
      </c>
    </row>
    <row r="324" spans="1:30" x14ac:dyDescent="0.25">
      <c r="A324">
        <v>159</v>
      </c>
      <c r="B324">
        <v>3596</v>
      </c>
      <c r="C324" t="s">
        <v>749</v>
      </c>
      <c r="D324" t="s">
        <v>236</v>
      </c>
      <c r="E324" t="s">
        <v>102</v>
      </c>
      <c r="F324" t="s">
        <v>750</v>
      </c>
      <c r="G324" t="str">
        <f>"201511034329"</f>
        <v>201511034329</v>
      </c>
      <c r="H324" t="s">
        <v>521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60</v>
      </c>
      <c r="W324">
        <v>420</v>
      </c>
      <c r="X324">
        <v>0</v>
      </c>
      <c r="Z324">
        <v>0</v>
      </c>
      <c r="AA324">
        <v>0</v>
      </c>
      <c r="AB324">
        <v>24</v>
      </c>
      <c r="AC324">
        <v>408</v>
      </c>
      <c r="AD324" t="s">
        <v>751</v>
      </c>
    </row>
    <row r="325" spans="1:30" x14ac:dyDescent="0.25">
      <c r="H325" t="s">
        <v>752</v>
      </c>
    </row>
    <row r="326" spans="1:30" x14ac:dyDescent="0.25">
      <c r="A326">
        <v>160</v>
      </c>
      <c r="B326">
        <v>6187</v>
      </c>
      <c r="C326" t="s">
        <v>753</v>
      </c>
      <c r="D326" t="s">
        <v>44</v>
      </c>
      <c r="E326" t="s">
        <v>32</v>
      </c>
      <c r="F326" t="s">
        <v>754</v>
      </c>
      <c r="G326" t="str">
        <f>"00352002"</f>
        <v>00352002</v>
      </c>
      <c r="H326">
        <v>693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30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60</v>
      </c>
      <c r="W326">
        <v>420</v>
      </c>
      <c r="X326">
        <v>0</v>
      </c>
      <c r="Z326">
        <v>2</v>
      </c>
      <c r="AA326">
        <v>0</v>
      </c>
      <c r="AB326">
        <v>24</v>
      </c>
      <c r="AC326">
        <v>408</v>
      </c>
      <c r="AD326">
        <v>1551</v>
      </c>
    </row>
    <row r="327" spans="1:30" x14ac:dyDescent="0.25">
      <c r="H327" t="s">
        <v>351</v>
      </c>
    </row>
    <row r="328" spans="1:30" x14ac:dyDescent="0.25">
      <c r="A328">
        <v>161</v>
      </c>
      <c r="B328">
        <v>1182</v>
      </c>
      <c r="C328" t="s">
        <v>755</v>
      </c>
      <c r="D328" t="s">
        <v>535</v>
      </c>
      <c r="E328" t="s">
        <v>756</v>
      </c>
      <c r="F328" t="s">
        <v>757</v>
      </c>
      <c r="G328" t="str">
        <f>"00095901"</f>
        <v>00095901</v>
      </c>
      <c r="H328" t="s">
        <v>730</v>
      </c>
      <c r="I328">
        <v>0</v>
      </c>
      <c r="J328">
        <v>0</v>
      </c>
      <c r="K328">
        <v>0</v>
      </c>
      <c r="L328">
        <v>200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84</v>
      </c>
      <c r="W328">
        <v>588</v>
      </c>
      <c r="X328">
        <v>0</v>
      </c>
      <c r="Z328">
        <v>2</v>
      </c>
      <c r="AA328">
        <v>0</v>
      </c>
      <c r="AB328">
        <v>0</v>
      </c>
      <c r="AC328">
        <v>0</v>
      </c>
      <c r="AD328" t="s">
        <v>758</v>
      </c>
    </row>
    <row r="329" spans="1:30" x14ac:dyDescent="0.25">
      <c r="H329" t="s">
        <v>759</v>
      </c>
    </row>
    <row r="330" spans="1:30" x14ac:dyDescent="0.25">
      <c r="A330">
        <v>162</v>
      </c>
      <c r="B330">
        <v>4281</v>
      </c>
      <c r="C330" t="s">
        <v>760</v>
      </c>
      <c r="D330" t="s">
        <v>283</v>
      </c>
      <c r="E330" t="s">
        <v>519</v>
      </c>
      <c r="F330" t="s">
        <v>761</v>
      </c>
      <c r="G330" t="str">
        <f>"00256604"</f>
        <v>00256604</v>
      </c>
      <c r="H330" t="s">
        <v>762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30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29</v>
      </c>
      <c r="W330">
        <v>203</v>
      </c>
      <c r="X330">
        <v>0</v>
      </c>
      <c r="Z330">
        <v>0</v>
      </c>
      <c r="AA330">
        <v>0</v>
      </c>
      <c r="AB330">
        <v>24</v>
      </c>
      <c r="AC330">
        <v>408</v>
      </c>
      <c r="AD330" t="s">
        <v>763</v>
      </c>
    </row>
    <row r="331" spans="1:30" x14ac:dyDescent="0.25">
      <c r="H331" t="s">
        <v>764</v>
      </c>
    </row>
    <row r="332" spans="1:30" x14ac:dyDescent="0.25">
      <c r="A332">
        <v>163</v>
      </c>
      <c r="B332">
        <v>1129</v>
      </c>
      <c r="C332" t="s">
        <v>765</v>
      </c>
      <c r="D332" t="s">
        <v>580</v>
      </c>
      <c r="E332" t="s">
        <v>120</v>
      </c>
      <c r="F332" t="s">
        <v>766</v>
      </c>
      <c r="G332" t="str">
        <f>"00154340"</f>
        <v>00154340</v>
      </c>
      <c r="H332">
        <v>726</v>
      </c>
      <c r="I332">
        <v>0</v>
      </c>
      <c r="J332">
        <v>0</v>
      </c>
      <c r="K332">
        <v>0</v>
      </c>
      <c r="L332">
        <v>200</v>
      </c>
      <c r="M332">
        <v>0</v>
      </c>
      <c r="N332">
        <v>30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84</v>
      </c>
      <c r="W332">
        <v>588</v>
      </c>
      <c r="X332">
        <v>0</v>
      </c>
      <c r="Z332">
        <v>0</v>
      </c>
      <c r="AA332">
        <v>0</v>
      </c>
      <c r="AB332">
        <v>0</v>
      </c>
      <c r="AC332">
        <v>0</v>
      </c>
      <c r="AD332">
        <v>1544</v>
      </c>
    </row>
    <row r="333" spans="1:30" x14ac:dyDescent="0.25">
      <c r="H333" t="s">
        <v>767</v>
      </c>
    </row>
    <row r="334" spans="1:30" x14ac:dyDescent="0.25">
      <c r="A334">
        <v>164</v>
      </c>
      <c r="B334">
        <v>1860</v>
      </c>
      <c r="C334" t="s">
        <v>768</v>
      </c>
      <c r="D334" t="s">
        <v>180</v>
      </c>
      <c r="E334" t="s">
        <v>49</v>
      </c>
      <c r="F334" t="s">
        <v>769</v>
      </c>
      <c r="G334" t="str">
        <f>"201511036361"</f>
        <v>201511036361</v>
      </c>
      <c r="H334">
        <v>715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60</v>
      </c>
      <c r="W334">
        <v>420</v>
      </c>
      <c r="X334">
        <v>0</v>
      </c>
      <c r="Z334">
        <v>0</v>
      </c>
      <c r="AA334">
        <v>0</v>
      </c>
      <c r="AB334">
        <v>24</v>
      </c>
      <c r="AC334">
        <v>408</v>
      </c>
      <c r="AD334">
        <v>1543</v>
      </c>
    </row>
    <row r="335" spans="1:30" x14ac:dyDescent="0.25">
      <c r="H335" t="s">
        <v>770</v>
      </c>
    </row>
    <row r="336" spans="1:30" x14ac:dyDescent="0.25">
      <c r="A336">
        <v>165</v>
      </c>
      <c r="B336">
        <v>2932</v>
      </c>
      <c r="C336" t="s">
        <v>771</v>
      </c>
      <c r="D336" t="s">
        <v>772</v>
      </c>
      <c r="E336" t="s">
        <v>77</v>
      </c>
      <c r="F336" t="s">
        <v>773</v>
      </c>
      <c r="G336" t="str">
        <f>"201511010758"</f>
        <v>201511010758</v>
      </c>
      <c r="H336" t="s">
        <v>774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30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48</v>
      </c>
      <c r="W336">
        <v>336</v>
      </c>
      <c r="X336">
        <v>0</v>
      </c>
      <c r="Z336">
        <v>0</v>
      </c>
      <c r="AA336">
        <v>0</v>
      </c>
      <c r="AB336">
        <v>24</v>
      </c>
      <c r="AC336">
        <v>408</v>
      </c>
      <c r="AD336" t="s">
        <v>775</v>
      </c>
    </row>
    <row r="337" spans="1:30" x14ac:dyDescent="0.25">
      <c r="H337" t="s">
        <v>776</v>
      </c>
    </row>
    <row r="338" spans="1:30" x14ac:dyDescent="0.25">
      <c r="A338">
        <v>166</v>
      </c>
      <c r="B338">
        <v>6020</v>
      </c>
      <c r="C338" t="s">
        <v>777</v>
      </c>
      <c r="D338" t="s">
        <v>629</v>
      </c>
      <c r="E338" t="s">
        <v>542</v>
      </c>
      <c r="F338" t="s">
        <v>778</v>
      </c>
      <c r="G338" t="str">
        <f>"201402001015"</f>
        <v>201402001015</v>
      </c>
      <c r="H338">
        <v>704</v>
      </c>
      <c r="I338">
        <v>0</v>
      </c>
      <c r="J338">
        <v>0</v>
      </c>
      <c r="K338">
        <v>0</v>
      </c>
      <c r="L338">
        <v>200</v>
      </c>
      <c r="M338">
        <v>0</v>
      </c>
      <c r="N338">
        <v>50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84</v>
      </c>
      <c r="W338">
        <v>588</v>
      </c>
      <c r="X338">
        <v>0</v>
      </c>
      <c r="Z338">
        <v>0</v>
      </c>
      <c r="AA338">
        <v>0</v>
      </c>
      <c r="AB338">
        <v>0</v>
      </c>
      <c r="AC338">
        <v>0</v>
      </c>
      <c r="AD338">
        <v>1542</v>
      </c>
    </row>
    <row r="339" spans="1:30" x14ac:dyDescent="0.25">
      <c r="H339" t="s">
        <v>301</v>
      </c>
    </row>
    <row r="340" spans="1:30" x14ac:dyDescent="0.25">
      <c r="A340">
        <v>167</v>
      </c>
      <c r="B340">
        <v>3081</v>
      </c>
      <c r="C340" t="s">
        <v>779</v>
      </c>
      <c r="D340" t="s">
        <v>191</v>
      </c>
      <c r="E340" t="s">
        <v>84</v>
      </c>
      <c r="F340" t="s">
        <v>780</v>
      </c>
      <c r="G340" t="str">
        <f>"201511029158"</f>
        <v>201511029158</v>
      </c>
      <c r="H340" t="s">
        <v>781</v>
      </c>
      <c r="I340">
        <v>0</v>
      </c>
      <c r="J340">
        <v>0</v>
      </c>
      <c r="K340">
        <v>0</v>
      </c>
      <c r="L340">
        <v>200</v>
      </c>
      <c r="M340">
        <v>0</v>
      </c>
      <c r="N340">
        <v>30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76</v>
      </c>
      <c r="W340">
        <v>532</v>
      </c>
      <c r="X340">
        <v>0</v>
      </c>
      <c r="Z340">
        <v>0</v>
      </c>
      <c r="AA340">
        <v>0</v>
      </c>
      <c r="AB340">
        <v>0</v>
      </c>
      <c r="AC340">
        <v>0</v>
      </c>
      <c r="AD340" t="s">
        <v>782</v>
      </c>
    </row>
    <row r="341" spans="1:30" x14ac:dyDescent="0.25">
      <c r="H341" t="s">
        <v>783</v>
      </c>
    </row>
    <row r="342" spans="1:30" x14ac:dyDescent="0.25">
      <c r="A342">
        <v>168</v>
      </c>
      <c r="B342">
        <v>839</v>
      </c>
      <c r="C342" t="s">
        <v>438</v>
      </c>
      <c r="D342" t="s">
        <v>598</v>
      </c>
      <c r="E342" t="s">
        <v>76</v>
      </c>
      <c r="F342" t="s">
        <v>784</v>
      </c>
      <c r="G342" t="str">
        <f>"201406011141"</f>
        <v>201406011141</v>
      </c>
      <c r="H342" t="s">
        <v>311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70</v>
      </c>
      <c r="O342">
        <v>0</v>
      </c>
      <c r="P342">
        <v>0</v>
      </c>
      <c r="Q342">
        <v>70</v>
      </c>
      <c r="R342">
        <v>30</v>
      </c>
      <c r="S342">
        <v>0</v>
      </c>
      <c r="T342">
        <v>0</v>
      </c>
      <c r="U342">
        <v>0</v>
      </c>
      <c r="V342">
        <v>84</v>
      </c>
      <c r="W342">
        <v>588</v>
      </c>
      <c r="X342">
        <v>0</v>
      </c>
      <c r="Z342">
        <v>0</v>
      </c>
      <c r="AA342">
        <v>0</v>
      </c>
      <c r="AB342">
        <v>0</v>
      </c>
      <c r="AC342">
        <v>0</v>
      </c>
      <c r="AD342" t="s">
        <v>785</v>
      </c>
    </row>
    <row r="343" spans="1:30" x14ac:dyDescent="0.25">
      <c r="H343" t="s">
        <v>786</v>
      </c>
    </row>
    <row r="344" spans="1:30" x14ac:dyDescent="0.25">
      <c r="A344">
        <v>169</v>
      </c>
      <c r="B344">
        <v>5426</v>
      </c>
      <c r="C344" t="s">
        <v>787</v>
      </c>
      <c r="D344" t="s">
        <v>788</v>
      </c>
      <c r="E344" t="s">
        <v>107</v>
      </c>
      <c r="F344" t="s">
        <v>789</v>
      </c>
      <c r="G344" t="str">
        <f>"200801006827"</f>
        <v>200801006827</v>
      </c>
      <c r="H344">
        <v>682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30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60</v>
      </c>
      <c r="W344">
        <v>420</v>
      </c>
      <c r="X344">
        <v>0</v>
      </c>
      <c r="Z344">
        <v>0</v>
      </c>
      <c r="AA344">
        <v>0</v>
      </c>
      <c r="AB344">
        <v>24</v>
      </c>
      <c r="AC344">
        <v>408</v>
      </c>
      <c r="AD344">
        <v>1540</v>
      </c>
    </row>
    <row r="345" spans="1:30" x14ac:dyDescent="0.25">
      <c r="H345" t="s">
        <v>790</v>
      </c>
    </row>
    <row r="346" spans="1:30" x14ac:dyDescent="0.25">
      <c r="A346">
        <v>170</v>
      </c>
      <c r="B346">
        <v>1781</v>
      </c>
      <c r="C346" t="s">
        <v>791</v>
      </c>
      <c r="D346" t="s">
        <v>792</v>
      </c>
      <c r="E346" t="s">
        <v>793</v>
      </c>
      <c r="F346" t="s">
        <v>794</v>
      </c>
      <c r="G346" t="str">
        <f>"00318914"</f>
        <v>00318914</v>
      </c>
      <c r="H346" t="s">
        <v>562</v>
      </c>
      <c r="I346">
        <v>150</v>
      </c>
      <c r="J346">
        <v>0</v>
      </c>
      <c r="K346">
        <v>0</v>
      </c>
      <c r="L346">
        <v>200</v>
      </c>
      <c r="M346">
        <v>0</v>
      </c>
      <c r="N346">
        <v>70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54</v>
      </c>
      <c r="W346">
        <v>378</v>
      </c>
      <c r="X346">
        <v>0</v>
      </c>
      <c r="Z346">
        <v>0</v>
      </c>
      <c r="AA346">
        <v>0</v>
      </c>
      <c r="AB346">
        <v>0</v>
      </c>
      <c r="AC346">
        <v>0</v>
      </c>
      <c r="AD346" t="s">
        <v>795</v>
      </c>
    </row>
    <row r="347" spans="1:30" x14ac:dyDescent="0.25">
      <c r="H347" t="s">
        <v>796</v>
      </c>
    </row>
    <row r="348" spans="1:30" x14ac:dyDescent="0.25">
      <c r="A348">
        <v>171</v>
      </c>
      <c r="B348">
        <v>4050</v>
      </c>
      <c r="C348" t="s">
        <v>797</v>
      </c>
      <c r="D348" t="s">
        <v>798</v>
      </c>
      <c r="E348" t="s">
        <v>102</v>
      </c>
      <c r="F348" t="s">
        <v>799</v>
      </c>
      <c r="G348" t="str">
        <f>"200803000042"</f>
        <v>200803000042</v>
      </c>
      <c r="H348" t="s">
        <v>380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30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60</v>
      </c>
      <c r="W348">
        <v>420</v>
      </c>
      <c r="X348">
        <v>0</v>
      </c>
      <c r="Z348">
        <v>0</v>
      </c>
      <c r="AA348">
        <v>0</v>
      </c>
      <c r="AB348">
        <v>24</v>
      </c>
      <c r="AC348">
        <v>408</v>
      </c>
      <c r="AD348" t="s">
        <v>800</v>
      </c>
    </row>
    <row r="349" spans="1:30" x14ac:dyDescent="0.25">
      <c r="H349" t="s">
        <v>801</v>
      </c>
    </row>
    <row r="350" spans="1:30" x14ac:dyDescent="0.25">
      <c r="A350">
        <v>172</v>
      </c>
      <c r="B350">
        <v>1666</v>
      </c>
      <c r="C350" t="s">
        <v>802</v>
      </c>
      <c r="D350" t="s">
        <v>254</v>
      </c>
      <c r="E350" t="s">
        <v>28</v>
      </c>
      <c r="F350" t="s">
        <v>803</v>
      </c>
      <c r="G350" t="str">
        <f>"200805000842"</f>
        <v>200805000842</v>
      </c>
      <c r="H350">
        <v>715</v>
      </c>
      <c r="I350">
        <v>0</v>
      </c>
      <c r="J350">
        <v>0</v>
      </c>
      <c r="K350">
        <v>0</v>
      </c>
      <c r="L350">
        <v>200</v>
      </c>
      <c r="M350">
        <v>0</v>
      </c>
      <c r="N350">
        <v>30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84</v>
      </c>
      <c r="W350">
        <v>588</v>
      </c>
      <c r="X350">
        <v>0</v>
      </c>
      <c r="Z350">
        <v>0</v>
      </c>
      <c r="AA350">
        <v>0</v>
      </c>
      <c r="AB350">
        <v>0</v>
      </c>
      <c r="AC350">
        <v>0</v>
      </c>
      <c r="AD350">
        <v>1533</v>
      </c>
    </row>
    <row r="351" spans="1:30" x14ac:dyDescent="0.25">
      <c r="H351" t="s">
        <v>804</v>
      </c>
    </row>
    <row r="352" spans="1:30" x14ac:dyDescent="0.25">
      <c r="A352">
        <v>173</v>
      </c>
      <c r="B352">
        <v>232</v>
      </c>
      <c r="C352" t="s">
        <v>805</v>
      </c>
      <c r="D352" t="s">
        <v>218</v>
      </c>
      <c r="E352" t="s">
        <v>141</v>
      </c>
      <c r="F352" t="s">
        <v>806</v>
      </c>
      <c r="G352" t="str">
        <f>"00147192"</f>
        <v>00147192</v>
      </c>
      <c r="H352">
        <v>715</v>
      </c>
      <c r="I352">
        <v>0</v>
      </c>
      <c r="J352">
        <v>0</v>
      </c>
      <c r="K352">
        <v>0</v>
      </c>
      <c r="L352">
        <v>200</v>
      </c>
      <c r="M352">
        <v>0</v>
      </c>
      <c r="N352">
        <v>30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84</v>
      </c>
      <c r="W352">
        <v>588</v>
      </c>
      <c r="X352">
        <v>0</v>
      </c>
      <c r="Z352">
        <v>0</v>
      </c>
      <c r="AA352">
        <v>0</v>
      </c>
      <c r="AB352">
        <v>0</v>
      </c>
      <c r="AC352">
        <v>0</v>
      </c>
      <c r="AD352">
        <v>1533</v>
      </c>
    </row>
    <row r="353" spans="1:30" x14ac:dyDescent="0.25">
      <c r="H353" t="s">
        <v>807</v>
      </c>
    </row>
    <row r="354" spans="1:30" x14ac:dyDescent="0.25">
      <c r="A354">
        <v>174</v>
      </c>
      <c r="B354">
        <v>1731</v>
      </c>
      <c r="C354" t="s">
        <v>808</v>
      </c>
      <c r="D354" t="s">
        <v>490</v>
      </c>
      <c r="E354" t="s">
        <v>102</v>
      </c>
      <c r="F354" t="s">
        <v>809</v>
      </c>
      <c r="G354" t="str">
        <f>"00123631"</f>
        <v>00123631</v>
      </c>
      <c r="H354">
        <v>715</v>
      </c>
      <c r="I354">
        <v>0</v>
      </c>
      <c r="J354">
        <v>0</v>
      </c>
      <c r="K354">
        <v>0</v>
      </c>
      <c r="L354">
        <v>200</v>
      </c>
      <c r="M354">
        <v>0</v>
      </c>
      <c r="N354">
        <v>30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84</v>
      </c>
      <c r="W354">
        <v>588</v>
      </c>
      <c r="X354">
        <v>0</v>
      </c>
      <c r="Z354">
        <v>0</v>
      </c>
      <c r="AA354">
        <v>0</v>
      </c>
      <c r="AB354">
        <v>0</v>
      </c>
      <c r="AC354">
        <v>0</v>
      </c>
      <c r="AD354">
        <v>1533</v>
      </c>
    </row>
    <row r="355" spans="1:30" x14ac:dyDescent="0.25">
      <c r="H355" t="s">
        <v>810</v>
      </c>
    </row>
    <row r="356" spans="1:30" x14ac:dyDescent="0.25">
      <c r="A356">
        <v>175</v>
      </c>
      <c r="B356">
        <v>4545</v>
      </c>
      <c r="C356" t="s">
        <v>811</v>
      </c>
      <c r="D356" t="s">
        <v>347</v>
      </c>
      <c r="E356" t="s">
        <v>102</v>
      </c>
      <c r="F356" t="s">
        <v>812</v>
      </c>
      <c r="G356" t="str">
        <f>"201402006623"</f>
        <v>201402006623</v>
      </c>
      <c r="H356">
        <v>715</v>
      </c>
      <c r="I356">
        <v>0</v>
      </c>
      <c r="J356">
        <v>0</v>
      </c>
      <c r="K356">
        <v>0</v>
      </c>
      <c r="L356">
        <v>200</v>
      </c>
      <c r="M356">
        <v>0</v>
      </c>
      <c r="N356">
        <v>30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84</v>
      </c>
      <c r="W356">
        <v>588</v>
      </c>
      <c r="X356">
        <v>0</v>
      </c>
      <c r="Z356">
        <v>0</v>
      </c>
      <c r="AA356">
        <v>0</v>
      </c>
      <c r="AB356">
        <v>0</v>
      </c>
      <c r="AC356">
        <v>0</v>
      </c>
      <c r="AD356">
        <v>1533</v>
      </c>
    </row>
    <row r="357" spans="1:30" x14ac:dyDescent="0.25">
      <c r="H357" t="s">
        <v>813</v>
      </c>
    </row>
    <row r="358" spans="1:30" x14ac:dyDescent="0.25">
      <c r="A358">
        <v>176</v>
      </c>
      <c r="B358">
        <v>3997</v>
      </c>
      <c r="C358" t="s">
        <v>814</v>
      </c>
      <c r="D358" t="s">
        <v>815</v>
      </c>
      <c r="E358" t="s">
        <v>102</v>
      </c>
      <c r="F358" t="s">
        <v>816</v>
      </c>
      <c r="G358" t="str">
        <f>"00315590"</f>
        <v>00315590</v>
      </c>
      <c r="H358" t="s">
        <v>817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70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84</v>
      </c>
      <c r="W358">
        <v>588</v>
      </c>
      <c r="X358">
        <v>0</v>
      </c>
      <c r="Z358">
        <v>0</v>
      </c>
      <c r="AA358">
        <v>0</v>
      </c>
      <c r="AB358">
        <v>0</v>
      </c>
      <c r="AC358">
        <v>0</v>
      </c>
      <c r="AD358" t="s">
        <v>818</v>
      </c>
    </row>
    <row r="359" spans="1:30" x14ac:dyDescent="0.25">
      <c r="H359" t="s">
        <v>819</v>
      </c>
    </row>
    <row r="360" spans="1:30" x14ac:dyDescent="0.25">
      <c r="A360">
        <v>177</v>
      </c>
      <c r="B360">
        <v>2418</v>
      </c>
      <c r="C360" t="s">
        <v>820</v>
      </c>
      <c r="D360" t="s">
        <v>181</v>
      </c>
      <c r="E360" t="s">
        <v>32</v>
      </c>
      <c r="F360" t="s">
        <v>821</v>
      </c>
      <c r="G360" t="str">
        <f>"00153752"</f>
        <v>00153752</v>
      </c>
      <c r="H360" t="s">
        <v>822</v>
      </c>
      <c r="I360">
        <v>0</v>
      </c>
      <c r="J360">
        <v>0</v>
      </c>
      <c r="K360">
        <v>0</v>
      </c>
      <c r="L360">
        <v>200</v>
      </c>
      <c r="M360">
        <v>0</v>
      </c>
      <c r="N360">
        <v>30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66</v>
      </c>
      <c r="W360">
        <v>462</v>
      </c>
      <c r="X360">
        <v>0</v>
      </c>
      <c r="Z360">
        <v>0</v>
      </c>
      <c r="AA360">
        <v>0</v>
      </c>
      <c r="AB360">
        <v>0</v>
      </c>
      <c r="AC360">
        <v>0</v>
      </c>
      <c r="AD360" t="s">
        <v>823</v>
      </c>
    </row>
    <row r="361" spans="1:30" x14ac:dyDescent="0.25">
      <c r="H361" t="s">
        <v>824</v>
      </c>
    </row>
    <row r="362" spans="1:30" x14ac:dyDescent="0.25">
      <c r="A362">
        <v>178</v>
      </c>
      <c r="B362">
        <v>1284</v>
      </c>
      <c r="C362" t="s">
        <v>825</v>
      </c>
      <c r="D362" t="s">
        <v>32</v>
      </c>
      <c r="E362" t="s">
        <v>28</v>
      </c>
      <c r="F362" t="s">
        <v>826</v>
      </c>
      <c r="G362" t="str">
        <f>"200911000461"</f>
        <v>200911000461</v>
      </c>
      <c r="H362" t="s">
        <v>204</v>
      </c>
      <c r="I362">
        <v>150</v>
      </c>
      <c r="J362">
        <v>0</v>
      </c>
      <c r="K362">
        <v>0</v>
      </c>
      <c r="L362">
        <v>200</v>
      </c>
      <c r="M362">
        <v>0</v>
      </c>
      <c r="N362">
        <v>70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38</v>
      </c>
      <c r="W362">
        <v>266</v>
      </c>
      <c r="X362">
        <v>0</v>
      </c>
      <c r="Z362">
        <v>0</v>
      </c>
      <c r="AA362">
        <v>0</v>
      </c>
      <c r="AB362">
        <v>0</v>
      </c>
      <c r="AC362">
        <v>0</v>
      </c>
      <c r="AD362" t="s">
        <v>827</v>
      </c>
    </row>
    <row r="363" spans="1:30" x14ac:dyDescent="0.25">
      <c r="H363" t="s">
        <v>828</v>
      </c>
    </row>
    <row r="364" spans="1:30" x14ac:dyDescent="0.25">
      <c r="A364">
        <v>179</v>
      </c>
      <c r="B364">
        <v>2006</v>
      </c>
      <c r="C364" t="s">
        <v>829</v>
      </c>
      <c r="D364" t="s">
        <v>830</v>
      </c>
      <c r="E364" t="s">
        <v>49</v>
      </c>
      <c r="F364" t="s">
        <v>831</v>
      </c>
      <c r="G364" t="str">
        <f>"201406001672"</f>
        <v>201406001672</v>
      </c>
      <c r="H364">
        <v>913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30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84</v>
      </c>
      <c r="W364">
        <v>588</v>
      </c>
      <c r="X364">
        <v>0</v>
      </c>
      <c r="Z364">
        <v>0</v>
      </c>
      <c r="AA364">
        <v>0</v>
      </c>
      <c r="AB364">
        <v>0</v>
      </c>
      <c r="AC364">
        <v>0</v>
      </c>
      <c r="AD364">
        <v>1531</v>
      </c>
    </row>
    <row r="365" spans="1:30" x14ac:dyDescent="0.25">
      <c r="H365" t="s">
        <v>832</v>
      </c>
    </row>
    <row r="366" spans="1:30" x14ac:dyDescent="0.25">
      <c r="A366">
        <v>180</v>
      </c>
      <c r="B366">
        <v>6282</v>
      </c>
      <c r="C366" t="s">
        <v>833</v>
      </c>
      <c r="D366" t="s">
        <v>490</v>
      </c>
      <c r="E366" t="s">
        <v>834</v>
      </c>
      <c r="F366" t="s">
        <v>835</v>
      </c>
      <c r="G366" t="str">
        <f>"00011070"</f>
        <v>00011070</v>
      </c>
      <c r="H366" t="s">
        <v>836</v>
      </c>
      <c r="I366">
        <v>0</v>
      </c>
      <c r="J366">
        <v>0</v>
      </c>
      <c r="K366">
        <v>0</v>
      </c>
      <c r="L366">
        <v>0</v>
      </c>
      <c r="M366">
        <v>100</v>
      </c>
      <c r="N366">
        <v>70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84</v>
      </c>
      <c r="W366">
        <v>588</v>
      </c>
      <c r="X366">
        <v>0</v>
      </c>
      <c r="Z366">
        <v>0</v>
      </c>
      <c r="AA366">
        <v>0</v>
      </c>
      <c r="AB366">
        <v>0</v>
      </c>
      <c r="AC366">
        <v>0</v>
      </c>
      <c r="AD366" t="s">
        <v>837</v>
      </c>
    </row>
    <row r="367" spans="1:30" x14ac:dyDescent="0.25">
      <c r="H367" t="s">
        <v>838</v>
      </c>
    </row>
    <row r="368" spans="1:30" x14ac:dyDescent="0.25">
      <c r="A368">
        <v>181</v>
      </c>
      <c r="B368">
        <v>3936</v>
      </c>
      <c r="C368" t="s">
        <v>839</v>
      </c>
      <c r="D368" t="s">
        <v>102</v>
      </c>
      <c r="E368" t="s">
        <v>32</v>
      </c>
      <c r="F368" t="s">
        <v>840</v>
      </c>
      <c r="G368" t="str">
        <f>"00225842"</f>
        <v>00225842</v>
      </c>
      <c r="H368">
        <v>671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30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60</v>
      </c>
      <c r="W368">
        <v>420</v>
      </c>
      <c r="X368">
        <v>0</v>
      </c>
      <c r="Z368">
        <v>0</v>
      </c>
      <c r="AA368">
        <v>0</v>
      </c>
      <c r="AB368">
        <v>24</v>
      </c>
      <c r="AC368">
        <v>408</v>
      </c>
      <c r="AD368">
        <v>1529</v>
      </c>
    </row>
    <row r="369" spans="1:30" x14ac:dyDescent="0.25">
      <c r="H369" t="s">
        <v>841</v>
      </c>
    </row>
    <row r="370" spans="1:30" x14ac:dyDescent="0.25">
      <c r="A370">
        <v>182</v>
      </c>
      <c r="B370">
        <v>3635</v>
      </c>
      <c r="C370" t="s">
        <v>842</v>
      </c>
      <c r="D370" t="s">
        <v>509</v>
      </c>
      <c r="E370" t="s">
        <v>141</v>
      </c>
      <c r="F370" t="s">
        <v>843</v>
      </c>
      <c r="G370" t="str">
        <f>"00315183"</f>
        <v>00315183</v>
      </c>
      <c r="H370">
        <v>671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30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60</v>
      </c>
      <c r="W370">
        <v>420</v>
      </c>
      <c r="X370">
        <v>0</v>
      </c>
      <c r="Z370">
        <v>0</v>
      </c>
      <c r="AA370">
        <v>0</v>
      </c>
      <c r="AB370">
        <v>24</v>
      </c>
      <c r="AC370">
        <v>408</v>
      </c>
      <c r="AD370">
        <v>1529</v>
      </c>
    </row>
    <row r="371" spans="1:30" x14ac:dyDescent="0.25">
      <c r="H371" t="s">
        <v>844</v>
      </c>
    </row>
    <row r="372" spans="1:30" x14ac:dyDescent="0.25">
      <c r="A372">
        <v>183</v>
      </c>
      <c r="B372">
        <v>1321</v>
      </c>
      <c r="C372" t="s">
        <v>845</v>
      </c>
      <c r="D372" t="s">
        <v>254</v>
      </c>
      <c r="E372" t="s">
        <v>77</v>
      </c>
      <c r="F372" t="s">
        <v>846</v>
      </c>
      <c r="G372" t="str">
        <f>"201406016100"</f>
        <v>201406016100</v>
      </c>
      <c r="H372" t="s">
        <v>573</v>
      </c>
      <c r="I372">
        <v>0</v>
      </c>
      <c r="J372">
        <v>0</v>
      </c>
      <c r="K372">
        <v>0</v>
      </c>
      <c r="L372">
        <v>200</v>
      </c>
      <c r="M372">
        <v>0</v>
      </c>
      <c r="N372">
        <v>50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73</v>
      </c>
      <c r="W372">
        <v>511</v>
      </c>
      <c r="X372">
        <v>0</v>
      </c>
      <c r="Z372">
        <v>0</v>
      </c>
      <c r="AA372">
        <v>0</v>
      </c>
      <c r="AB372">
        <v>0</v>
      </c>
      <c r="AC372">
        <v>0</v>
      </c>
      <c r="AD372" t="s">
        <v>847</v>
      </c>
    </row>
    <row r="373" spans="1:30" x14ac:dyDescent="0.25">
      <c r="H373" t="s">
        <v>848</v>
      </c>
    </row>
    <row r="374" spans="1:30" x14ac:dyDescent="0.25">
      <c r="A374">
        <v>184</v>
      </c>
      <c r="B374">
        <v>3683</v>
      </c>
      <c r="C374" t="s">
        <v>849</v>
      </c>
      <c r="D374" t="s">
        <v>830</v>
      </c>
      <c r="E374" t="s">
        <v>49</v>
      </c>
      <c r="F374" t="s">
        <v>850</v>
      </c>
      <c r="G374" t="str">
        <f>"00336197"</f>
        <v>00336197</v>
      </c>
      <c r="H374" t="s">
        <v>131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30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45</v>
      </c>
      <c r="W374">
        <v>315</v>
      </c>
      <c r="X374">
        <v>0</v>
      </c>
      <c r="Z374">
        <v>0</v>
      </c>
      <c r="AA374">
        <v>0</v>
      </c>
      <c r="AB374">
        <v>24</v>
      </c>
      <c r="AC374">
        <v>408</v>
      </c>
      <c r="AD374" t="s">
        <v>851</v>
      </c>
    </row>
    <row r="375" spans="1:30" x14ac:dyDescent="0.25">
      <c r="H375" t="s">
        <v>852</v>
      </c>
    </row>
    <row r="376" spans="1:30" x14ac:dyDescent="0.25">
      <c r="A376">
        <v>185</v>
      </c>
      <c r="B376">
        <v>4186</v>
      </c>
      <c r="C376" t="s">
        <v>853</v>
      </c>
      <c r="D376" t="s">
        <v>76</v>
      </c>
      <c r="E376" t="s">
        <v>102</v>
      </c>
      <c r="F376" t="s">
        <v>854</v>
      </c>
      <c r="G376" t="str">
        <f>"201406014673"</f>
        <v>201406014673</v>
      </c>
      <c r="H376" t="s">
        <v>855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60</v>
      </c>
      <c r="W376">
        <v>420</v>
      </c>
      <c r="X376">
        <v>0</v>
      </c>
      <c r="Z376">
        <v>0</v>
      </c>
      <c r="AA376">
        <v>0</v>
      </c>
      <c r="AB376">
        <v>24</v>
      </c>
      <c r="AC376">
        <v>408</v>
      </c>
      <c r="AD376" t="s">
        <v>856</v>
      </c>
    </row>
    <row r="377" spans="1:30" x14ac:dyDescent="0.25">
      <c r="H377" t="s">
        <v>857</v>
      </c>
    </row>
    <row r="378" spans="1:30" x14ac:dyDescent="0.25">
      <c r="A378">
        <v>186</v>
      </c>
      <c r="B378">
        <v>2579</v>
      </c>
      <c r="C378" t="s">
        <v>858</v>
      </c>
      <c r="D378" t="s">
        <v>181</v>
      </c>
      <c r="E378" t="s">
        <v>859</v>
      </c>
      <c r="F378" t="s">
        <v>860</v>
      </c>
      <c r="G378" t="str">
        <f>"200801005382"</f>
        <v>200801005382</v>
      </c>
      <c r="H378" t="s">
        <v>861</v>
      </c>
      <c r="I378">
        <v>0</v>
      </c>
      <c r="J378">
        <v>0</v>
      </c>
      <c r="K378">
        <v>0</v>
      </c>
      <c r="L378">
        <v>200</v>
      </c>
      <c r="M378">
        <v>0</v>
      </c>
      <c r="N378">
        <v>70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84</v>
      </c>
      <c r="W378">
        <v>588</v>
      </c>
      <c r="X378">
        <v>0</v>
      </c>
      <c r="Z378">
        <v>0</v>
      </c>
      <c r="AA378">
        <v>0</v>
      </c>
      <c r="AB378">
        <v>0</v>
      </c>
      <c r="AC378">
        <v>0</v>
      </c>
      <c r="AD378" t="s">
        <v>862</v>
      </c>
    </row>
    <row r="379" spans="1:30" x14ac:dyDescent="0.25">
      <c r="H379" t="s">
        <v>863</v>
      </c>
    </row>
    <row r="380" spans="1:30" x14ac:dyDescent="0.25">
      <c r="A380">
        <v>187</v>
      </c>
      <c r="B380">
        <v>4774</v>
      </c>
      <c r="C380" t="s">
        <v>864</v>
      </c>
      <c r="D380" t="s">
        <v>865</v>
      </c>
      <c r="E380" t="s">
        <v>866</v>
      </c>
      <c r="F380" t="s">
        <v>867</v>
      </c>
      <c r="G380" t="str">
        <f>"00003979"</f>
        <v>00003979</v>
      </c>
      <c r="H380">
        <v>682</v>
      </c>
      <c r="I380">
        <v>0</v>
      </c>
      <c r="J380">
        <v>0</v>
      </c>
      <c r="K380">
        <v>0</v>
      </c>
      <c r="L380">
        <v>200</v>
      </c>
      <c r="M380">
        <v>0</v>
      </c>
      <c r="N380">
        <v>50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84</v>
      </c>
      <c r="W380">
        <v>588</v>
      </c>
      <c r="X380">
        <v>0</v>
      </c>
      <c r="Z380">
        <v>0</v>
      </c>
      <c r="AA380">
        <v>0</v>
      </c>
      <c r="AB380">
        <v>0</v>
      </c>
      <c r="AC380">
        <v>0</v>
      </c>
      <c r="AD380">
        <v>1520</v>
      </c>
    </row>
    <row r="381" spans="1:30" x14ac:dyDescent="0.25">
      <c r="H381" t="s">
        <v>868</v>
      </c>
    </row>
    <row r="382" spans="1:30" x14ac:dyDescent="0.25">
      <c r="A382">
        <v>188</v>
      </c>
      <c r="B382">
        <v>2802</v>
      </c>
      <c r="C382" t="s">
        <v>869</v>
      </c>
      <c r="D382" t="s">
        <v>449</v>
      </c>
      <c r="E382" t="s">
        <v>870</v>
      </c>
      <c r="F382" t="s">
        <v>871</v>
      </c>
      <c r="G382" t="str">
        <f>"200801009535"</f>
        <v>200801009535</v>
      </c>
      <c r="H382" t="s">
        <v>872</v>
      </c>
      <c r="I382">
        <v>0</v>
      </c>
      <c r="J382">
        <v>0</v>
      </c>
      <c r="K382">
        <v>0</v>
      </c>
      <c r="L382">
        <v>200</v>
      </c>
      <c r="M382">
        <v>0</v>
      </c>
      <c r="N382">
        <v>30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84</v>
      </c>
      <c r="W382">
        <v>588</v>
      </c>
      <c r="X382">
        <v>0</v>
      </c>
      <c r="Z382">
        <v>0</v>
      </c>
      <c r="AA382">
        <v>0</v>
      </c>
      <c r="AB382">
        <v>0</v>
      </c>
      <c r="AC382">
        <v>0</v>
      </c>
      <c r="AD382" t="s">
        <v>873</v>
      </c>
    </row>
    <row r="383" spans="1:30" x14ac:dyDescent="0.25">
      <c r="H383" t="s">
        <v>874</v>
      </c>
    </row>
    <row r="384" spans="1:30" x14ac:dyDescent="0.25">
      <c r="A384">
        <v>189</v>
      </c>
      <c r="B384">
        <v>4068</v>
      </c>
      <c r="C384" t="s">
        <v>875</v>
      </c>
      <c r="D384" t="s">
        <v>39</v>
      </c>
      <c r="E384" t="s">
        <v>28</v>
      </c>
      <c r="F384" t="s">
        <v>876</v>
      </c>
      <c r="G384" t="str">
        <f>"00351110"</f>
        <v>00351110</v>
      </c>
      <c r="H384" t="s">
        <v>877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30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55</v>
      </c>
      <c r="W384">
        <v>385</v>
      </c>
      <c r="X384">
        <v>0</v>
      </c>
      <c r="Z384">
        <v>0</v>
      </c>
      <c r="AA384">
        <v>0</v>
      </c>
      <c r="AB384">
        <v>24</v>
      </c>
      <c r="AC384">
        <v>408</v>
      </c>
      <c r="AD384" t="s">
        <v>878</v>
      </c>
    </row>
    <row r="385" spans="1:30" x14ac:dyDescent="0.25">
      <c r="H385" t="s">
        <v>879</v>
      </c>
    </row>
    <row r="386" spans="1:30" x14ac:dyDescent="0.25">
      <c r="A386">
        <v>190</v>
      </c>
      <c r="B386">
        <v>6225</v>
      </c>
      <c r="C386" t="s">
        <v>880</v>
      </c>
      <c r="D386" t="s">
        <v>444</v>
      </c>
      <c r="E386" t="s">
        <v>76</v>
      </c>
      <c r="F386" t="s">
        <v>881</v>
      </c>
      <c r="G386" t="str">
        <f>"00158164"</f>
        <v>00158164</v>
      </c>
      <c r="H386" t="s">
        <v>882</v>
      </c>
      <c r="I386">
        <v>0</v>
      </c>
      <c r="J386">
        <v>0</v>
      </c>
      <c r="K386">
        <v>0</v>
      </c>
      <c r="L386">
        <v>200</v>
      </c>
      <c r="M386">
        <v>0</v>
      </c>
      <c r="N386">
        <v>30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73</v>
      </c>
      <c r="W386">
        <v>511</v>
      </c>
      <c r="X386">
        <v>0</v>
      </c>
      <c r="Z386">
        <v>0</v>
      </c>
      <c r="AA386">
        <v>0</v>
      </c>
      <c r="AB386">
        <v>0</v>
      </c>
      <c r="AC386">
        <v>0</v>
      </c>
      <c r="AD386" t="s">
        <v>883</v>
      </c>
    </row>
    <row r="387" spans="1:30" x14ac:dyDescent="0.25">
      <c r="H387" t="s">
        <v>884</v>
      </c>
    </row>
    <row r="388" spans="1:30" x14ac:dyDescent="0.25">
      <c r="A388">
        <v>191</v>
      </c>
      <c r="B388">
        <v>5365</v>
      </c>
      <c r="C388" t="s">
        <v>885</v>
      </c>
      <c r="D388" t="s">
        <v>180</v>
      </c>
      <c r="E388" t="s">
        <v>658</v>
      </c>
      <c r="F388" t="s">
        <v>886</v>
      </c>
      <c r="G388" t="str">
        <f>"201406007603"</f>
        <v>201406007603</v>
      </c>
      <c r="H388" t="s">
        <v>887</v>
      </c>
      <c r="I388">
        <v>0</v>
      </c>
      <c r="J388">
        <v>0</v>
      </c>
      <c r="K388">
        <v>0</v>
      </c>
      <c r="L388">
        <v>200</v>
      </c>
      <c r="M388">
        <v>0</v>
      </c>
      <c r="N388">
        <v>30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83</v>
      </c>
      <c r="W388">
        <v>581</v>
      </c>
      <c r="X388">
        <v>0</v>
      </c>
      <c r="Z388">
        <v>0</v>
      </c>
      <c r="AA388">
        <v>0</v>
      </c>
      <c r="AB388">
        <v>0</v>
      </c>
      <c r="AC388">
        <v>0</v>
      </c>
      <c r="AD388" t="s">
        <v>888</v>
      </c>
    </row>
    <row r="389" spans="1:30" x14ac:dyDescent="0.25">
      <c r="H389" t="s">
        <v>889</v>
      </c>
    </row>
    <row r="390" spans="1:30" x14ac:dyDescent="0.25">
      <c r="A390">
        <v>192</v>
      </c>
      <c r="B390">
        <v>298</v>
      </c>
      <c r="C390" t="s">
        <v>890</v>
      </c>
      <c r="D390" t="s">
        <v>106</v>
      </c>
      <c r="E390" t="s">
        <v>76</v>
      </c>
      <c r="F390" t="s">
        <v>891</v>
      </c>
      <c r="G390" t="str">
        <f>"00030252"</f>
        <v>00030252</v>
      </c>
      <c r="H390">
        <v>748</v>
      </c>
      <c r="I390">
        <v>0</v>
      </c>
      <c r="J390">
        <v>0</v>
      </c>
      <c r="K390">
        <v>0</v>
      </c>
      <c r="L390">
        <v>200</v>
      </c>
      <c r="M390">
        <v>0</v>
      </c>
      <c r="N390">
        <v>30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77</v>
      </c>
      <c r="W390">
        <v>539</v>
      </c>
      <c r="X390">
        <v>0</v>
      </c>
      <c r="Z390">
        <v>0</v>
      </c>
      <c r="AA390">
        <v>0</v>
      </c>
      <c r="AB390">
        <v>0</v>
      </c>
      <c r="AC390">
        <v>0</v>
      </c>
      <c r="AD390">
        <v>1517</v>
      </c>
    </row>
    <row r="391" spans="1:30" x14ac:dyDescent="0.25">
      <c r="H391" t="s">
        <v>892</v>
      </c>
    </row>
    <row r="392" spans="1:30" x14ac:dyDescent="0.25">
      <c r="A392">
        <v>193</v>
      </c>
      <c r="B392">
        <v>4489</v>
      </c>
      <c r="C392" t="s">
        <v>893</v>
      </c>
      <c r="D392" t="s">
        <v>598</v>
      </c>
      <c r="E392" t="s">
        <v>167</v>
      </c>
      <c r="F392" t="s">
        <v>894</v>
      </c>
      <c r="G392" t="str">
        <f>"201406012138"</f>
        <v>201406012138</v>
      </c>
      <c r="H392" t="s">
        <v>895</v>
      </c>
      <c r="I392">
        <v>0</v>
      </c>
      <c r="J392">
        <v>0</v>
      </c>
      <c r="K392">
        <v>0</v>
      </c>
      <c r="L392">
        <v>200</v>
      </c>
      <c r="M392">
        <v>0</v>
      </c>
      <c r="N392">
        <v>70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9</v>
      </c>
      <c r="W392">
        <v>63</v>
      </c>
      <c r="X392">
        <v>0</v>
      </c>
      <c r="Z392">
        <v>0</v>
      </c>
      <c r="AA392">
        <v>0</v>
      </c>
      <c r="AB392">
        <v>24</v>
      </c>
      <c r="AC392">
        <v>408</v>
      </c>
      <c r="AD392" t="s">
        <v>896</v>
      </c>
    </row>
    <row r="393" spans="1:30" x14ac:dyDescent="0.25">
      <c r="H393" t="s">
        <v>897</v>
      </c>
    </row>
    <row r="394" spans="1:30" x14ac:dyDescent="0.25">
      <c r="A394">
        <v>194</v>
      </c>
      <c r="B394">
        <v>3390</v>
      </c>
      <c r="C394" t="s">
        <v>898</v>
      </c>
      <c r="D394" t="s">
        <v>167</v>
      </c>
      <c r="E394" t="s">
        <v>102</v>
      </c>
      <c r="F394" t="s">
        <v>899</v>
      </c>
      <c r="G394" t="str">
        <f>"00242389"</f>
        <v>00242389</v>
      </c>
      <c r="H394" t="s">
        <v>900</v>
      </c>
      <c r="I394">
        <v>0</v>
      </c>
      <c r="J394">
        <v>0</v>
      </c>
      <c r="K394">
        <v>0</v>
      </c>
      <c r="L394">
        <v>200</v>
      </c>
      <c r="M394">
        <v>0</v>
      </c>
      <c r="N394">
        <v>30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84</v>
      </c>
      <c r="W394">
        <v>588</v>
      </c>
      <c r="X394">
        <v>0</v>
      </c>
      <c r="Z394">
        <v>0</v>
      </c>
      <c r="AA394">
        <v>0</v>
      </c>
      <c r="AB394">
        <v>0</v>
      </c>
      <c r="AC394">
        <v>0</v>
      </c>
      <c r="AD394" t="s">
        <v>896</v>
      </c>
    </row>
    <row r="395" spans="1:30" x14ac:dyDescent="0.25">
      <c r="H395" t="s">
        <v>901</v>
      </c>
    </row>
    <row r="396" spans="1:30" x14ac:dyDescent="0.25">
      <c r="A396">
        <v>195</v>
      </c>
      <c r="B396">
        <v>1204</v>
      </c>
      <c r="C396" t="s">
        <v>902</v>
      </c>
      <c r="D396" t="s">
        <v>27</v>
      </c>
      <c r="E396" t="s">
        <v>102</v>
      </c>
      <c r="F396" t="s">
        <v>903</v>
      </c>
      <c r="G396" t="str">
        <f>"201406004797"</f>
        <v>201406004797</v>
      </c>
      <c r="H396" t="s">
        <v>900</v>
      </c>
      <c r="I396">
        <v>0</v>
      </c>
      <c r="J396">
        <v>0</v>
      </c>
      <c r="K396">
        <v>0</v>
      </c>
      <c r="L396">
        <v>200</v>
      </c>
      <c r="M396">
        <v>0</v>
      </c>
      <c r="N396">
        <v>30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84</v>
      </c>
      <c r="W396">
        <v>588</v>
      </c>
      <c r="X396">
        <v>0</v>
      </c>
      <c r="Z396">
        <v>1</v>
      </c>
      <c r="AA396">
        <v>0</v>
      </c>
      <c r="AB396">
        <v>0</v>
      </c>
      <c r="AC396">
        <v>0</v>
      </c>
      <c r="AD396" t="s">
        <v>896</v>
      </c>
    </row>
    <row r="397" spans="1:30" x14ac:dyDescent="0.25">
      <c r="H397" t="s">
        <v>904</v>
      </c>
    </row>
    <row r="398" spans="1:30" x14ac:dyDescent="0.25">
      <c r="A398">
        <v>196</v>
      </c>
      <c r="B398">
        <v>4852</v>
      </c>
      <c r="C398" t="s">
        <v>905</v>
      </c>
      <c r="D398" t="s">
        <v>185</v>
      </c>
      <c r="E398" t="s">
        <v>102</v>
      </c>
      <c r="F398" t="s">
        <v>906</v>
      </c>
      <c r="G398" t="str">
        <f>"200802006216"</f>
        <v>200802006216</v>
      </c>
      <c r="H398">
        <v>748</v>
      </c>
      <c r="I398">
        <v>150</v>
      </c>
      <c r="J398">
        <v>0</v>
      </c>
      <c r="K398">
        <v>0</v>
      </c>
      <c r="L398">
        <v>0</v>
      </c>
      <c r="M398">
        <v>0</v>
      </c>
      <c r="N398">
        <v>30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84</v>
      </c>
      <c r="W398">
        <v>588</v>
      </c>
      <c r="X398">
        <v>0</v>
      </c>
      <c r="Z398">
        <v>0</v>
      </c>
      <c r="AA398">
        <v>0</v>
      </c>
      <c r="AB398">
        <v>0</v>
      </c>
      <c r="AC398">
        <v>0</v>
      </c>
      <c r="AD398">
        <v>1516</v>
      </c>
    </row>
    <row r="399" spans="1:30" x14ac:dyDescent="0.25">
      <c r="H399" t="s">
        <v>907</v>
      </c>
    </row>
    <row r="400" spans="1:30" x14ac:dyDescent="0.25">
      <c r="A400">
        <v>197</v>
      </c>
      <c r="B400">
        <v>2920</v>
      </c>
      <c r="C400" t="s">
        <v>908</v>
      </c>
      <c r="D400" t="s">
        <v>225</v>
      </c>
      <c r="E400" t="s">
        <v>49</v>
      </c>
      <c r="F400" t="s">
        <v>909</v>
      </c>
      <c r="G400" t="str">
        <f>"201406010554"</f>
        <v>201406010554</v>
      </c>
      <c r="H400">
        <v>726</v>
      </c>
      <c r="I400">
        <v>0</v>
      </c>
      <c r="J400">
        <v>0</v>
      </c>
      <c r="K400">
        <v>0</v>
      </c>
      <c r="L400">
        <v>200</v>
      </c>
      <c r="M400">
        <v>0</v>
      </c>
      <c r="N400">
        <v>70</v>
      </c>
      <c r="O400">
        <v>0</v>
      </c>
      <c r="P400">
        <v>0</v>
      </c>
      <c r="Q400">
        <v>0</v>
      </c>
      <c r="R400">
        <v>30</v>
      </c>
      <c r="S400">
        <v>0</v>
      </c>
      <c r="T400">
        <v>0</v>
      </c>
      <c r="U400">
        <v>0</v>
      </c>
      <c r="V400">
        <v>70</v>
      </c>
      <c r="W400">
        <v>490</v>
      </c>
      <c r="X400">
        <v>0</v>
      </c>
      <c r="Z400">
        <v>0</v>
      </c>
      <c r="AA400">
        <v>0</v>
      </c>
      <c r="AB400">
        <v>0</v>
      </c>
      <c r="AC400">
        <v>0</v>
      </c>
      <c r="AD400">
        <v>1516</v>
      </c>
    </row>
    <row r="401" spans="1:30" x14ac:dyDescent="0.25">
      <c r="H401" t="s">
        <v>910</v>
      </c>
    </row>
    <row r="402" spans="1:30" x14ac:dyDescent="0.25">
      <c r="A402">
        <v>198</v>
      </c>
      <c r="B402">
        <v>5108</v>
      </c>
      <c r="C402" t="s">
        <v>911</v>
      </c>
      <c r="D402" t="s">
        <v>167</v>
      </c>
      <c r="E402" t="s">
        <v>76</v>
      </c>
      <c r="F402" t="s">
        <v>912</v>
      </c>
      <c r="G402" t="str">
        <f>"00336726"</f>
        <v>00336726</v>
      </c>
      <c r="H402" t="s">
        <v>913</v>
      </c>
      <c r="I402">
        <v>0</v>
      </c>
      <c r="J402">
        <v>0</v>
      </c>
      <c r="K402">
        <v>0</v>
      </c>
      <c r="L402">
        <v>200</v>
      </c>
      <c r="M402">
        <v>0</v>
      </c>
      <c r="N402">
        <v>30</v>
      </c>
      <c r="O402">
        <v>0</v>
      </c>
      <c r="P402">
        <v>0</v>
      </c>
      <c r="Q402">
        <v>30</v>
      </c>
      <c r="R402">
        <v>0</v>
      </c>
      <c r="S402">
        <v>0</v>
      </c>
      <c r="T402">
        <v>0</v>
      </c>
      <c r="U402">
        <v>0</v>
      </c>
      <c r="V402">
        <v>83</v>
      </c>
      <c r="W402">
        <v>581</v>
      </c>
      <c r="X402">
        <v>0</v>
      </c>
      <c r="Z402">
        <v>0</v>
      </c>
      <c r="AA402">
        <v>0</v>
      </c>
      <c r="AB402">
        <v>0</v>
      </c>
      <c r="AC402">
        <v>0</v>
      </c>
      <c r="AD402" t="s">
        <v>914</v>
      </c>
    </row>
    <row r="403" spans="1:30" x14ac:dyDescent="0.25">
      <c r="H403" t="s">
        <v>915</v>
      </c>
    </row>
    <row r="404" spans="1:30" x14ac:dyDescent="0.25">
      <c r="A404">
        <v>199</v>
      </c>
      <c r="B404">
        <v>215</v>
      </c>
      <c r="C404" t="s">
        <v>916</v>
      </c>
      <c r="D404" t="s">
        <v>917</v>
      </c>
      <c r="E404" t="s">
        <v>542</v>
      </c>
      <c r="F404" t="s">
        <v>918</v>
      </c>
      <c r="G404" t="str">
        <f>"200802004169"</f>
        <v>200802004169</v>
      </c>
      <c r="H404" t="s">
        <v>919</v>
      </c>
      <c r="I404">
        <v>150</v>
      </c>
      <c r="J404">
        <v>0</v>
      </c>
      <c r="K404">
        <v>0</v>
      </c>
      <c r="L404">
        <v>0</v>
      </c>
      <c r="M404">
        <v>0</v>
      </c>
      <c r="N404">
        <v>30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84</v>
      </c>
      <c r="W404">
        <v>588</v>
      </c>
      <c r="X404">
        <v>0</v>
      </c>
      <c r="Z404">
        <v>0</v>
      </c>
      <c r="AA404">
        <v>0</v>
      </c>
      <c r="AB404">
        <v>0</v>
      </c>
      <c r="AC404">
        <v>0</v>
      </c>
      <c r="AD404" t="s">
        <v>920</v>
      </c>
    </row>
    <row r="405" spans="1:30" x14ac:dyDescent="0.25">
      <c r="H405" t="s">
        <v>921</v>
      </c>
    </row>
    <row r="406" spans="1:30" x14ac:dyDescent="0.25">
      <c r="A406">
        <v>200</v>
      </c>
      <c r="B406">
        <v>6213</v>
      </c>
      <c r="C406" t="s">
        <v>922</v>
      </c>
      <c r="D406" t="s">
        <v>615</v>
      </c>
      <c r="E406" t="s">
        <v>337</v>
      </c>
      <c r="F406" t="s">
        <v>923</v>
      </c>
      <c r="G406" t="str">
        <f>"201304002291"</f>
        <v>201304002291</v>
      </c>
      <c r="H406">
        <v>704</v>
      </c>
      <c r="I406">
        <v>150</v>
      </c>
      <c r="J406">
        <v>0</v>
      </c>
      <c r="K406">
        <v>0</v>
      </c>
      <c r="L406">
        <v>0</v>
      </c>
      <c r="M406">
        <v>0</v>
      </c>
      <c r="N406">
        <v>70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84</v>
      </c>
      <c r="W406">
        <v>588</v>
      </c>
      <c r="X406">
        <v>0</v>
      </c>
      <c r="Z406">
        <v>0</v>
      </c>
      <c r="AA406">
        <v>0</v>
      </c>
      <c r="AB406">
        <v>0</v>
      </c>
      <c r="AC406">
        <v>0</v>
      </c>
      <c r="AD406">
        <v>1512</v>
      </c>
    </row>
    <row r="407" spans="1:30" x14ac:dyDescent="0.25">
      <c r="H407" t="s">
        <v>924</v>
      </c>
    </row>
    <row r="408" spans="1:30" x14ac:dyDescent="0.25">
      <c r="A408">
        <v>201</v>
      </c>
      <c r="B408">
        <v>3284</v>
      </c>
      <c r="C408" t="s">
        <v>925</v>
      </c>
      <c r="D408" t="s">
        <v>44</v>
      </c>
      <c r="E408" t="s">
        <v>49</v>
      </c>
      <c r="F408" t="s">
        <v>926</v>
      </c>
      <c r="G408" t="str">
        <f>"201406004172"</f>
        <v>201406004172</v>
      </c>
      <c r="H408">
        <v>693</v>
      </c>
      <c r="I408">
        <v>0</v>
      </c>
      <c r="J408">
        <v>0</v>
      </c>
      <c r="K408">
        <v>0</v>
      </c>
      <c r="L408">
        <v>200</v>
      </c>
      <c r="M408">
        <v>0</v>
      </c>
      <c r="N408">
        <v>30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84</v>
      </c>
      <c r="W408">
        <v>588</v>
      </c>
      <c r="X408">
        <v>0</v>
      </c>
      <c r="Z408">
        <v>0</v>
      </c>
      <c r="AA408">
        <v>0</v>
      </c>
      <c r="AB408">
        <v>0</v>
      </c>
      <c r="AC408">
        <v>0</v>
      </c>
      <c r="AD408">
        <v>1511</v>
      </c>
    </row>
    <row r="409" spans="1:30" x14ac:dyDescent="0.25">
      <c r="H409" t="s">
        <v>153</v>
      </c>
    </row>
    <row r="410" spans="1:30" x14ac:dyDescent="0.25">
      <c r="A410">
        <v>202</v>
      </c>
      <c r="B410">
        <v>2125</v>
      </c>
      <c r="C410" t="s">
        <v>927</v>
      </c>
      <c r="D410" t="s">
        <v>185</v>
      </c>
      <c r="E410" t="s">
        <v>64</v>
      </c>
      <c r="F410" t="s">
        <v>928</v>
      </c>
      <c r="G410" t="str">
        <f>"200802011976"</f>
        <v>200802011976</v>
      </c>
      <c r="H410">
        <v>693</v>
      </c>
      <c r="I410">
        <v>0</v>
      </c>
      <c r="J410">
        <v>0</v>
      </c>
      <c r="K410">
        <v>0</v>
      </c>
      <c r="L410">
        <v>200</v>
      </c>
      <c r="M410">
        <v>0</v>
      </c>
      <c r="N410">
        <v>30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84</v>
      </c>
      <c r="W410">
        <v>588</v>
      </c>
      <c r="X410">
        <v>0</v>
      </c>
      <c r="Z410">
        <v>0</v>
      </c>
      <c r="AA410">
        <v>0</v>
      </c>
      <c r="AB410">
        <v>0</v>
      </c>
      <c r="AC410">
        <v>0</v>
      </c>
      <c r="AD410">
        <v>1511</v>
      </c>
    </row>
    <row r="411" spans="1:30" x14ac:dyDescent="0.25">
      <c r="H411" t="s">
        <v>929</v>
      </c>
    </row>
    <row r="412" spans="1:30" x14ac:dyDescent="0.25">
      <c r="A412">
        <v>203</v>
      </c>
      <c r="B412">
        <v>5799</v>
      </c>
      <c r="C412" t="s">
        <v>930</v>
      </c>
      <c r="D412" t="s">
        <v>180</v>
      </c>
      <c r="E412" t="s">
        <v>834</v>
      </c>
      <c r="F412" t="s">
        <v>931</v>
      </c>
      <c r="G412" t="str">
        <f>"201409006978"</f>
        <v>201409006978</v>
      </c>
      <c r="H412">
        <v>693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30</v>
      </c>
      <c r="O412">
        <v>0</v>
      </c>
      <c r="P412">
        <v>0</v>
      </c>
      <c r="Q412">
        <v>0</v>
      </c>
      <c r="R412">
        <v>0</v>
      </c>
      <c r="S412">
        <v>30</v>
      </c>
      <c r="T412">
        <v>0</v>
      </c>
      <c r="U412">
        <v>0</v>
      </c>
      <c r="V412">
        <v>50</v>
      </c>
      <c r="W412">
        <v>350</v>
      </c>
      <c r="X412">
        <v>0</v>
      </c>
      <c r="Z412">
        <v>1</v>
      </c>
      <c r="AA412">
        <v>0</v>
      </c>
      <c r="AB412">
        <v>24</v>
      </c>
      <c r="AC412">
        <v>408</v>
      </c>
      <c r="AD412">
        <v>1511</v>
      </c>
    </row>
    <row r="413" spans="1:30" x14ac:dyDescent="0.25">
      <c r="H413">
        <v>1255</v>
      </c>
    </row>
    <row r="414" spans="1:30" x14ac:dyDescent="0.25">
      <c r="A414">
        <v>204</v>
      </c>
      <c r="B414">
        <v>1276</v>
      </c>
      <c r="C414" t="s">
        <v>932</v>
      </c>
      <c r="D414" t="s">
        <v>106</v>
      </c>
      <c r="E414" t="s">
        <v>167</v>
      </c>
      <c r="F414" t="s">
        <v>933</v>
      </c>
      <c r="G414" t="str">
        <f>"00023261"</f>
        <v>00023261</v>
      </c>
      <c r="H414" t="s">
        <v>521</v>
      </c>
      <c r="I414">
        <v>150</v>
      </c>
      <c r="J414">
        <v>0</v>
      </c>
      <c r="K414">
        <v>0</v>
      </c>
      <c r="L414">
        <v>0</v>
      </c>
      <c r="M414">
        <v>0</v>
      </c>
      <c r="N414">
        <v>70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81</v>
      </c>
      <c r="W414">
        <v>567</v>
      </c>
      <c r="X414">
        <v>0</v>
      </c>
      <c r="Z414">
        <v>0</v>
      </c>
      <c r="AA414">
        <v>0</v>
      </c>
      <c r="AB414">
        <v>0</v>
      </c>
      <c r="AC414">
        <v>0</v>
      </c>
      <c r="AD414" t="s">
        <v>934</v>
      </c>
    </row>
    <row r="415" spans="1:30" x14ac:dyDescent="0.25">
      <c r="H415" t="s">
        <v>935</v>
      </c>
    </row>
    <row r="416" spans="1:30" x14ac:dyDescent="0.25">
      <c r="A416">
        <v>205</v>
      </c>
      <c r="B416">
        <v>2222</v>
      </c>
      <c r="C416" t="s">
        <v>936</v>
      </c>
      <c r="D416" t="s">
        <v>937</v>
      </c>
      <c r="E416" t="s">
        <v>49</v>
      </c>
      <c r="F416" t="s">
        <v>938</v>
      </c>
      <c r="G416" t="str">
        <f>"200801003527"</f>
        <v>200801003527</v>
      </c>
      <c r="H416">
        <v>792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50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76</v>
      </c>
      <c r="W416">
        <v>532</v>
      </c>
      <c r="X416">
        <v>0</v>
      </c>
      <c r="Z416">
        <v>0</v>
      </c>
      <c r="AA416">
        <v>0</v>
      </c>
      <c r="AB416">
        <v>8</v>
      </c>
      <c r="AC416">
        <v>136</v>
      </c>
      <c r="AD416">
        <v>1510</v>
      </c>
    </row>
    <row r="417" spans="1:30" x14ac:dyDescent="0.25">
      <c r="H417" t="s">
        <v>939</v>
      </c>
    </row>
    <row r="418" spans="1:30" x14ac:dyDescent="0.25">
      <c r="A418">
        <v>206</v>
      </c>
      <c r="B418">
        <v>944</v>
      </c>
      <c r="C418" t="s">
        <v>940</v>
      </c>
      <c r="D418" t="s">
        <v>941</v>
      </c>
      <c r="E418" t="s">
        <v>64</v>
      </c>
      <c r="F418" t="s">
        <v>942</v>
      </c>
      <c r="G418" t="str">
        <f>"200712005777"</f>
        <v>200712005777</v>
      </c>
      <c r="H418">
        <v>682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60</v>
      </c>
      <c r="W418">
        <v>420</v>
      </c>
      <c r="X418">
        <v>0</v>
      </c>
      <c r="Z418">
        <v>0</v>
      </c>
      <c r="AA418">
        <v>0</v>
      </c>
      <c r="AB418">
        <v>24</v>
      </c>
      <c r="AC418">
        <v>408</v>
      </c>
      <c r="AD418">
        <v>1510</v>
      </c>
    </row>
    <row r="419" spans="1:30" x14ac:dyDescent="0.25">
      <c r="H419" t="s">
        <v>943</v>
      </c>
    </row>
    <row r="420" spans="1:30" x14ac:dyDescent="0.25">
      <c r="A420">
        <v>207</v>
      </c>
      <c r="B420">
        <v>6229</v>
      </c>
      <c r="C420" t="s">
        <v>944</v>
      </c>
      <c r="D420" t="s">
        <v>945</v>
      </c>
      <c r="E420" t="s">
        <v>254</v>
      </c>
      <c r="F420" t="s">
        <v>946</v>
      </c>
      <c r="G420" t="str">
        <f>"00147111"</f>
        <v>00147111</v>
      </c>
      <c r="H420">
        <v>671</v>
      </c>
      <c r="I420">
        <v>0</v>
      </c>
      <c r="J420">
        <v>0</v>
      </c>
      <c r="K420">
        <v>0</v>
      </c>
      <c r="L420">
        <v>200</v>
      </c>
      <c r="M420">
        <v>0</v>
      </c>
      <c r="N420">
        <v>50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84</v>
      </c>
      <c r="W420">
        <v>588</v>
      </c>
      <c r="X420">
        <v>0</v>
      </c>
      <c r="Z420">
        <v>0</v>
      </c>
      <c r="AA420">
        <v>0</v>
      </c>
      <c r="AB420">
        <v>0</v>
      </c>
      <c r="AC420">
        <v>0</v>
      </c>
      <c r="AD420">
        <v>1509</v>
      </c>
    </row>
    <row r="421" spans="1:30" x14ac:dyDescent="0.25">
      <c r="H421" t="s">
        <v>947</v>
      </c>
    </row>
    <row r="422" spans="1:30" x14ac:dyDescent="0.25">
      <c r="A422">
        <v>208</v>
      </c>
      <c r="B422">
        <v>5371</v>
      </c>
      <c r="C422" t="s">
        <v>948</v>
      </c>
      <c r="D422" t="s">
        <v>218</v>
      </c>
      <c r="E422" t="s">
        <v>337</v>
      </c>
      <c r="F422" t="s">
        <v>949</v>
      </c>
      <c r="G422" t="str">
        <f>"00190787"</f>
        <v>00190787</v>
      </c>
      <c r="H422" t="s">
        <v>950</v>
      </c>
      <c r="I422">
        <v>0</v>
      </c>
      <c r="J422">
        <v>0</v>
      </c>
      <c r="K422">
        <v>0</v>
      </c>
      <c r="L422">
        <v>200</v>
      </c>
      <c r="M422">
        <v>0</v>
      </c>
      <c r="N422">
        <v>70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84</v>
      </c>
      <c r="W422">
        <v>588</v>
      </c>
      <c r="X422">
        <v>0</v>
      </c>
      <c r="Z422">
        <v>0</v>
      </c>
      <c r="AA422">
        <v>0</v>
      </c>
      <c r="AB422">
        <v>0</v>
      </c>
      <c r="AC422">
        <v>0</v>
      </c>
      <c r="AD422" t="s">
        <v>951</v>
      </c>
    </row>
    <row r="423" spans="1:30" x14ac:dyDescent="0.25">
      <c r="H423" t="s">
        <v>952</v>
      </c>
    </row>
    <row r="424" spans="1:30" x14ac:dyDescent="0.25">
      <c r="A424">
        <v>209</v>
      </c>
      <c r="B424">
        <v>6036</v>
      </c>
      <c r="C424" t="s">
        <v>953</v>
      </c>
      <c r="D424" t="s">
        <v>64</v>
      </c>
      <c r="E424" t="s">
        <v>954</v>
      </c>
      <c r="F424" t="s">
        <v>955</v>
      </c>
      <c r="G424" t="str">
        <f>"00352611"</f>
        <v>00352611</v>
      </c>
      <c r="H424" t="s">
        <v>956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60</v>
      </c>
      <c r="W424">
        <v>420</v>
      </c>
      <c r="X424">
        <v>0</v>
      </c>
      <c r="Z424">
        <v>1</v>
      </c>
      <c r="AA424">
        <v>0</v>
      </c>
      <c r="AB424">
        <v>24</v>
      </c>
      <c r="AC424">
        <v>408</v>
      </c>
      <c r="AD424" t="s">
        <v>957</v>
      </c>
    </row>
    <row r="425" spans="1:30" x14ac:dyDescent="0.25">
      <c r="H425" t="s">
        <v>958</v>
      </c>
    </row>
    <row r="426" spans="1:30" x14ac:dyDescent="0.25">
      <c r="A426">
        <v>210</v>
      </c>
      <c r="B426">
        <v>4008</v>
      </c>
      <c r="C426" t="s">
        <v>308</v>
      </c>
      <c r="D426" t="s">
        <v>629</v>
      </c>
      <c r="E426" t="s">
        <v>959</v>
      </c>
      <c r="F426" t="s">
        <v>960</v>
      </c>
      <c r="G426" t="str">
        <f>"00202171"</f>
        <v>00202171</v>
      </c>
      <c r="H426">
        <v>759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70</v>
      </c>
      <c r="O426">
        <v>0</v>
      </c>
      <c r="P426">
        <v>30</v>
      </c>
      <c r="Q426">
        <v>30</v>
      </c>
      <c r="R426">
        <v>30</v>
      </c>
      <c r="S426">
        <v>0</v>
      </c>
      <c r="T426">
        <v>0</v>
      </c>
      <c r="U426">
        <v>0</v>
      </c>
      <c r="V426">
        <v>84</v>
      </c>
      <c r="W426">
        <v>588</v>
      </c>
      <c r="X426">
        <v>0</v>
      </c>
      <c r="Z426">
        <v>0</v>
      </c>
      <c r="AA426">
        <v>0</v>
      </c>
      <c r="AB426">
        <v>0</v>
      </c>
      <c r="AC426">
        <v>0</v>
      </c>
      <c r="AD426">
        <v>1507</v>
      </c>
    </row>
    <row r="427" spans="1:30" x14ac:dyDescent="0.25">
      <c r="H427" t="s">
        <v>961</v>
      </c>
    </row>
    <row r="428" spans="1:30" x14ac:dyDescent="0.25">
      <c r="A428">
        <v>211</v>
      </c>
      <c r="B428">
        <v>2129</v>
      </c>
      <c r="C428" t="s">
        <v>623</v>
      </c>
      <c r="D428" t="s">
        <v>962</v>
      </c>
      <c r="E428" t="s">
        <v>963</v>
      </c>
      <c r="F428" t="s">
        <v>964</v>
      </c>
      <c r="G428" t="str">
        <f>"201406014704"</f>
        <v>201406014704</v>
      </c>
      <c r="H428">
        <v>649</v>
      </c>
      <c r="I428">
        <v>0</v>
      </c>
      <c r="J428">
        <v>0</v>
      </c>
      <c r="K428">
        <v>0</v>
      </c>
      <c r="L428">
        <v>200</v>
      </c>
      <c r="M428">
        <v>0</v>
      </c>
      <c r="N428">
        <v>70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84</v>
      </c>
      <c r="W428">
        <v>588</v>
      </c>
      <c r="X428">
        <v>0</v>
      </c>
      <c r="Z428">
        <v>0</v>
      </c>
      <c r="AA428">
        <v>0</v>
      </c>
      <c r="AB428">
        <v>0</v>
      </c>
      <c r="AC428">
        <v>0</v>
      </c>
      <c r="AD428">
        <v>1507</v>
      </c>
    </row>
    <row r="429" spans="1:30" x14ac:dyDescent="0.25">
      <c r="H429" t="s">
        <v>965</v>
      </c>
    </row>
    <row r="430" spans="1:30" x14ac:dyDescent="0.25">
      <c r="A430">
        <v>212</v>
      </c>
      <c r="B430">
        <v>2822</v>
      </c>
      <c r="C430" t="s">
        <v>966</v>
      </c>
      <c r="D430" t="s">
        <v>967</v>
      </c>
      <c r="E430" t="s">
        <v>102</v>
      </c>
      <c r="F430" t="s">
        <v>968</v>
      </c>
      <c r="G430" t="str">
        <f>"00342884"</f>
        <v>00342884</v>
      </c>
      <c r="H430">
        <v>649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30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60</v>
      </c>
      <c r="W430">
        <v>420</v>
      </c>
      <c r="X430">
        <v>0</v>
      </c>
      <c r="Z430">
        <v>0</v>
      </c>
      <c r="AA430">
        <v>0</v>
      </c>
      <c r="AB430">
        <v>24</v>
      </c>
      <c r="AC430">
        <v>408</v>
      </c>
      <c r="AD430">
        <v>1507</v>
      </c>
    </row>
    <row r="431" spans="1:30" x14ac:dyDescent="0.25">
      <c r="H431" t="s">
        <v>969</v>
      </c>
    </row>
    <row r="432" spans="1:30" x14ac:dyDescent="0.25">
      <c r="A432">
        <v>213</v>
      </c>
      <c r="B432">
        <v>1144</v>
      </c>
      <c r="C432" t="s">
        <v>970</v>
      </c>
      <c r="D432" t="s">
        <v>444</v>
      </c>
      <c r="E432" t="s">
        <v>120</v>
      </c>
      <c r="F432" t="s">
        <v>971</v>
      </c>
      <c r="G432" t="str">
        <f>"201406003939"</f>
        <v>201406003939</v>
      </c>
      <c r="H432" t="s">
        <v>817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70</v>
      </c>
      <c r="O432">
        <v>0</v>
      </c>
      <c r="P432">
        <v>0</v>
      </c>
      <c r="Q432">
        <v>0</v>
      </c>
      <c r="R432">
        <v>30</v>
      </c>
      <c r="S432">
        <v>0</v>
      </c>
      <c r="T432">
        <v>0</v>
      </c>
      <c r="U432">
        <v>0</v>
      </c>
      <c r="V432">
        <v>76</v>
      </c>
      <c r="W432">
        <v>532</v>
      </c>
      <c r="X432">
        <v>0</v>
      </c>
      <c r="Z432">
        <v>0</v>
      </c>
      <c r="AA432">
        <v>0</v>
      </c>
      <c r="AB432">
        <v>0</v>
      </c>
      <c r="AC432">
        <v>0</v>
      </c>
      <c r="AD432" t="s">
        <v>972</v>
      </c>
    </row>
    <row r="433" spans="1:30" x14ac:dyDescent="0.25">
      <c r="H433" t="s">
        <v>973</v>
      </c>
    </row>
    <row r="434" spans="1:30" x14ac:dyDescent="0.25">
      <c r="A434">
        <v>214</v>
      </c>
      <c r="B434">
        <v>4607</v>
      </c>
      <c r="C434" t="s">
        <v>974</v>
      </c>
      <c r="D434" t="s">
        <v>218</v>
      </c>
      <c r="E434" t="s">
        <v>120</v>
      </c>
      <c r="F434" t="s">
        <v>975</v>
      </c>
      <c r="G434" t="str">
        <f>"00366199"</f>
        <v>00366199</v>
      </c>
      <c r="H434" t="s">
        <v>976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70</v>
      </c>
      <c r="O434">
        <v>30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84</v>
      </c>
      <c r="W434">
        <v>588</v>
      </c>
      <c r="X434">
        <v>0</v>
      </c>
      <c r="Z434">
        <v>0</v>
      </c>
      <c r="AA434">
        <v>0</v>
      </c>
      <c r="AB434">
        <v>0</v>
      </c>
      <c r="AC434">
        <v>0</v>
      </c>
      <c r="AD434" t="s">
        <v>977</v>
      </c>
    </row>
    <row r="435" spans="1:30" x14ac:dyDescent="0.25">
      <c r="H435" t="s">
        <v>978</v>
      </c>
    </row>
    <row r="436" spans="1:30" x14ac:dyDescent="0.25">
      <c r="A436">
        <v>215</v>
      </c>
      <c r="B436">
        <v>785</v>
      </c>
      <c r="C436" t="s">
        <v>979</v>
      </c>
      <c r="D436" t="s">
        <v>102</v>
      </c>
      <c r="E436" t="s">
        <v>120</v>
      </c>
      <c r="F436" t="s">
        <v>980</v>
      </c>
      <c r="G436" t="str">
        <f>"00218296"</f>
        <v>00218296</v>
      </c>
      <c r="H436">
        <v>682</v>
      </c>
      <c r="I436">
        <v>0</v>
      </c>
      <c r="J436">
        <v>0</v>
      </c>
      <c r="K436">
        <v>0</v>
      </c>
      <c r="L436">
        <v>200</v>
      </c>
      <c r="M436">
        <v>0</v>
      </c>
      <c r="N436">
        <v>30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84</v>
      </c>
      <c r="W436">
        <v>588</v>
      </c>
      <c r="X436">
        <v>0</v>
      </c>
      <c r="Z436">
        <v>0</v>
      </c>
      <c r="AA436">
        <v>0</v>
      </c>
      <c r="AB436">
        <v>0</v>
      </c>
      <c r="AC436">
        <v>0</v>
      </c>
      <c r="AD436">
        <v>1500</v>
      </c>
    </row>
    <row r="437" spans="1:30" x14ac:dyDescent="0.25">
      <c r="H437" t="s">
        <v>981</v>
      </c>
    </row>
    <row r="438" spans="1:30" x14ac:dyDescent="0.25">
      <c r="A438">
        <v>216</v>
      </c>
      <c r="B438">
        <v>3516</v>
      </c>
      <c r="C438" t="s">
        <v>982</v>
      </c>
      <c r="D438" t="s">
        <v>772</v>
      </c>
      <c r="E438" t="s">
        <v>120</v>
      </c>
      <c r="F438" t="s">
        <v>983</v>
      </c>
      <c r="G438" t="str">
        <f>"200801006089"</f>
        <v>200801006089</v>
      </c>
      <c r="H438" t="s">
        <v>984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70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84</v>
      </c>
      <c r="W438">
        <v>588</v>
      </c>
      <c r="X438">
        <v>0</v>
      </c>
      <c r="Z438">
        <v>0</v>
      </c>
      <c r="AA438">
        <v>0</v>
      </c>
      <c r="AB438">
        <v>0</v>
      </c>
      <c r="AC438">
        <v>0</v>
      </c>
      <c r="AD438" t="s">
        <v>985</v>
      </c>
    </row>
    <row r="439" spans="1:30" x14ac:dyDescent="0.25">
      <c r="H439" t="s">
        <v>986</v>
      </c>
    </row>
    <row r="440" spans="1:30" x14ac:dyDescent="0.25">
      <c r="A440">
        <v>217</v>
      </c>
      <c r="B440">
        <v>4550</v>
      </c>
      <c r="C440" t="s">
        <v>987</v>
      </c>
      <c r="D440" t="s">
        <v>988</v>
      </c>
      <c r="E440" t="s">
        <v>49</v>
      </c>
      <c r="F440" t="s">
        <v>989</v>
      </c>
      <c r="G440" t="str">
        <f>"00367738"</f>
        <v>00367738</v>
      </c>
      <c r="H440">
        <v>671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60</v>
      </c>
      <c r="W440">
        <v>420</v>
      </c>
      <c r="X440">
        <v>0</v>
      </c>
      <c r="Z440">
        <v>2</v>
      </c>
      <c r="AA440">
        <v>0</v>
      </c>
      <c r="AB440">
        <v>24</v>
      </c>
      <c r="AC440">
        <v>408</v>
      </c>
      <c r="AD440">
        <v>1499</v>
      </c>
    </row>
    <row r="441" spans="1:30" x14ac:dyDescent="0.25">
      <c r="H441" t="s">
        <v>990</v>
      </c>
    </row>
    <row r="442" spans="1:30" x14ac:dyDescent="0.25">
      <c r="A442">
        <v>218</v>
      </c>
      <c r="B442">
        <v>3364</v>
      </c>
      <c r="C442" t="s">
        <v>991</v>
      </c>
      <c r="D442" t="s">
        <v>102</v>
      </c>
      <c r="E442" t="s">
        <v>337</v>
      </c>
      <c r="F442" t="s">
        <v>992</v>
      </c>
      <c r="G442" t="str">
        <f>"200801007797"</f>
        <v>200801007797</v>
      </c>
      <c r="H442">
        <v>660</v>
      </c>
      <c r="I442">
        <v>0</v>
      </c>
      <c r="J442">
        <v>0</v>
      </c>
      <c r="K442">
        <v>0</v>
      </c>
      <c r="L442">
        <v>200</v>
      </c>
      <c r="M442">
        <v>0</v>
      </c>
      <c r="N442">
        <v>50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84</v>
      </c>
      <c r="W442">
        <v>588</v>
      </c>
      <c r="X442">
        <v>0</v>
      </c>
      <c r="Z442">
        <v>0</v>
      </c>
      <c r="AA442">
        <v>0</v>
      </c>
      <c r="AB442">
        <v>0</v>
      </c>
      <c r="AC442">
        <v>0</v>
      </c>
      <c r="AD442">
        <v>1498</v>
      </c>
    </row>
    <row r="443" spans="1:30" x14ac:dyDescent="0.25">
      <c r="H443" t="s">
        <v>993</v>
      </c>
    </row>
    <row r="444" spans="1:30" x14ac:dyDescent="0.25">
      <c r="A444">
        <v>219</v>
      </c>
      <c r="B444">
        <v>1928</v>
      </c>
      <c r="C444" t="s">
        <v>994</v>
      </c>
      <c r="D444" t="s">
        <v>995</v>
      </c>
      <c r="E444" t="s">
        <v>389</v>
      </c>
      <c r="F444" t="s">
        <v>996</v>
      </c>
      <c r="G444" t="str">
        <f>"201406009690"</f>
        <v>201406009690</v>
      </c>
      <c r="H444">
        <v>759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70</v>
      </c>
      <c r="O444">
        <v>0</v>
      </c>
      <c r="P444">
        <v>0</v>
      </c>
      <c r="Q444">
        <v>50</v>
      </c>
      <c r="R444">
        <v>30</v>
      </c>
      <c r="S444">
        <v>0</v>
      </c>
      <c r="T444">
        <v>0</v>
      </c>
      <c r="U444">
        <v>0</v>
      </c>
      <c r="V444">
        <v>84</v>
      </c>
      <c r="W444">
        <v>588</v>
      </c>
      <c r="X444">
        <v>0</v>
      </c>
      <c r="Z444">
        <v>0</v>
      </c>
      <c r="AA444">
        <v>0</v>
      </c>
      <c r="AB444">
        <v>0</v>
      </c>
      <c r="AC444">
        <v>0</v>
      </c>
      <c r="AD444">
        <v>1497</v>
      </c>
    </row>
    <row r="445" spans="1:30" x14ac:dyDescent="0.25">
      <c r="H445" t="s">
        <v>997</v>
      </c>
    </row>
    <row r="446" spans="1:30" x14ac:dyDescent="0.25">
      <c r="A446">
        <v>220</v>
      </c>
      <c r="B446">
        <v>3934</v>
      </c>
      <c r="C446" t="s">
        <v>998</v>
      </c>
      <c r="D446" t="s">
        <v>937</v>
      </c>
      <c r="E446" t="s">
        <v>102</v>
      </c>
      <c r="F446" t="s">
        <v>999</v>
      </c>
      <c r="G446" t="str">
        <f>"00228828"</f>
        <v>00228828</v>
      </c>
      <c r="H446">
        <v>858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50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84</v>
      </c>
      <c r="W446">
        <v>588</v>
      </c>
      <c r="X446">
        <v>0</v>
      </c>
      <c r="Z446">
        <v>0</v>
      </c>
      <c r="AA446">
        <v>0</v>
      </c>
      <c r="AB446">
        <v>0</v>
      </c>
      <c r="AC446">
        <v>0</v>
      </c>
      <c r="AD446">
        <v>1496</v>
      </c>
    </row>
    <row r="447" spans="1:30" x14ac:dyDescent="0.25">
      <c r="H447" t="s">
        <v>1000</v>
      </c>
    </row>
    <row r="448" spans="1:30" x14ac:dyDescent="0.25">
      <c r="A448">
        <v>221</v>
      </c>
      <c r="B448">
        <v>370</v>
      </c>
      <c r="C448" t="s">
        <v>1001</v>
      </c>
      <c r="D448" t="s">
        <v>283</v>
      </c>
      <c r="E448" t="s">
        <v>1002</v>
      </c>
      <c r="F448" t="s">
        <v>1003</v>
      </c>
      <c r="G448" t="str">
        <f>"201405001654"</f>
        <v>201405001654</v>
      </c>
      <c r="H448">
        <v>858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50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84</v>
      </c>
      <c r="W448">
        <v>588</v>
      </c>
      <c r="X448">
        <v>0</v>
      </c>
      <c r="Z448">
        <v>0</v>
      </c>
      <c r="AA448">
        <v>0</v>
      </c>
      <c r="AB448">
        <v>0</v>
      </c>
      <c r="AC448">
        <v>0</v>
      </c>
      <c r="AD448">
        <v>1496</v>
      </c>
    </row>
    <row r="449" spans="1:30" x14ac:dyDescent="0.25">
      <c r="H449" t="s">
        <v>1004</v>
      </c>
    </row>
    <row r="450" spans="1:30" x14ac:dyDescent="0.25">
      <c r="A450">
        <v>222</v>
      </c>
      <c r="B450">
        <v>309</v>
      </c>
      <c r="C450" t="s">
        <v>1005</v>
      </c>
      <c r="D450" t="s">
        <v>218</v>
      </c>
      <c r="E450" t="s">
        <v>700</v>
      </c>
      <c r="F450" t="s">
        <v>1006</v>
      </c>
      <c r="G450" t="str">
        <f>"201406007000"</f>
        <v>201406007000</v>
      </c>
      <c r="H450" t="s">
        <v>1007</v>
      </c>
      <c r="I450">
        <v>0</v>
      </c>
      <c r="J450">
        <v>0</v>
      </c>
      <c r="K450">
        <v>0</v>
      </c>
      <c r="L450">
        <v>200</v>
      </c>
      <c r="M450">
        <v>0</v>
      </c>
      <c r="N450">
        <v>50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84</v>
      </c>
      <c r="W450">
        <v>588</v>
      </c>
      <c r="X450">
        <v>0</v>
      </c>
      <c r="Z450">
        <v>0</v>
      </c>
      <c r="AA450">
        <v>0</v>
      </c>
      <c r="AB450">
        <v>0</v>
      </c>
      <c r="AC450">
        <v>0</v>
      </c>
      <c r="AD450" t="s">
        <v>1008</v>
      </c>
    </row>
    <row r="451" spans="1:30" x14ac:dyDescent="0.25">
      <c r="H451" t="s">
        <v>1009</v>
      </c>
    </row>
    <row r="452" spans="1:30" x14ac:dyDescent="0.25">
      <c r="A452">
        <v>223</v>
      </c>
      <c r="B452">
        <v>1940</v>
      </c>
      <c r="C452" t="s">
        <v>1010</v>
      </c>
      <c r="D452" t="s">
        <v>1011</v>
      </c>
      <c r="E452" t="s">
        <v>120</v>
      </c>
      <c r="F452" t="s">
        <v>1012</v>
      </c>
      <c r="G452" t="str">
        <f>"00256768"</f>
        <v>00256768</v>
      </c>
      <c r="H452" t="s">
        <v>66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70</v>
      </c>
      <c r="O452">
        <v>70</v>
      </c>
      <c r="P452">
        <v>0</v>
      </c>
      <c r="Q452">
        <v>0</v>
      </c>
      <c r="R452">
        <v>30</v>
      </c>
      <c r="S452">
        <v>0</v>
      </c>
      <c r="T452">
        <v>0</v>
      </c>
      <c r="U452">
        <v>0</v>
      </c>
      <c r="V452">
        <v>84</v>
      </c>
      <c r="W452">
        <v>588</v>
      </c>
      <c r="X452">
        <v>0</v>
      </c>
      <c r="Z452">
        <v>0</v>
      </c>
      <c r="AA452">
        <v>0</v>
      </c>
      <c r="AB452">
        <v>0</v>
      </c>
      <c r="AC452">
        <v>0</v>
      </c>
      <c r="AD452" t="s">
        <v>1013</v>
      </c>
    </row>
    <row r="453" spans="1:30" x14ac:dyDescent="0.25">
      <c r="H453" t="s">
        <v>1014</v>
      </c>
    </row>
    <row r="454" spans="1:30" x14ac:dyDescent="0.25">
      <c r="A454">
        <v>224</v>
      </c>
      <c r="B454">
        <v>4671</v>
      </c>
      <c r="C454" t="s">
        <v>1015</v>
      </c>
      <c r="D454" t="s">
        <v>191</v>
      </c>
      <c r="E454" t="s">
        <v>1016</v>
      </c>
      <c r="F454" t="s">
        <v>1017</v>
      </c>
      <c r="G454" t="str">
        <f>"00154337"</f>
        <v>00154337</v>
      </c>
      <c r="H454" t="s">
        <v>591</v>
      </c>
      <c r="I454">
        <v>150</v>
      </c>
      <c r="J454">
        <v>0</v>
      </c>
      <c r="K454">
        <v>0</v>
      </c>
      <c r="L454">
        <v>0</v>
      </c>
      <c r="M454">
        <v>0</v>
      </c>
      <c r="N454">
        <v>70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73</v>
      </c>
      <c r="W454">
        <v>511</v>
      </c>
      <c r="X454">
        <v>0</v>
      </c>
      <c r="Z454">
        <v>0</v>
      </c>
      <c r="AA454">
        <v>0</v>
      </c>
      <c r="AB454">
        <v>3</v>
      </c>
      <c r="AC454">
        <v>51</v>
      </c>
      <c r="AD454" t="s">
        <v>1018</v>
      </c>
    </row>
    <row r="455" spans="1:30" x14ac:dyDescent="0.25">
      <c r="H455" t="s">
        <v>1019</v>
      </c>
    </row>
    <row r="456" spans="1:30" x14ac:dyDescent="0.25">
      <c r="A456">
        <v>225</v>
      </c>
      <c r="B456">
        <v>6178</v>
      </c>
      <c r="C456" t="s">
        <v>1020</v>
      </c>
      <c r="D456" t="s">
        <v>218</v>
      </c>
      <c r="E456" t="s">
        <v>107</v>
      </c>
      <c r="F456" t="s">
        <v>1021</v>
      </c>
      <c r="G456" t="str">
        <f>"00197020"</f>
        <v>00197020</v>
      </c>
      <c r="H456">
        <v>693</v>
      </c>
      <c r="I456">
        <v>0</v>
      </c>
      <c r="J456">
        <v>0</v>
      </c>
      <c r="K456">
        <v>0</v>
      </c>
      <c r="L456">
        <v>200</v>
      </c>
      <c r="M456">
        <v>0</v>
      </c>
      <c r="N456">
        <v>70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49</v>
      </c>
      <c r="W456">
        <v>343</v>
      </c>
      <c r="X456">
        <v>0</v>
      </c>
      <c r="Z456">
        <v>0</v>
      </c>
      <c r="AA456">
        <v>0</v>
      </c>
      <c r="AB456">
        <v>11</v>
      </c>
      <c r="AC456">
        <v>187</v>
      </c>
      <c r="AD456">
        <v>1493</v>
      </c>
    </row>
    <row r="457" spans="1:30" x14ac:dyDescent="0.25">
      <c r="H457" t="s">
        <v>1022</v>
      </c>
    </row>
    <row r="458" spans="1:30" x14ac:dyDescent="0.25">
      <c r="A458">
        <v>226</v>
      </c>
      <c r="B458">
        <v>2232</v>
      </c>
      <c r="C458" t="s">
        <v>1023</v>
      </c>
      <c r="D458" t="s">
        <v>166</v>
      </c>
      <c r="E458" t="s">
        <v>120</v>
      </c>
      <c r="F458" t="s">
        <v>1024</v>
      </c>
      <c r="G458" t="str">
        <f>"201406014129"</f>
        <v>201406014129</v>
      </c>
      <c r="H458" t="s">
        <v>1025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30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60</v>
      </c>
      <c r="W458">
        <v>420</v>
      </c>
      <c r="X458">
        <v>0</v>
      </c>
      <c r="Z458">
        <v>0</v>
      </c>
      <c r="AA458">
        <v>0</v>
      </c>
      <c r="AB458">
        <v>24</v>
      </c>
      <c r="AC458">
        <v>408</v>
      </c>
      <c r="AD458" t="s">
        <v>1026</v>
      </c>
    </row>
    <row r="459" spans="1:30" x14ac:dyDescent="0.25">
      <c r="H459" t="s">
        <v>1027</v>
      </c>
    </row>
    <row r="460" spans="1:30" x14ac:dyDescent="0.25">
      <c r="A460">
        <v>227</v>
      </c>
      <c r="B460">
        <v>3985</v>
      </c>
      <c r="C460" t="s">
        <v>1028</v>
      </c>
      <c r="D460" t="s">
        <v>490</v>
      </c>
      <c r="E460" t="s">
        <v>32</v>
      </c>
      <c r="F460" t="s">
        <v>1029</v>
      </c>
      <c r="G460" t="str">
        <f>"00150594"</f>
        <v>00150594</v>
      </c>
      <c r="H460" t="s">
        <v>1030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70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84</v>
      </c>
      <c r="W460">
        <v>588</v>
      </c>
      <c r="X460">
        <v>0</v>
      </c>
      <c r="Z460">
        <v>0</v>
      </c>
      <c r="AA460">
        <v>0</v>
      </c>
      <c r="AB460">
        <v>0</v>
      </c>
      <c r="AC460">
        <v>0</v>
      </c>
      <c r="AD460" t="s">
        <v>1031</v>
      </c>
    </row>
    <row r="461" spans="1:30" x14ac:dyDescent="0.25">
      <c r="H461" t="s">
        <v>1032</v>
      </c>
    </row>
    <row r="462" spans="1:30" x14ac:dyDescent="0.25">
      <c r="A462">
        <v>228</v>
      </c>
      <c r="B462">
        <v>2381</v>
      </c>
      <c r="C462" t="s">
        <v>1033</v>
      </c>
      <c r="D462" t="s">
        <v>1034</v>
      </c>
      <c r="E462" t="s">
        <v>32</v>
      </c>
      <c r="F462" t="s">
        <v>1035</v>
      </c>
      <c r="G462" t="str">
        <f>"201407000316"</f>
        <v>201407000316</v>
      </c>
      <c r="H462" t="s">
        <v>431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60</v>
      </c>
      <c r="W462">
        <v>420</v>
      </c>
      <c r="X462">
        <v>0</v>
      </c>
      <c r="Z462">
        <v>2</v>
      </c>
      <c r="AA462">
        <v>0</v>
      </c>
      <c r="AB462">
        <v>24</v>
      </c>
      <c r="AC462">
        <v>408</v>
      </c>
      <c r="AD462" t="s">
        <v>1036</v>
      </c>
    </row>
    <row r="463" spans="1:30" x14ac:dyDescent="0.25">
      <c r="H463" t="s">
        <v>1037</v>
      </c>
    </row>
    <row r="464" spans="1:30" x14ac:dyDescent="0.25">
      <c r="A464">
        <v>229</v>
      </c>
      <c r="B464">
        <v>587</v>
      </c>
      <c r="C464" t="s">
        <v>1038</v>
      </c>
      <c r="D464" t="s">
        <v>988</v>
      </c>
      <c r="E464" t="s">
        <v>102</v>
      </c>
      <c r="F464" t="s">
        <v>1039</v>
      </c>
      <c r="G464" t="str">
        <f>"00149372"</f>
        <v>00149372</v>
      </c>
      <c r="H464" t="s">
        <v>1040</v>
      </c>
      <c r="I464">
        <v>0</v>
      </c>
      <c r="J464">
        <v>0</v>
      </c>
      <c r="K464">
        <v>0</v>
      </c>
      <c r="L464">
        <v>200</v>
      </c>
      <c r="M464">
        <v>0</v>
      </c>
      <c r="N464">
        <v>30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84</v>
      </c>
      <c r="W464">
        <v>588</v>
      </c>
      <c r="X464">
        <v>0</v>
      </c>
      <c r="Z464">
        <v>0</v>
      </c>
      <c r="AA464">
        <v>0</v>
      </c>
      <c r="AB464">
        <v>0</v>
      </c>
      <c r="AC464">
        <v>0</v>
      </c>
      <c r="AD464" t="s">
        <v>1041</v>
      </c>
    </row>
    <row r="465" spans="1:30" x14ac:dyDescent="0.25">
      <c r="H465" t="s">
        <v>1042</v>
      </c>
    </row>
    <row r="466" spans="1:30" x14ac:dyDescent="0.25">
      <c r="A466">
        <v>230</v>
      </c>
      <c r="B466">
        <v>1484</v>
      </c>
      <c r="C466" t="s">
        <v>1043</v>
      </c>
      <c r="D466" t="s">
        <v>1044</v>
      </c>
      <c r="E466" t="s">
        <v>254</v>
      </c>
      <c r="F466" t="s">
        <v>1045</v>
      </c>
      <c r="G466" t="str">
        <f>"201405001225"</f>
        <v>201405001225</v>
      </c>
      <c r="H466">
        <v>869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30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84</v>
      </c>
      <c r="W466">
        <v>588</v>
      </c>
      <c r="X466">
        <v>0</v>
      </c>
      <c r="Z466">
        <v>0</v>
      </c>
      <c r="AA466">
        <v>0</v>
      </c>
      <c r="AB466">
        <v>0</v>
      </c>
      <c r="AC466">
        <v>0</v>
      </c>
      <c r="AD466">
        <v>1487</v>
      </c>
    </row>
    <row r="467" spans="1:30" x14ac:dyDescent="0.25">
      <c r="H467" t="s">
        <v>1046</v>
      </c>
    </row>
    <row r="468" spans="1:30" x14ac:dyDescent="0.25">
      <c r="A468">
        <v>231</v>
      </c>
      <c r="B468">
        <v>4282</v>
      </c>
      <c r="C468" t="s">
        <v>765</v>
      </c>
      <c r="D468" t="s">
        <v>1047</v>
      </c>
      <c r="E468" t="s">
        <v>1048</v>
      </c>
      <c r="F468" t="s">
        <v>1049</v>
      </c>
      <c r="G468" t="str">
        <f>"00187395"</f>
        <v>00187395</v>
      </c>
      <c r="H468" t="s">
        <v>1050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30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77</v>
      </c>
      <c r="W468">
        <v>539</v>
      </c>
      <c r="X468">
        <v>0</v>
      </c>
      <c r="Z468">
        <v>0</v>
      </c>
      <c r="AA468">
        <v>0</v>
      </c>
      <c r="AB468">
        <v>0</v>
      </c>
      <c r="AC468">
        <v>0</v>
      </c>
      <c r="AD468" t="s">
        <v>1051</v>
      </c>
    </row>
    <row r="469" spans="1:30" x14ac:dyDescent="0.25">
      <c r="H469" t="s">
        <v>764</v>
      </c>
    </row>
    <row r="470" spans="1:30" x14ac:dyDescent="0.25">
      <c r="A470">
        <v>232</v>
      </c>
      <c r="B470">
        <v>348</v>
      </c>
      <c r="C470" t="s">
        <v>1052</v>
      </c>
      <c r="D470" t="s">
        <v>1053</v>
      </c>
      <c r="E470" t="s">
        <v>120</v>
      </c>
      <c r="F470" t="s">
        <v>1054</v>
      </c>
      <c r="G470" t="str">
        <f>"201402005982"</f>
        <v>201402005982</v>
      </c>
      <c r="H470">
        <v>726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30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46</v>
      </c>
      <c r="W470">
        <v>322</v>
      </c>
      <c r="X470">
        <v>0</v>
      </c>
      <c r="Z470">
        <v>0</v>
      </c>
      <c r="AA470">
        <v>0</v>
      </c>
      <c r="AB470">
        <v>24</v>
      </c>
      <c r="AC470">
        <v>408</v>
      </c>
      <c r="AD470">
        <v>1486</v>
      </c>
    </row>
    <row r="471" spans="1:30" x14ac:dyDescent="0.25">
      <c r="H471" t="s">
        <v>1055</v>
      </c>
    </row>
    <row r="472" spans="1:30" x14ac:dyDescent="0.25">
      <c r="A472">
        <v>233</v>
      </c>
      <c r="B472">
        <v>507</v>
      </c>
      <c r="C472" t="s">
        <v>661</v>
      </c>
      <c r="D472" t="s">
        <v>102</v>
      </c>
      <c r="E472" t="s">
        <v>1016</v>
      </c>
      <c r="F472" t="s">
        <v>1056</v>
      </c>
      <c r="G472" t="str">
        <f>"201412005570"</f>
        <v>201412005570</v>
      </c>
      <c r="H472" t="s">
        <v>1057</v>
      </c>
      <c r="I472">
        <v>0</v>
      </c>
      <c r="J472">
        <v>0</v>
      </c>
      <c r="K472">
        <v>0</v>
      </c>
      <c r="L472">
        <v>200</v>
      </c>
      <c r="M472">
        <v>0</v>
      </c>
      <c r="N472">
        <v>30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80</v>
      </c>
      <c r="W472">
        <v>560</v>
      </c>
      <c r="X472">
        <v>0</v>
      </c>
      <c r="Z472">
        <v>0</v>
      </c>
      <c r="AA472">
        <v>0</v>
      </c>
      <c r="AB472">
        <v>0</v>
      </c>
      <c r="AC472">
        <v>0</v>
      </c>
      <c r="AD472" t="s">
        <v>1058</v>
      </c>
    </row>
    <row r="473" spans="1:30" x14ac:dyDescent="0.25">
      <c r="H473" t="s">
        <v>1059</v>
      </c>
    </row>
    <row r="474" spans="1:30" x14ac:dyDescent="0.25">
      <c r="A474">
        <v>234</v>
      </c>
      <c r="B474">
        <v>3957</v>
      </c>
      <c r="C474" t="s">
        <v>1060</v>
      </c>
      <c r="D474" t="s">
        <v>39</v>
      </c>
      <c r="E474" t="s">
        <v>1061</v>
      </c>
      <c r="F474" t="s">
        <v>1062</v>
      </c>
      <c r="G474" t="str">
        <f>"201005000043"</f>
        <v>201005000043</v>
      </c>
      <c r="H474">
        <v>715</v>
      </c>
      <c r="I474">
        <v>150</v>
      </c>
      <c r="J474">
        <v>0</v>
      </c>
      <c r="K474">
        <v>0</v>
      </c>
      <c r="L474">
        <v>0</v>
      </c>
      <c r="M474">
        <v>0</v>
      </c>
      <c r="N474">
        <v>30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84</v>
      </c>
      <c r="W474">
        <v>588</v>
      </c>
      <c r="X474">
        <v>0</v>
      </c>
      <c r="Z474">
        <v>0</v>
      </c>
      <c r="AA474">
        <v>0</v>
      </c>
      <c r="AB474">
        <v>0</v>
      </c>
      <c r="AC474">
        <v>0</v>
      </c>
      <c r="AD474">
        <v>1483</v>
      </c>
    </row>
    <row r="475" spans="1:30" x14ac:dyDescent="0.25">
      <c r="H475" t="s">
        <v>1063</v>
      </c>
    </row>
    <row r="476" spans="1:30" x14ac:dyDescent="0.25">
      <c r="A476">
        <v>235</v>
      </c>
      <c r="B476">
        <v>3931</v>
      </c>
      <c r="C476" t="s">
        <v>1064</v>
      </c>
      <c r="D476" t="s">
        <v>425</v>
      </c>
      <c r="E476" t="s">
        <v>102</v>
      </c>
      <c r="F476" t="s">
        <v>1065</v>
      </c>
      <c r="G476" t="str">
        <f>"200801008366"</f>
        <v>200801008366</v>
      </c>
      <c r="H476" t="s">
        <v>1066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30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60</v>
      </c>
      <c r="W476">
        <v>420</v>
      </c>
      <c r="X476">
        <v>0</v>
      </c>
      <c r="Z476">
        <v>1</v>
      </c>
      <c r="AA476">
        <v>0</v>
      </c>
      <c r="AB476">
        <v>24</v>
      </c>
      <c r="AC476">
        <v>408</v>
      </c>
      <c r="AD476" t="s">
        <v>1067</v>
      </c>
    </row>
    <row r="477" spans="1:30" x14ac:dyDescent="0.25">
      <c r="H477" t="s">
        <v>1068</v>
      </c>
    </row>
    <row r="478" spans="1:30" x14ac:dyDescent="0.25">
      <c r="A478">
        <v>236</v>
      </c>
      <c r="B478">
        <v>1444</v>
      </c>
      <c r="C478" t="s">
        <v>1069</v>
      </c>
      <c r="D478" t="s">
        <v>95</v>
      </c>
      <c r="E478" t="s">
        <v>542</v>
      </c>
      <c r="F478" t="s">
        <v>1070</v>
      </c>
      <c r="G478" t="str">
        <f>"201511038204"</f>
        <v>201511038204</v>
      </c>
      <c r="H478" t="s">
        <v>279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50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84</v>
      </c>
      <c r="W478">
        <v>588</v>
      </c>
      <c r="X478">
        <v>0</v>
      </c>
      <c r="Z478">
        <v>0</v>
      </c>
      <c r="AA478">
        <v>0</v>
      </c>
      <c r="AB478">
        <v>0</v>
      </c>
      <c r="AC478">
        <v>0</v>
      </c>
      <c r="AD478" t="s">
        <v>1071</v>
      </c>
    </row>
    <row r="479" spans="1:30" x14ac:dyDescent="0.25">
      <c r="H479" t="s">
        <v>1072</v>
      </c>
    </row>
    <row r="480" spans="1:30" x14ac:dyDescent="0.25">
      <c r="A480">
        <v>237</v>
      </c>
      <c r="B480">
        <v>4472</v>
      </c>
      <c r="C480" t="s">
        <v>1073</v>
      </c>
      <c r="D480" t="s">
        <v>151</v>
      </c>
      <c r="E480" t="s">
        <v>77</v>
      </c>
      <c r="F480" t="s">
        <v>1074</v>
      </c>
      <c r="G480" t="str">
        <f>"201406019231"</f>
        <v>201406019231</v>
      </c>
      <c r="H480">
        <v>792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30</v>
      </c>
      <c r="O480">
        <v>0</v>
      </c>
      <c r="P480">
        <v>0</v>
      </c>
      <c r="Q480">
        <v>70</v>
      </c>
      <c r="R480">
        <v>0</v>
      </c>
      <c r="S480">
        <v>0</v>
      </c>
      <c r="T480">
        <v>0</v>
      </c>
      <c r="U480">
        <v>0</v>
      </c>
      <c r="V480">
        <v>84</v>
      </c>
      <c r="W480">
        <v>588</v>
      </c>
      <c r="X480">
        <v>0</v>
      </c>
      <c r="Z480">
        <v>0</v>
      </c>
      <c r="AA480">
        <v>0</v>
      </c>
      <c r="AB480">
        <v>0</v>
      </c>
      <c r="AC480">
        <v>0</v>
      </c>
      <c r="AD480">
        <v>1480</v>
      </c>
    </row>
    <row r="481" spans="1:30" x14ac:dyDescent="0.25">
      <c r="H481" t="s">
        <v>1075</v>
      </c>
    </row>
    <row r="482" spans="1:30" x14ac:dyDescent="0.25">
      <c r="A482">
        <v>238</v>
      </c>
      <c r="B482">
        <v>623</v>
      </c>
      <c r="C482" t="s">
        <v>1076</v>
      </c>
      <c r="D482" t="s">
        <v>1077</v>
      </c>
      <c r="E482" t="s">
        <v>1078</v>
      </c>
      <c r="F482" t="s">
        <v>1079</v>
      </c>
      <c r="G482" t="str">
        <f>"201402009785"</f>
        <v>201402009785</v>
      </c>
      <c r="H482" t="s">
        <v>1080</v>
      </c>
      <c r="I482">
        <v>0</v>
      </c>
      <c r="J482">
        <v>0</v>
      </c>
      <c r="K482">
        <v>0</v>
      </c>
      <c r="L482">
        <v>200</v>
      </c>
      <c r="M482">
        <v>0</v>
      </c>
      <c r="N482">
        <v>70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76</v>
      </c>
      <c r="W482">
        <v>532</v>
      </c>
      <c r="X482">
        <v>0</v>
      </c>
      <c r="Z482">
        <v>0</v>
      </c>
      <c r="AA482">
        <v>0</v>
      </c>
      <c r="AB482">
        <v>0</v>
      </c>
      <c r="AC482">
        <v>0</v>
      </c>
      <c r="AD482" t="s">
        <v>1081</v>
      </c>
    </row>
    <row r="483" spans="1:30" x14ac:dyDescent="0.25">
      <c r="H483" t="s">
        <v>1082</v>
      </c>
    </row>
    <row r="484" spans="1:30" x14ac:dyDescent="0.25">
      <c r="A484">
        <v>239</v>
      </c>
      <c r="B484">
        <v>4109</v>
      </c>
      <c r="C484" t="s">
        <v>1083</v>
      </c>
      <c r="D484" t="s">
        <v>236</v>
      </c>
      <c r="E484" t="s">
        <v>1084</v>
      </c>
      <c r="F484" t="s">
        <v>1085</v>
      </c>
      <c r="G484" t="str">
        <f>"00350900"</f>
        <v>00350900</v>
      </c>
      <c r="H484" t="s">
        <v>1086</v>
      </c>
      <c r="I484">
        <v>150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84</v>
      </c>
      <c r="W484">
        <v>588</v>
      </c>
      <c r="X484">
        <v>0</v>
      </c>
      <c r="Z484">
        <v>0</v>
      </c>
      <c r="AA484">
        <v>0</v>
      </c>
      <c r="AB484">
        <v>0</v>
      </c>
      <c r="AC484">
        <v>0</v>
      </c>
      <c r="AD484" t="s">
        <v>1087</v>
      </c>
    </row>
    <row r="485" spans="1:30" x14ac:dyDescent="0.25">
      <c r="H485" t="s">
        <v>1088</v>
      </c>
    </row>
    <row r="486" spans="1:30" x14ac:dyDescent="0.25">
      <c r="A486">
        <v>240</v>
      </c>
      <c r="B486">
        <v>2476</v>
      </c>
      <c r="C486" t="s">
        <v>443</v>
      </c>
      <c r="D486" t="s">
        <v>218</v>
      </c>
      <c r="E486" t="s">
        <v>120</v>
      </c>
      <c r="F486" t="s">
        <v>1089</v>
      </c>
      <c r="G486" t="str">
        <f>"201405001615"</f>
        <v>201405001615</v>
      </c>
      <c r="H486" t="s">
        <v>1090</v>
      </c>
      <c r="I486">
        <v>0</v>
      </c>
      <c r="J486">
        <v>0</v>
      </c>
      <c r="K486">
        <v>0</v>
      </c>
      <c r="L486">
        <v>200</v>
      </c>
      <c r="M486">
        <v>0</v>
      </c>
      <c r="N486">
        <v>70</v>
      </c>
      <c r="O486">
        <v>30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37</v>
      </c>
      <c r="W486">
        <v>259</v>
      </c>
      <c r="X486">
        <v>0</v>
      </c>
      <c r="Z486">
        <v>0</v>
      </c>
      <c r="AA486">
        <v>0</v>
      </c>
      <c r="AB486">
        <v>0</v>
      </c>
      <c r="AC486">
        <v>0</v>
      </c>
      <c r="AD486" t="s">
        <v>1091</v>
      </c>
    </row>
    <row r="487" spans="1:30" x14ac:dyDescent="0.25">
      <c r="H487" t="s">
        <v>1092</v>
      </c>
    </row>
    <row r="488" spans="1:30" x14ac:dyDescent="0.25">
      <c r="A488">
        <v>241</v>
      </c>
      <c r="B488">
        <v>4647</v>
      </c>
      <c r="C488" t="s">
        <v>1093</v>
      </c>
      <c r="D488" t="s">
        <v>120</v>
      </c>
      <c r="E488" t="s">
        <v>28</v>
      </c>
      <c r="F488" t="s">
        <v>1094</v>
      </c>
      <c r="G488" t="str">
        <f>"00158536"</f>
        <v>00158536</v>
      </c>
      <c r="H488" t="s">
        <v>500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70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84</v>
      </c>
      <c r="W488">
        <v>588</v>
      </c>
      <c r="X488">
        <v>0</v>
      </c>
      <c r="Z488">
        <v>0</v>
      </c>
      <c r="AA488">
        <v>0</v>
      </c>
      <c r="AB488">
        <v>0</v>
      </c>
      <c r="AC488">
        <v>0</v>
      </c>
      <c r="AD488" t="s">
        <v>1095</v>
      </c>
    </row>
    <row r="489" spans="1:30" x14ac:dyDescent="0.25">
      <c r="H489" t="s">
        <v>1096</v>
      </c>
    </row>
    <row r="490" spans="1:30" x14ac:dyDescent="0.25">
      <c r="A490">
        <v>242</v>
      </c>
      <c r="B490">
        <v>4375</v>
      </c>
      <c r="C490" t="s">
        <v>1097</v>
      </c>
      <c r="D490" t="s">
        <v>1098</v>
      </c>
      <c r="E490" t="s">
        <v>181</v>
      </c>
      <c r="F490" t="s">
        <v>1099</v>
      </c>
      <c r="G490" t="str">
        <f>"200803000673"</f>
        <v>200803000673</v>
      </c>
      <c r="H490" t="s">
        <v>1100</v>
      </c>
      <c r="I490">
        <v>0</v>
      </c>
      <c r="J490">
        <v>0</v>
      </c>
      <c r="K490">
        <v>0</v>
      </c>
      <c r="L490">
        <v>0</v>
      </c>
      <c r="M490">
        <v>100</v>
      </c>
      <c r="N490">
        <v>70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84</v>
      </c>
      <c r="W490">
        <v>588</v>
      </c>
      <c r="X490">
        <v>0</v>
      </c>
      <c r="Z490">
        <v>0</v>
      </c>
      <c r="AA490">
        <v>0</v>
      </c>
      <c r="AB490">
        <v>0</v>
      </c>
      <c r="AC490">
        <v>0</v>
      </c>
      <c r="AD490" t="s">
        <v>1101</v>
      </c>
    </row>
    <row r="491" spans="1:30" x14ac:dyDescent="0.25">
      <c r="H491" t="s">
        <v>1102</v>
      </c>
    </row>
    <row r="492" spans="1:30" x14ac:dyDescent="0.25">
      <c r="A492">
        <v>243</v>
      </c>
      <c r="B492">
        <v>5924</v>
      </c>
      <c r="C492" t="s">
        <v>1103</v>
      </c>
      <c r="D492" t="s">
        <v>1104</v>
      </c>
      <c r="E492" t="s">
        <v>33</v>
      </c>
      <c r="F492" t="s">
        <v>1105</v>
      </c>
      <c r="G492" t="str">
        <f>"201406007192"</f>
        <v>201406007192</v>
      </c>
      <c r="H492">
        <v>814</v>
      </c>
      <c r="I492">
        <v>0</v>
      </c>
      <c r="J492">
        <v>0</v>
      </c>
      <c r="K492">
        <v>0</v>
      </c>
      <c r="L492">
        <v>200</v>
      </c>
      <c r="M492">
        <v>0</v>
      </c>
      <c r="N492">
        <v>70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56</v>
      </c>
      <c r="W492">
        <v>392</v>
      </c>
      <c r="X492">
        <v>0</v>
      </c>
      <c r="Z492">
        <v>0</v>
      </c>
      <c r="AA492">
        <v>0</v>
      </c>
      <c r="AB492">
        <v>0</v>
      </c>
      <c r="AC492">
        <v>0</v>
      </c>
      <c r="AD492">
        <v>1476</v>
      </c>
    </row>
    <row r="493" spans="1:30" x14ac:dyDescent="0.25">
      <c r="H493" t="s">
        <v>301</v>
      </c>
    </row>
    <row r="494" spans="1:30" x14ac:dyDescent="0.25">
      <c r="A494">
        <v>244</v>
      </c>
      <c r="B494">
        <v>4245</v>
      </c>
      <c r="C494" t="s">
        <v>1106</v>
      </c>
      <c r="D494" t="s">
        <v>1107</v>
      </c>
      <c r="E494" t="s">
        <v>76</v>
      </c>
      <c r="F494" t="s">
        <v>1108</v>
      </c>
      <c r="G494" t="str">
        <f>"201512002173"</f>
        <v>201512002173</v>
      </c>
      <c r="H494">
        <v>770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62</v>
      </c>
      <c r="W494">
        <v>434</v>
      </c>
      <c r="X494">
        <v>0</v>
      </c>
      <c r="Z494">
        <v>0</v>
      </c>
      <c r="AA494">
        <v>0</v>
      </c>
      <c r="AB494">
        <v>16</v>
      </c>
      <c r="AC494">
        <v>272</v>
      </c>
      <c r="AD494">
        <v>1476</v>
      </c>
    </row>
    <row r="495" spans="1:30" x14ac:dyDescent="0.25">
      <c r="H495" t="s">
        <v>1109</v>
      </c>
    </row>
    <row r="496" spans="1:30" x14ac:dyDescent="0.25">
      <c r="A496">
        <v>245</v>
      </c>
      <c r="B496">
        <v>3063</v>
      </c>
      <c r="C496" t="s">
        <v>1110</v>
      </c>
      <c r="D496" t="s">
        <v>151</v>
      </c>
      <c r="E496" t="s">
        <v>1111</v>
      </c>
      <c r="F496" t="s">
        <v>1112</v>
      </c>
      <c r="G496" t="str">
        <f>"201406011976"</f>
        <v>201406011976</v>
      </c>
      <c r="H496" t="s">
        <v>1113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30</v>
      </c>
      <c r="O496">
        <v>0</v>
      </c>
      <c r="P496">
        <v>0</v>
      </c>
      <c r="Q496">
        <v>30</v>
      </c>
      <c r="R496">
        <v>0</v>
      </c>
      <c r="S496">
        <v>0</v>
      </c>
      <c r="T496">
        <v>0</v>
      </c>
      <c r="U496">
        <v>0</v>
      </c>
      <c r="V496">
        <v>84</v>
      </c>
      <c r="W496">
        <v>588</v>
      </c>
      <c r="X496">
        <v>0</v>
      </c>
      <c r="Z496">
        <v>0</v>
      </c>
      <c r="AA496">
        <v>0</v>
      </c>
      <c r="AB496">
        <v>0</v>
      </c>
      <c r="AC496">
        <v>0</v>
      </c>
      <c r="AD496" t="s">
        <v>1114</v>
      </c>
    </row>
    <row r="497" spans="1:30" x14ac:dyDescent="0.25">
      <c r="H497" t="s">
        <v>1115</v>
      </c>
    </row>
    <row r="498" spans="1:30" x14ac:dyDescent="0.25">
      <c r="A498">
        <v>246</v>
      </c>
      <c r="B498">
        <v>5764</v>
      </c>
      <c r="C498" t="s">
        <v>1116</v>
      </c>
      <c r="D498" t="s">
        <v>1117</v>
      </c>
      <c r="E498" t="s">
        <v>57</v>
      </c>
      <c r="F498" t="s">
        <v>1118</v>
      </c>
      <c r="G498" t="str">
        <f>"201406008853"</f>
        <v>201406008853</v>
      </c>
      <c r="H498" t="s">
        <v>1119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30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60</v>
      </c>
      <c r="W498">
        <v>420</v>
      </c>
      <c r="X498">
        <v>0</v>
      </c>
      <c r="Z498">
        <v>0</v>
      </c>
      <c r="AA498">
        <v>0</v>
      </c>
      <c r="AB498">
        <v>24</v>
      </c>
      <c r="AC498">
        <v>408</v>
      </c>
      <c r="AD498" t="s">
        <v>1120</v>
      </c>
    </row>
    <row r="499" spans="1:30" x14ac:dyDescent="0.25">
      <c r="H499" t="s">
        <v>1121</v>
      </c>
    </row>
    <row r="500" spans="1:30" x14ac:dyDescent="0.25">
      <c r="A500">
        <v>247</v>
      </c>
      <c r="B500">
        <v>5295</v>
      </c>
      <c r="C500" t="s">
        <v>1122</v>
      </c>
      <c r="D500" t="s">
        <v>1123</v>
      </c>
      <c r="E500" t="s">
        <v>445</v>
      </c>
      <c r="F500" t="s">
        <v>1124</v>
      </c>
      <c r="G500" t="str">
        <f>"00344864"</f>
        <v>00344864</v>
      </c>
      <c r="H500">
        <v>737</v>
      </c>
      <c r="I500">
        <v>150</v>
      </c>
      <c r="J500">
        <v>0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84</v>
      </c>
      <c r="W500">
        <v>588</v>
      </c>
      <c r="X500">
        <v>0</v>
      </c>
      <c r="Z500">
        <v>2</v>
      </c>
      <c r="AA500">
        <v>0</v>
      </c>
      <c r="AB500">
        <v>0</v>
      </c>
      <c r="AC500">
        <v>0</v>
      </c>
      <c r="AD500">
        <v>1475</v>
      </c>
    </row>
    <row r="501" spans="1:30" x14ac:dyDescent="0.25">
      <c r="H501" t="s">
        <v>1125</v>
      </c>
    </row>
    <row r="502" spans="1:30" x14ac:dyDescent="0.25">
      <c r="A502">
        <v>248</v>
      </c>
      <c r="B502">
        <v>178</v>
      </c>
      <c r="C502" t="s">
        <v>1126</v>
      </c>
      <c r="D502" t="s">
        <v>28</v>
      </c>
      <c r="E502" t="s">
        <v>1127</v>
      </c>
      <c r="F502" t="s">
        <v>1128</v>
      </c>
      <c r="G502" t="str">
        <f>"200802003184"</f>
        <v>200802003184</v>
      </c>
      <c r="H502">
        <v>836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79</v>
      </c>
      <c r="W502">
        <v>553</v>
      </c>
      <c r="X502">
        <v>0</v>
      </c>
      <c r="Z502">
        <v>0</v>
      </c>
      <c r="AA502">
        <v>0</v>
      </c>
      <c r="AB502">
        <v>5</v>
      </c>
      <c r="AC502">
        <v>85</v>
      </c>
      <c r="AD502">
        <v>1474</v>
      </c>
    </row>
    <row r="503" spans="1:30" x14ac:dyDescent="0.25">
      <c r="H503" t="s">
        <v>1129</v>
      </c>
    </row>
    <row r="504" spans="1:30" x14ac:dyDescent="0.25">
      <c r="A504">
        <v>249</v>
      </c>
      <c r="B504">
        <v>5547</v>
      </c>
      <c r="C504" t="s">
        <v>1130</v>
      </c>
      <c r="D504" t="s">
        <v>32</v>
      </c>
      <c r="E504" t="s">
        <v>64</v>
      </c>
      <c r="F504" t="s">
        <v>1131</v>
      </c>
      <c r="G504" t="str">
        <f>"00359503"</f>
        <v>00359503</v>
      </c>
      <c r="H504" t="s">
        <v>1132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60</v>
      </c>
      <c r="W504">
        <v>420</v>
      </c>
      <c r="X504">
        <v>0</v>
      </c>
      <c r="Z504">
        <v>0</v>
      </c>
      <c r="AA504">
        <v>0</v>
      </c>
      <c r="AB504">
        <v>24</v>
      </c>
      <c r="AC504">
        <v>408</v>
      </c>
      <c r="AD504" t="s">
        <v>1133</v>
      </c>
    </row>
    <row r="505" spans="1:30" x14ac:dyDescent="0.25">
      <c r="H505" t="s">
        <v>1134</v>
      </c>
    </row>
    <row r="506" spans="1:30" x14ac:dyDescent="0.25">
      <c r="A506">
        <v>250</v>
      </c>
      <c r="B506">
        <v>3333</v>
      </c>
      <c r="C506" t="s">
        <v>1135</v>
      </c>
      <c r="D506" t="s">
        <v>213</v>
      </c>
      <c r="E506" t="s">
        <v>1136</v>
      </c>
      <c r="F506" t="s">
        <v>1137</v>
      </c>
      <c r="G506" t="str">
        <f>"201406014869"</f>
        <v>201406014869</v>
      </c>
      <c r="H506" t="s">
        <v>415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30</v>
      </c>
      <c r="O506">
        <v>0</v>
      </c>
      <c r="P506">
        <v>0</v>
      </c>
      <c r="Q506">
        <v>70</v>
      </c>
      <c r="R506">
        <v>0</v>
      </c>
      <c r="S506">
        <v>0</v>
      </c>
      <c r="T506">
        <v>0</v>
      </c>
      <c r="U506">
        <v>0</v>
      </c>
      <c r="V506">
        <v>84</v>
      </c>
      <c r="W506">
        <v>588</v>
      </c>
      <c r="X506">
        <v>0</v>
      </c>
      <c r="Z506">
        <v>0</v>
      </c>
      <c r="AA506">
        <v>0</v>
      </c>
      <c r="AB506">
        <v>0</v>
      </c>
      <c r="AC506">
        <v>0</v>
      </c>
      <c r="AD506" t="s">
        <v>1138</v>
      </c>
    </row>
    <row r="507" spans="1:30" x14ac:dyDescent="0.25">
      <c r="H507" t="s">
        <v>1139</v>
      </c>
    </row>
    <row r="508" spans="1:30" x14ac:dyDescent="0.25">
      <c r="A508">
        <v>251</v>
      </c>
      <c r="B508">
        <v>4900</v>
      </c>
      <c r="C508" t="s">
        <v>1140</v>
      </c>
      <c r="D508" t="s">
        <v>44</v>
      </c>
      <c r="E508" t="s">
        <v>32</v>
      </c>
      <c r="F508" t="s">
        <v>1141</v>
      </c>
      <c r="G508" t="str">
        <f>"00259393"</f>
        <v>00259393</v>
      </c>
      <c r="H508" t="s">
        <v>1142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30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79</v>
      </c>
      <c r="W508">
        <v>553</v>
      </c>
      <c r="X508">
        <v>0</v>
      </c>
      <c r="Z508">
        <v>0</v>
      </c>
      <c r="AA508">
        <v>0</v>
      </c>
      <c r="AB508">
        <v>5</v>
      </c>
      <c r="AC508">
        <v>85</v>
      </c>
      <c r="AD508" t="s">
        <v>1143</v>
      </c>
    </row>
    <row r="509" spans="1:30" x14ac:dyDescent="0.25">
      <c r="H509" t="s">
        <v>570</v>
      </c>
    </row>
    <row r="510" spans="1:30" x14ac:dyDescent="0.25">
      <c r="A510">
        <v>252</v>
      </c>
      <c r="B510">
        <v>2440</v>
      </c>
      <c r="C510" t="s">
        <v>1144</v>
      </c>
      <c r="D510" t="s">
        <v>225</v>
      </c>
      <c r="E510" t="s">
        <v>1145</v>
      </c>
      <c r="F510" t="s">
        <v>1146</v>
      </c>
      <c r="G510" t="str">
        <f>"00224705"</f>
        <v>00224705</v>
      </c>
      <c r="H510" t="s">
        <v>243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70</v>
      </c>
      <c r="O510">
        <v>0</v>
      </c>
      <c r="P510">
        <v>0</v>
      </c>
      <c r="Q510">
        <v>30</v>
      </c>
      <c r="R510">
        <v>50</v>
      </c>
      <c r="S510">
        <v>0</v>
      </c>
      <c r="T510">
        <v>0</v>
      </c>
      <c r="U510">
        <v>0</v>
      </c>
      <c r="V510">
        <v>8</v>
      </c>
      <c r="W510">
        <v>56</v>
      </c>
      <c r="X510">
        <v>0</v>
      </c>
      <c r="Z510">
        <v>0</v>
      </c>
      <c r="AA510">
        <v>0</v>
      </c>
      <c r="AB510">
        <v>24</v>
      </c>
      <c r="AC510">
        <v>408</v>
      </c>
      <c r="AD510" t="s">
        <v>1147</v>
      </c>
    </row>
    <row r="511" spans="1:30" x14ac:dyDescent="0.25">
      <c r="H511" t="s">
        <v>1148</v>
      </c>
    </row>
    <row r="512" spans="1:30" x14ac:dyDescent="0.25">
      <c r="A512">
        <v>253</v>
      </c>
      <c r="B512">
        <v>5669</v>
      </c>
      <c r="C512" t="s">
        <v>1149</v>
      </c>
      <c r="D512" t="s">
        <v>1150</v>
      </c>
      <c r="E512" t="s">
        <v>84</v>
      </c>
      <c r="F512" t="s">
        <v>1151</v>
      </c>
      <c r="G512" t="str">
        <f>"00231616"</f>
        <v>00231616</v>
      </c>
      <c r="H512">
        <v>825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30</v>
      </c>
      <c r="O512">
        <v>0</v>
      </c>
      <c r="P512">
        <v>0</v>
      </c>
      <c r="Q512">
        <v>30</v>
      </c>
      <c r="R512">
        <v>0</v>
      </c>
      <c r="S512">
        <v>0</v>
      </c>
      <c r="T512">
        <v>0</v>
      </c>
      <c r="U512">
        <v>0</v>
      </c>
      <c r="V512">
        <v>84</v>
      </c>
      <c r="W512">
        <v>588</v>
      </c>
      <c r="X512">
        <v>0</v>
      </c>
      <c r="Z512">
        <v>2</v>
      </c>
      <c r="AA512">
        <v>0</v>
      </c>
      <c r="AB512">
        <v>0</v>
      </c>
      <c r="AC512">
        <v>0</v>
      </c>
      <c r="AD512">
        <v>1473</v>
      </c>
    </row>
    <row r="513" spans="1:30" x14ac:dyDescent="0.25">
      <c r="H513" t="s">
        <v>1152</v>
      </c>
    </row>
    <row r="514" spans="1:30" x14ac:dyDescent="0.25">
      <c r="A514">
        <v>254</v>
      </c>
      <c r="B514">
        <v>2031</v>
      </c>
      <c r="C514" t="s">
        <v>1153</v>
      </c>
      <c r="D514" t="s">
        <v>236</v>
      </c>
      <c r="E514" t="s">
        <v>368</v>
      </c>
      <c r="F514" t="s">
        <v>1154</v>
      </c>
      <c r="G514" t="str">
        <f>"201406013585"</f>
        <v>201406013585</v>
      </c>
      <c r="H514" t="s">
        <v>895</v>
      </c>
      <c r="I514">
        <v>0</v>
      </c>
      <c r="J514">
        <v>0</v>
      </c>
      <c r="K514">
        <v>0</v>
      </c>
      <c r="L514">
        <v>200</v>
      </c>
      <c r="M514">
        <v>0</v>
      </c>
      <c r="N514">
        <v>70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61</v>
      </c>
      <c r="W514">
        <v>427</v>
      </c>
      <c r="X514">
        <v>0</v>
      </c>
      <c r="Z514">
        <v>0</v>
      </c>
      <c r="AA514">
        <v>0</v>
      </c>
      <c r="AB514">
        <v>0</v>
      </c>
      <c r="AC514">
        <v>0</v>
      </c>
      <c r="AD514" t="s">
        <v>1155</v>
      </c>
    </row>
    <row r="515" spans="1:30" x14ac:dyDescent="0.25">
      <c r="H515" t="s">
        <v>1156</v>
      </c>
    </row>
    <row r="516" spans="1:30" x14ac:dyDescent="0.25">
      <c r="A516">
        <v>255</v>
      </c>
      <c r="B516">
        <v>1493</v>
      </c>
      <c r="C516" t="s">
        <v>1157</v>
      </c>
      <c r="D516" t="s">
        <v>142</v>
      </c>
      <c r="E516" t="s">
        <v>32</v>
      </c>
      <c r="F516" t="s">
        <v>1158</v>
      </c>
      <c r="G516" t="str">
        <f>"00152823"</f>
        <v>00152823</v>
      </c>
      <c r="H516" t="s">
        <v>363</v>
      </c>
      <c r="I516">
        <v>0</v>
      </c>
      <c r="J516">
        <v>0</v>
      </c>
      <c r="K516">
        <v>0</v>
      </c>
      <c r="L516">
        <v>200</v>
      </c>
      <c r="M516">
        <v>0</v>
      </c>
      <c r="N516">
        <v>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84</v>
      </c>
      <c r="W516">
        <v>588</v>
      </c>
      <c r="X516">
        <v>0</v>
      </c>
      <c r="Z516">
        <v>2</v>
      </c>
      <c r="AA516">
        <v>0</v>
      </c>
      <c r="AB516">
        <v>0</v>
      </c>
      <c r="AC516">
        <v>0</v>
      </c>
      <c r="AD516" t="s">
        <v>1159</v>
      </c>
    </row>
    <row r="517" spans="1:30" x14ac:dyDescent="0.25">
      <c r="H517" t="s">
        <v>1160</v>
      </c>
    </row>
    <row r="518" spans="1:30" x14ac:dyDescent="0.25">
      <c r="A518">
        <v>256</v>
      </c>
      <c r="B518">
        <v>3252</v>
      </c>
      <c r="C518" t="s">
        <v>1161</v>
      </c>
      <c r="D518" t="s">
        <v>449</v>
      </c>
      <c r="E518" t="s">
        <v>77</v>
      </c>
      <c r="F518" t="s">
        <v>1162</v>
      </c>
      <c r="G518" t="str">
        <f>"00331271"</f>
        <v>00331271</v>
      </c>
      <c r="H518" t="s">
        <v>1163</v>
      </c>
      <c r="I518">
        <v>0</v>
      </c>
      <c r="J518">
        <v>0</v>
      </c>
      <c r="K518">
        <v>0</v>
      </c>
      <c r="L518">
        <v>200</v>
      </c>
      <c r="M518">
        <v>0</v>
      </c>
      <c r="N518">
        <v>30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72</v>
      </c>
      <c r="W518">
        <v>504</v>
      </c>
      <c r="X518">
        <v>0</v>
      </c>
      <c r="Z518">
        <v>0</v>
      </c>
      <c r="AA518">
        <v>0</v>
      </c>
      <c r="AB518">
        <v>0</v>
      </c>
      <c r="AC518">
        <v>0</v>
      </c>
      <c r="AD518" t="s">
        <v>1164</v>
      </c>
    </row>
    <row r="519" spans="1:30" x14ac:dyDescent="0.25">
      <c r="H519" t="s">
        <v>1165</v>
      </c>
    </row>
    <row r="520" spans="1:30" x14ac:dyDescent="0.25">
      <c r="A520">
        <v>257</v>
      </c>
      <c r="B520">
        <v>4386</v>
      </c>
      <c r="C520" t="s">
        <v>814</v>
      </c>
      <c r="D520" t="s">
        <v>624</v>
      </c>
      <c r="E520" t="s">
        <v>40</v>
      </c>
      <c r="F520" t="s">
        <v>1166</v>
      </c>
      <c r="G520" t="str">
        <f>"00356030"</f>
        <v>00356030</v>
      </c>
      <c r="H520">
        <v>682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54</v>
      </c>
      <c r="W520">
        <v>378</v>
      </c>
      <c r="X520">
        <v>0</v>
      </c>
      <c r="Z520">
        <v>0</v>
      </c>
      <c r="AA520">
        <v>0</v>
      </c>
      <c r="AB520">
        <v>24</v>
      </c>
      <c r="AC520">
        <v>408</v>
      </c>
      <c r="AD520">
        <v>1468</v>
      </c>
    </row>
    <row r="521" spans="1:30" x14ac:dyDescent="0.25">
      <c r="H521" t="s">
        <v>1167</v>
      </c>
    </row>
    <row r="522" spans="1:30" x14ac:dyDescent="0.25">
      <c r="A522">
        <v>258</v>
      </c>
      <c r="B522">
        <v>5965</v>
      </c>
      <c r="C522" t="s">
        <v>1168</v>
      </c>
      <c r="D522" t="s">
        <v>218</v>
      </c>
      <c r="E522" t="s">
        <v>1169</v>
      </c>
      <c r="F522" t="s">
        <v>1170</v>
      </c>
      <c r="G522" t="str">
        <f>"00075249"</f>
        <v>00075249</v>
      </c>
      <c r="H522">
        <v>759</v>
      </c>
      <c r="I522">
        <v>0</v>
      </c>
      <c r="J522">
        <v>0</v>
      </c>
      <c r="K522">
        <v>0</v>
      </c>
      <c r="L522">
        <v>200</v>
      </c>
      <c r="M522">
        <v>0</v>
      </c>
      <c r="N522">
        <v>30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10</v>
      </c>
      <c r="W522">
        <v>70</v>
      </c>
      <c r="X522">
        <v>0</v>
      </c>
      <c r="Z522">
        <v>0</v>
      </c>
      <c r="AA522">
        <v>0</v>
      </c>
      <c r="AB522">
        <v>24</v>
      </c>
      <c r="AC522">
        <v>408</v>
      </c>
      <c r="AD522">
        <v>1467</v>
      </c>
    </row>
    <row r="523" spans="1:30" x14ac:dyDescent="0.25">
      <c r="H523" t="s">
        <v>1171</v>
      </c>
    </row>
    <row r="524" spans="1:30" x14ac:dyDescent="0.25">
      <c r="A524">
        <v>259</v>
      </c>
      <c r="B524">
        <v>5553</v>
      </c>
      <c r="C524" t="s">
        <v>1172</v>
      </c>
      <c r="D524" t="s">
        <v>32</v>
      </c>
      <c r="E524" t="s">
        <v>102</v>
      </c>
      <c r="F524" t="s">
        <v>1173</v>
      </c>
      <c r="G524" t="str">
        <f>"00268936"</f>
        <v>00268936</v>
      </c>
      <c r="H524">
        <v>638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60</v>
      </c>
      <c r="W524">
        <v>420</v>
      </c>
      <c r="X524">
        <v>0</v>
      </c>
      <c r="Z524">
        <v>2</v>
      </c>
      <c r="AA524">
        <v>0</v>
      </c>
      <c r="AB524">
        <v>24</v>
      </c>
      <c r="AC524">
        <v>408</v>
      </c>
      <c r="AD524">
        <v>1466</v>
      </c>
    </row>
    <row r="525" spans="1:30" x14ac:dyDescent="0.25">
      <c r="H525" t="s">
        <v>1174</v>
      </c>
    </row>
    <row r="526" spans="1:30" x14ac:dyDescent="0.25">
      <c r="A526">
        <v>260</v>
      </c>
      <c r="B526">
        <v>454</v>
      </c>
      <c r="C526" t="s">
        <v>1175</v>
      </c>
      <c r="D526" t="s">
        <v>615</v>
      </c>
      <c r="E526" t="s">
        <v>743</v>
      </c>
      <c r="F526" t="s">
        <v>1176</v>
      </c>
      <c r="G526" t="str">
        <f>"201602000230"</f>
        <v>201602000230</v>
      </c>
      <c r="H526" t="s">
        <v>1177</v>
      </c>
      <c r="I526">
        <v>0</v>
      </c>
      <c r="J526">
        <v>0</v>
      </c>
      <c r="K526">
        <v>0</v>
      </c>
      <c r="L526">
        <v>200</v>
      </c>
      <c r="M526">
        <v>0</v>
      </c>
      <c r="N526">
        <v>30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84</v>
      </c>
      <c r="W526">
        <v>588</v>
      </c>
      <c r="X526">
        <v>0</v>
      </c>
      <c r="Z526">
        <v>2</v>
      </c>
      <c r="AA526">
        <v>0</v>
      </c>
      <c r="AB526">
        <v>0</v>
      </c>
      <c r="AC526">
        <v>0</v>
      </c>
      <c r="AD526" t="s">
        <v>1178</v>
      </c>
    </row>
    <row r="527" spans="1:30" x14ac:dyDescent="0.25">
      <c r="H527" t="s">
        <v>1179</v>
      </c>
    </row>
    <row r="528" spans="1:30" x14ac:dyDescent="0.25">
      <c r="A528">
        <v>261</v>
      </c>
      <c r="B528">
        <v>3891</v>
      </c>
      <c r="C528" t="s">
        <v>1180</v>
      </c>
      <c r="D528" t="s">
        <v>166</v>
      </c>
      <c r="E528" t="s">
        <v>76</v>
      </c>
      <c r="F528" t="s">
        <v>1181</v>
      </c>
      <c r="G528" t="str">
        <f>"201402004953"</f>
        <v>201402004953</v>
      </c>
      <c r="H528" t="s">
        <v>431</v>
      </c>
      <c r="I528">
        <v>150</v>
      </c>
      <c r="J528">
        <v>0</v>
      </c>
      <c r="K528">
        <v>0</v>
      </c>
      <c r="L528">
        <v>0</v>
      </c>
      <c r="M528">
        <v>0</v>
      </c>
      <c r="N528">
        <v>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35</v>
      </c>
      <c r="W528">
        <v>245</v>
      </c>
      <c r="X528">
        <v>0</v>
      </c>
      <c r="Z528">
        <v>1</v>
      </c>
      <c r="AA528">
        <v>0</v>
      </c>
      <c r="AB528">
        <v>24</v>
      </c>
      <c r="AC528">
        <v>408</v>
      </c>
      <c r="AD528" t="s">
        <v>1182</v>
      </c>
    </row>
    <row r="529" spans="1:30" x14ac:dyDescent="0.25">
      <c r="H529" t="s">
        <v>1183</v>
      </c>
    </row>
    <row r="530" spans="1:30" x14ac:dyDescent="0.25">
      <c r="A530">
        <v>262</v>
      </c>
      <c r="B530">
        <v>4457</v>
      </c>
      <c r="C530" t="s">
        <v>1184</v>
      </c>
      <c r="D530" t="s">
        <v>1185</v>
      </c>
      <c r="E530" t="s">
        <v>230</v>
      </c>
      <c r="F530" t="s">
        <v>1186</v>
      </c>
      <c r="G530" t="str">
        <f>"00263488"</f>
        <v>00263488</v>
      </c>
      <c r="H530">
        <v>704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70</v>
      </c>
      <c r="O530">
        <v>0</v>
      </c>
      <c r="P530">
        <v>70</v>
      </c>
      <c r="Q530">
        <v>0</v>
      </c>
      <c r="R530">
        <v>30</v>
      </c>
      <c r="S530">
        <v>0</v>
      </c>
      <c r="T530">
        <v>0</v>
      </c>
      <c r="U530">
        <v>0</v>
      </c>
      <c r="V530">
        <v>84</v>
      </c>
      <c r="W530">
        <v>588</v>
      </c>
      <c r="X530">
        <v>0</v>
      </c>
      <c r="Z530">
        <v>0</v>
      </c>
      <c r="AA530">
        <v>0</v>
      </c>
      <c r="AB530">
        <v>0</v>
      </c>
      <c r="AC530">
        <v>0</v>
      </c>
      <c r="AD530">
        <v>1462</v>
      </c>
    </row>
    <row r="531" spans="1:30" x14ac:dyDescent="0.25">
      <c r="H531" t="s">
        <v>570</v>
      </c>
    </row>
    <row r="532" spans="1:30" x14ac:dyDescent="0.25">
      <c r="A532">
        <v>263</v>
      </c>
      <c r="B532">
        <v>6003</v>
      </c>
      <c r="C532" t="s">
        <v>1187</v>
      </c>
      <c r="D532" t="s">
        <v>425</v>
      </c>
      <c r="E532" t="s">
        <v>102</v>
      </c>
      <c r="F532" t="s">
        <v>1188</v>
      </c>
      <c r="G532" t="str">
        <f>"201412002567"</f>
        <v>201412002567</v>
      </c>
      <c r="H532" t="s">
        <v>1189</v>
      </c>
      <c r="I532">
        <v>0</v>
      </c>
      <c r="J532">
        <v>0</v>
      </c>
      <c r="K532">
        <v>0</v>
      </c>
      <c r="L532">
        <v>200</v>
      </c>
      <c r="M532">
        <v>0</v>
      </c>
      <c r="N532">
        <v>30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84</v>
      </c>
      <c r="W532">
        <v>588</v>
      </c>
      <c r="X532">
        <v>0</v>
      </c>
      <c r="Z532">
        <v>0</v>
      </c>
      <c r="AA532">
        <v>0</v>
      </c>
      <c r="AB532">
        <v>0</v>
      </c>
      <c r="AC532">
        <v>0</v>
      </c>
      <c r="AD532" t="s">
        <v>1190</v>
      </c>
    </row>
    <row r="533" spans="1:30" x14ac:dyDescent="0.25">
      <c r="H533" t="s">
        <v>1191</v>
      </c>
    </row>
    <row r="534" spans="1:30" x14ac:dyDescent="0.25">
      <c r="A534">
        <v>264</v>
      </c>
      <c r="B534">
        <v>2317</v>
      </c>
      <c r="C534" t="s">
        <v>1192</v>
      </c>
      <c r="D534" t="s">
        <v>367</v>
      </c>
      <c r="E534" t="s">
        <v>49</v>
      </c>
      <c r="F534" t="s">
        <v>1193</v>
      </c>
      <c r="G534" t="str">
        <f>"00249067"</f>
        <v>00249067</v>
      </c>
      <c r="H534">
        <v>803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70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84</v>
      </c>
      <c r="W534">
        <v>588</v>
      </c>
      <c r="X534">
        <v>0</v>
      </c>
      <c r="Z534">
        <v>0</v>
      </c>
      <c r="AA534">
        <v>0</v>
      </c>
      <c r="AB534">
        <v>0</v>
      </c>
      <c r="AC534">
        <v>0</v>
      </c>
      <c r="AD534">
        <v>1461</v>
      </c>
    </row>
    <row r="535" spans="1:30" x14ac:dyDescent="0.25">
      <c r="H535" t="s">
        <v>1194</v>
      </c>
    </row>
    <row r="536" spans="1:30" x14ac:dyDescent="0.25">
      <c r="A536">
        <v>265</v>
      </c>
      <c r="B536">
        <v>2500</v>
      </c>
      <c r="C536" t="s">
        <v>1195</v>
      </c>
      <c r="D536" t="s">
        <v>1196</v>
      </c>
      <c r="E536" t="s">
        <v>368</v>
      </c>
      <c r="F536" t="s">
        <v>1197</v>
      </c>
      <c r="G536" t="str">
        <f>"00332178"</f>
        <v>00332178</v>
      </c>
      <c r="H536">
        <v>803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70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84</v>
      </c>
      <c r="W536">
        <v>588</v>
      </c>
      <c r="X536">
        <v>0</v>
      </c>
      <c r="Z536">
        <v>0</v>
      </c>
      <c r="AA536">
        <v>0</v>
      </c>
      <c r="AB536">
        <v>0</v>
      </c>
      <c r="AC536">
        <v>0</v>
      </c>
      <c r="AD536">
        <v>1461</v>
      </c>
    </row>
    <row r="537" spans="1:30" x14ac:dyDescent="0.25">
      <c r="H537" t="s">
        <v>1198</v>
      </c>
    </row>
    <row r="538" spans="1:30" x14ac:dyDescent="0.25">
      <c r="A538">
        <v>266</v>
      </c>
      <c r="B538">
        <v>1991</v>
      </c>
      <c r="C538" t="s">
        <v>1199</v>
      </c>
      <c r="D538" t="s">
        <v>1200</v>
      </c>
      <c r="E538" t="s">
        <v>142</v>
      </c>
      <c r="F538" t="s">
        <v>1201</v>
      </c>
      <c r="G538" t="str">
        <f>"201411003197"</f>
        <v>201411003197</v>
      </c>
      <c r="H538" t="s">
        <v>1202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70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40</v>
      </c>
      <c r="W538">
        <v>280</v>
      </c>
      <c r="X538">
        <v>0</v>
      </c>
      <c r="Z538">
        <v>0</v>
      </c>
      <c r="AA538">
        <v>0</v>
      </c>
      <c r="AB538">
        <v>24</v>
      </c>
      <c r="AC538">
        <v>408</v>
      </c>
      <c r="AD538" t="s">
        <v>1203</v>
      </c>
    </row>
    <row r="539" spans="1:30" x14ac:dyDescent="0.25">
      <c r="H539" t="s">
        <v>1204</v>
      </c>
    </row>
    <row r="540" spans="1:30" x14ac:dyDescent="0.25">
      <c r="A540">
        <v>267</v>
      </c>
      <c r="B540">
        <v>2741</v>
      </c>
      <c r="C540" t="s">
        <v>1205</v>
      </c>
      <c r="D540" t="s">
        <v>32</v>
      </c>
      <c r="E540" t="s">
        <v>1206</v>
      </c>
      <c r="F540" t="s">
        <v>1207</v>
      </c>
      <c r="G540" t="str">
        <f>"00155959"</f>
        <v>00155959</v>
      </c>
      <c r="H540" t="s">
        <v>1208</v>
      </c>
      <c r="I540">
        <v>0</v>
      </c>
      <c r="J540">
        <v>0</v>
      </c>
      <c r="K540">
        <v>0</v>
      </c>
      <c r="L540">
        <v>200</v>
      </c>
      <c r="M540">
        <v>0</v>
      </c>
      <c r="N540">
        <v>30</v>
      </c>
      <c r="O540">
        <v>0</v>
      </c>
      <c r="P540">
        <v>30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84</v>
      </c>
      <c r="W540">
        <v>588</v>
      </c>
      <c r="X540">
        <v>0</v>
      </c>
      <c r="Z540">
        <v>2</v>
      </c>
      <c r="AA540">
        <v>0</v>
      </c>
      <c r="AB540">
        <v>0</v>
      </c>
      <c r="AC540">
        <v>0</v>
      </c>
      <c r="AD540" t="s">
        <v>1209</v>
      </c>
    </row>
    <row r="541" spans="1:30" x14ac:dyDescent="0.25">
      <c r="H541" t="s">
        <v>1210</v>
      </c>
    </row>
    <row r="542" spans="1:30" x14ac:dyDescent="0.25">
      <c r="A542">
        <v>268</v>
      </c>
      <c r="B542">
        <v>2665</v>
      </c>
      <c r="C542" t="s">
        <v>1211</v>
      </c>
      <c r="D542" t="s">
        <v>1123</v>
      </c>
      <c r="E542" t="s">
        <v>1212</v>
      </c>
      <c r="F542" t="s">
        <v>1213</v>
      </c>
      <c r="G542" t="str">
        <f>"00154377"</f>
        <v>00154377</v>
      </c>
      <c r="H542" t="s">
        <v>1214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30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55</v>
      </c>
      <c r="W542">
        <v>385</v>
      </c>
      <c r="X542">
        <v>0</v>
      </c>
      <c r="Z542">
        <v>0</v>
      </c>
      <c r="AA542">
        <v>0</v>
      </c>
      <c r="AB542">
        <v>24</v>
      </c>
      <c r="AC542">
        <v>408</v>
      </c>
      <c r="AD542" t="s">
        <v>1215</v>
      </c>
    </row>
    <row r="543" spans="1:30" x14ac:dyDescent="0.25">
      <c r="H543" t="s">
        <v>1216</v>
      </c>
    </row>
    <row r="544" spans="1:30" x14ac:dyDescent="0.25">
      <c r="A544">
        <v>269</v>
      </c>
      <c r="B544">
        <v>773</v>
      </c>
      <c r="C544" t="s">
        <v>1217</v>
      </c>
      <c r="D544" t="s">
        <v>106</v>
      </c>
      <c r="E544" t="s">
        <v>120</v>
      </c>
      <c r="F544" t="s">
        <v>1218</v>
      </c>
      <c r="G544" t="str">
        <f>"00153383"</f>
        <v>00153383</v>
      </c>
      <c r="H544" t="s">
        <v>722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50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84</v>
      </c>
      <c r="W544">
        <v>588</v>
      </c>
      <c r="X544">
        <v>0</v>
      </c>
      <c r="Z544">
        <v>2</v>
      </c>
      <c r="AA544">
        <v>0</v>
      </c>
      <c r="AB544">
        <v>0</v>
      </c>
      <c r="AC544">
        <v>0</v>
      </c>
      <c r="AD544" t="s">
        <v>1219</v>
      </c>
    </row>
    <row r="545" spans="1:30" x14ac:dyDescent="0.25">
      <c r="H545" t="s">
        <v>1220</v>
      </c>
    </row>
    <row r="546" spans="1:30" x14ac:dyDescent="0.25">
      <c r="A546">
        <v>270</v>
      </c>
      <c r="B546">
        <v>2287</v>
      </c>
      <c r="C546" t="s">
        <v>1221</v>
      </c>
      <c r="D546" t="s">
        <v>191</v>
      </c>
      <c r="E546" t="s">
        <v>28</v>
      </c>
      <c r="F546" t="s">
        <v>1222</v>
      </c>
      <c r="G546" t="str">
        <f>"201410009264"</f>
        <v>201410009264</v>
      </c>
      <c r="H546" t="s">
        <v>1223</v>
      </c>
      <c r="I546">
        <v>0</v>
      </c>
      <c r="J546">
        <v>0</v>
      </c>
      <c r="K546">
        <v>0</v>
      </c>
      <c r="L546">
        <v>200</v>
      </c>
      <c r="M546">
        <v>0</v>
      </c>
      <c r="N546">
        <v>30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15</v>
      </c>
      <c r="W546">
        <v>105</v>
      </c>
      <c r="X546">
        <v>0</v>
      </c>
      <c r="Z546">
        <v>2</v>
      </c>
      <c r="AA546">
        <v>0</v>
      </c>
      <c r="AB546">
        <v>22</v>
      </c>
      <c r="AC546">
        <v>374</v>
      </c>
      <c r="AD546" t="s">
        <v>1224</v>
      </c>
    </row>
    <row r="547" spans="1:30" x14ac:dyDescent="0.25">
      <c r="H547" t="s">
        <v>1225</v>
      </c>
    </row>
    <row r="548" spans="1:30" x14ac:dyDescent="0.25">
      <c r="A548">
        <v>271</v>
      </c>
      <c r="B548">
        <v>541</v>
      </c>
      <c r="C548" t="s">
        <v>1226</v>
      </c>
      <c r="D548" t="s">
        <v>1227</v>
      </c>
      <c r="E548" t="s">
        <v>445</v>
      </c>
      <c r="F548" t="s">
        <v>1228</v>
      </c>
      <c r="G548" t="str">
        <f>"201304001186"</f>
        <v>201304001186</v>
      </c>
      <c r="H548" t="s">
        <v>836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70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30</v>
      </c>
      <c r="W548">
        <v>210</v>
      </c>
      <c r="X548">
        <v>0</v>
      </c>
      <c r="Z548">
        <v>0</v>
      </c>
      <c r="AA548">
        <v>0</v>
      </c>
      <c r="AB548">
        <v>24</v>
      </c>
      <c r="AC548">
        <v>408</v>
      </c>
      <c r="AD548" t="s">
        <v>1229</v>
      </c>
    </row>
    <row r="549" spans="1:30" x14ac:dyDescent="0.25">
      <c r="H549" t="s">
        <v>1230</v>
      </c>
    </row>
    <row r="550" spans="1:30" x14ac:dyDescent="0.25">
      <c r="A550">
        <v>272</v>
      </c>
      <c r="B550">
        <v>5145</v>
      </c>
      <c r="C550" t="s">
        <v>1231</v>
      </c>
      <c r="D550" t="s">
        <v>191</v>
      </c>
      <c r="E550" t="s">
        <v>299</v>
      </c>
      <c r="F550" t="s">
        <v>1232</v>
      </c>
      <c r="G550" t="str">
        <f>"00303400"</f>
        <v>00303400</v>
      </c>
      <c r="H550">
        <v>781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30</v>
      </c>
      <c r="O550">
        <v>30</v>
      </c>
      <c r="P550">
        <v>30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84</v>
      </c>
      <c r="W550">
        <v>588</v>
      </c>
      <c r="X550">
        <v>0</v>
      </c>
      <c r="Z550">
        <v>0</v>
      </c>
      <c r="AA550">
        <v>0</v>
      </c>
      <c r="AB550">
        <v>0</v>
      </c>
      <c r="AC550">
        <v>0</v>
      </c>
      <c r="AD550">
        <v>1459</v>
      </c>
    </row>
    <row r="551" spans="1:30" x14ac:dyDescent="0.25">
      <c r="H551" t="s">
        <v>81</v>
      </c>
    </row>
    <row r="552" spans="1:30" x14ac:dyDescent="0.25">
      <c r="A552">
        <v>273</v>
      </c>
      <c r="B552">
        <v>811</v>
      </c>
      <c r="C552" t="s">
        <v>1233</v>
      </c>
      <c r="D552" t="s">
        <v>70</v>
      </c>
      <c r="E552" t="s">
        <v>77</v>
      </c>
      <c r="F552" t="s">
        <v>1234</v>
      </c>
      <c r="G552" t="str">
        <f>"201604000606"</f>
        <v>201604000606</v>
      </c>
      <c r="H552">
        <v>1078</v>
      </c>
      <c r="I552">
        <v>150</v>
      </c>
      <c r="J552">
        <v>0</v>
      </c>
      <c r="K552">
        <v>0</v>
      </c>
      <c r="L552">
        <v>200</v>
      </c>
      <c r="M552">
        <v>0</v>
      </c>
      <c r="N552">
        <v>30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0</v>
      </c>
      <c r="W552">
        <v>0</v>
      </c>
      <c r="X552">
        <v>0</v>
      </c>
      <c r="Z552">
        <v>0</v>
      </c>
      <c r="AA552">
        <v>0</v>
      </c>
      <c r="AB552">
        <v>0</v>
      </c>
      <c r="AC552">
        <v>0</v>
      </c>
      <c r="AD552">
        <v>1458</v>
      </c>
    </row>
    <row r="553" spans="1:30" x14ac:dyDescent="0.25">
      <c r="H553" t="s">
        <v>1235</v>
      </c>
    </row>
    <row r="554" spans="1:30" x14ac:dyDescent="0.25">
      <c r="A554">
        <v>274</v>
      </c>
      <c r="B554">
        <v>5040</v>
      </c>
      <c r="C554" t="s">
        <v>1236</v>
      </c>
      <c r="D554" t="s">
        <v>1237</v>
      </c>
      <c r="E554" t="s">
        <v>107</v>
      </c>
      <c r="F554" t="s">
        <v>1238</v>
      </c>
      <c r="G554" t="str">
        <f>"201406012290"</f>
        <v>201406012290</v>
      </c>
      <c r="H554" t="s">
        <v>1239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30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84</v>
      </c>
      <c r="W554">
        <v>588</v>
      </c>
      <c r="X554">
        <v>0</v>
      </c>
      <c r="Z554">
        <v>0</v>
      </c>
      <c r="AA554">
        <v>0</v>
      </c>
      <c r="AB554">
        <v>0</v>
      </c>
      <c r="AC554">
        <v>0</v>
      </c>
      <c r="AD554" t="s">
        <v>1240</v>
      </c>
    </row>
    <row r="555" spans="1:30" x14ac:dyDescent="0.25">
      <c r="H555" t="s">
        <v>1241</v>
      </c>
    </row>
    <row r="556" spans="1:30" x14ac:dyDescent="0.25">
      <c r="A556">
        <v>275</v>
      </c>
      <c r="B556">
        <v>846</v>
      </c>
      <c r="C556" t="s">
        <v>1242</v>
      </c>
      <c r="D556" t="s">
        <v>44</v>
      </c>
      <c r="E556" t="s">
        <v>28</v>
      </c>
      <c r="F556" t="s">
        <v>1243</v>
      </c>
      <c r="G556" t="str">
        <f>"201406007471"</f>
        <v>201406007471</v>
      </c>
      <c r="H556" t="s">
        <v>1244</v>
      </c>
      <c r="I556">
        <v>150</v>
      </c>
      <c r="J556">
        <v>0</v>
      </c>
      <c r="K556">
        <v>0</v>
      </c>
      <c r="L556">
        <v>0</v>
      </c>
      <c r="M556">
        <v>0</v>
      </c>
      <c r="N556">
        <v>70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59</v>
      </c>
      <c r="W556">
        <v>413</v>
      </c>
      <c r="X556">
        <v>0</v>
      </c>
      <c r="Z556">
        <v>0</v>
      </c>
      <c r="AA556">
        <v>0</v>
      </c>
      <c r="AB556">
        <v>0</v>
      </c>
      <c r="AC556">
        <v>0</v>
      </c>
      <c r="AD556" t="s">
        <v>1245</v>
      </c>
    </row>
    <row r="557" spans="1:30" x14ac:dyDescent="0.25">
      <c r="H557" t="s">
        <v>1246</v>
      </c>
    </row>
    <row r="558" spans="1:30" x14ac:dyDescent="0.25">
      <c r="A558">
        <v>276</v>
      </c>
      <c r="B558">
        <v>3469</v>
      </c>
      <c r="C558" t="s">
        <v>1247</v>
      </c>
      <c r="D558" t="s">
        <v>1248</v>
      </c>
      <c r="E558" t="s">
        <v>64</v>
      </c>
      <c r="F558" t="s">
        <v>1249</v>
      </c>
      <c r="G558" t="str">
        <f>"00142092"</f>
        <v>00142092</v>
      </c>
      <c r="H558" t="s">
        <v>1250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30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84</v>
      </c>
      <c r="W558">
        <v>588</v>
      </c>
      <c r="X558">
        <v>0</v>
      </c>
      <c r="Z558">
        <v>0</v>
      </c>
      <c r="AA558">
        <v>0</v>
      </c>
      <c r="AB558">
        <v>0</v>
      </c>
      <c r="AC558">
        <v>0</v>
      </c>
      <c r="AD558" t="s">
        <v>1251</v>
      </c>
    </row>
    <row r="559" spans="1:30" x14ac:dyDescent="0.25">
      <c r="H559" t="s">
        <v>1252</v>
      </c>
    </row>
    <row r="560" spans="1:30" x14ac:dyDescent="0.25">
      <c r="A560">
        <v>277</v>
      </c>
      <c r="B560">
        <v>1386</v>
      </c>
      <c r="C560" t="s">
        <v>1253</v>
      </c>
      <c r="D560" t="s">
        <v>191</v>
      </c>
      <c r="E560" t="s">
        <v>337</v>
      </c>
      <c r="F560" t="s">
        <v>1254</v>
      </c>
      <c r="G560" t="str">
        <f>"00305344"</f>
        <v>00305344</v>
      </c>
      <c r="H560" t="s">
        <v>1255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70</v>
      </c>
      <c r="O560">
        <v>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84</v>
      </c>
      <c r="W560">
        <v>588</v>
      </c>
      <c r="X560">
        <v>0</v>
      </c>
      <c r="Z560">
        <v>0</v>
      </c>
      <c r="AA560">
        <v>0</v>
      </c>
      <c r="AB560">
        <v>0</v>
      </c>
      <c r="AC560">
        <v>0</v>
      </c>
      <c r="AD560" t="s">
        <v>1256</v>
      </c>
    </row>
    <row r="561" spans="1:30" x14ac:dyDescent="0.25">
      <c r="H561" t="s">
        <v>1257</v>
      </c>
    </row>
    <row r="562" spans="1:30" x14ac:dyDescent="0.25">
      <c r="A562">
        <v>278</v>
      </c>
      <c r="B562">
        <v>1665</v>
      </c>
      <c r="C562" t="s">
        <v>1258</v>
      </c>
      <c r="D562" t="s">
        <v>1259</v>
      </c>
      <c r="E562" t="s">
        <v>102</v>
      </c>
      <c r="F562" t="s">
        <v>1260</v>
      </c>
      <c r="G562" t="str">
        <f>"200801005476"</f>
        <v>200801005476</v>
      </c>
      <c r="H562">
        <v>737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0</v>
      </c>
      <c r="O562">
        <v>0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71</v>
      </c>
      <c r="W562">
        <v>497</v>
      </c>
      <c r="X562">
        <v>0</v>
      </c>
      <c r="Z562">
        <v>0</v>
      </c>
      <c r="AA562">
        <v>0</v>
      </c>
      <c r="AB562">
        <v>13</v>
      </c>
      <c r="AC562">
        <v>221</v>
      </c>
      <c r="AD562">
        <v>1455</v>
      </c>
    </row>
    <row r="563" spans="1:30" x14ac:dyDescent="0.25">
      <c r="H563" t="s">
        <v>483</v>
      </c>
    </row>
    <row r="564" spans="1:30" x14ac:dyDescent="0.25">
      <c r="A564">
        <v>279</v>
      </c>
      <c r="B564">
        <v>5274</v>
      </c>
      <c r="C564" t="s">
        <v>1261</v>
      </c>
      <c r="D564" t="s">
        <v>397</v>
      </c>
      <c r="E564" t="s">
        <v>107</v>
      </c>
      <c r="F564" t="s">
        <v>1262</v>
      </c>
      <c r="G564" t="str">
        <f>"00351982"</f>
        <v>00351982</v>
      </c>
      <c r="H564">
        <v>836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30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84</v>
      </c>
      <c r="W564">
        <v>588</v>
      </c>
      <c r="X564">
        <v>0</v>
      </c>
      <c r="Z564">
        <v>2</v>
      </c>
      <c r="AA564">
        <v>0</v>
      </c>
      <c r="AB564">
        <v>0</v>
      </c>
      <c r="AC564">
        <v>0</v>
      </c>
      <c r="AD564">
        <v>1454</v>
      </c>
    </row>
    <row r="565" spans="1:30" x14ac:dyDescent="0.25">
      <c r="H565" t="s">
        <v>1263</v>
      </c>
    </row>
    <row r="566" spans="1:30" x14ac:dyDescent="0.25">
      <c r="A566">
        <v>280</v>
      </c>
      <c r="B566">
        <v>2627</v>
      </c>
      <c r="C566" t="s">
        <v>1264</v>
      </c>
      <c r="D566" t="s">
        <v>218</v>
      </c>
      <c r="E566" t="s">
        <v>1265</v>
      </c>
      <c r="F566" t="s">
        <v>1266</v>
      </c>
      <c r="G566" t="str">
        <f>"00185776"</f>
        <v>00185776</v>
      </c>
      <c r="H566" t="s">
        <v>52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50</v>
      </c>
      <c r="O566">
        <v>0</v>
      </c>
      <c r="P566">
        <v>0</v>
      </c>
      <c r="Q566">
        <v>30</v>
      </c>
      <c r="R566">
        <v>0</v>
      </c>
      <c r="S566">
        <v>0</v>
      </c>
      <c r="T566">
        <v>0</v>
      </c>
      <c r="U566">
        <v>0</v>
      </c>
      <c r="V566">
        <v>84</v>
      </c>
      <c r="W566">
        <v>588</v>
      </c>
      <c r="X566">
        <v>0</v>
      </c>
      <c r="Z566">
        <v>0</v>
      </c>
      <c r="AA566">
        <v>0</v>
      </c>
      <c r="AB566">
        <v>0</v>
      </c>
      <c r="AC566">
        <v>0</v>
      </c>
      <c r="AD566" t="s">
        <v>1267</v>
      </c>
    </row>
    <row r="567" spans="1:30" x14ac:dyDescent="0.25">
      <c r="H567" t="s">
        <v>1125</v>
      </c>
    </row>
    <row r="568" spans="1:30" x14ac:dyDescent="0.25">
      <c r="A568">
        <v>281</v>
      </c>
      <c r="B568">
        <v>6253</v>
      </c>
      <c r="C568" t="s">
        <v>1268</v>
      </c>
      <c r="D568" t="s">
        <v>218</v>
      </c>
      <c r="E568" t="s">
        <v>49</v>
      </c>
      <c r="F568" t="s">
        <v>1269</v>
      </c>
      <c r="G568" t="str">
        <f>"201406005790"</f>
        <v>201406005790</v>
      </c>
      <c r="H568" t="s">
        <v>52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50</v>
      </c>
      <c r="O568">
        <v>30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84</v>
      </c>
      <c r="W568">
        <v>588</v>
      </c>
      <c r="X568">
        <v>0</v>
      </c>
      <c r="Z568">
        <v>0</v>
      </c>
      <c r="AA568">
        <v>0</v>
      </c>
      <c r="AB568">
        <v>0</v>
      </c>
      <c r="AC568">
        <v>0</v>
      </c>
      <c r="AD568" t="s">
        <v>1267</v>
      </c>
    </row>
    <row r="569" spans="1:30" x14ac:dyDescent="0.25">
      <c r="H569" t="s">
        <v>1270</v>
      </c>
    </row>
    <row r="570" spans="1:30" x14ac:dyDescent="0.25">
      <c r="A570">
        <v>282</v>
      </c>
      <c r="B570">
        <v>4180</v>
      </c>
      <c r="C570" t="s">
        <v>1271</v>
      </c>
      <c r="D570" t="s">
        <v>28</v>
      </c>
      <c r="E570" t="s">
        <v>49</v>
      </c>
      <c r="F570" t="s">
        <v>1272</v>
      </c>
      <c r="G570" t="str">
        <f>"00286276"</f>
        <v>00286276</v>
      </c>
      <c r="H570">
        <v>814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50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84</v>
      </c>
      <c r="W570">
        <v>588</v>
      </c>
      <c r="X570">
        <v>0</v>
      </c>
      <c r="Z570">
        <v>0</v>
      </c>
      <c r="AA570">
        <v>0</v>
      </c>
      <c r="AB570">
        <v>0</v>
      </c>
      <c r="AC570">
        <v>0</v>
      </c>
      <c r="AD570">
        <v>1452</v>
      </c>
    </row>
    <row r="571" spans="1:30" x14ac:dyDescent="0.25">
      <c r="H571" t="s">
        <v>570</v>
      </c>
    </row>
    <row r="572" spans="1:30" x14ac:dyDescent="0.25">
      <c r="A572">
        <v>283</v>
      </c>
      <c r="B572">
        <v>1673</v>
      </c>
      <c r="C572" t="s">
        <v>1273</v>
      </c>
      <c r="D572" t="s">
        <v>218</v>
      </c>
      <c r="E572" t="s">
        <v>445</v>
      </c>
      <c r="F572" t="s">
        <v>1274</v>
      </c>
      <c r="G572" t="str">
        <f>"00151339"</f>
        <v>00151339</v>
      </c>
      <c r="H572">
        <v>803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30</v>
      </c>
      <c r="O572">
        <v>30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84</v>
      </c>
      <c r="W572">
        <v>588</v>
      </c>
      <c r="X572">
        <v>0</v>
      </c>
      <c r="Z572">
        <v>2</v>
      </c>
      <c r="AA572">
        <v>0</v>
      </c>
      <c r="AB572">
        <v>0</v>
      </c>
      <c r="AC572">
        <v>0</v>
      </c>
      <c r="AD572">
        <v>1451</v>
      </c>
    </row>
    <row r="573" spans="1:30" x14ac:dyDescent="0.25">
      <c r="H573" t="s">
        <v>1275</v>
      </c>
    </row>
    <row r="574" spans="1:30" x14ac:dyDescent="0.25">
      <c r="A574">
        <v>284</v>
      </c>
      <c r="B574">
        <v>5839</v>
      </c>
      <c r="C574" t="s">
        <v>1276</v>
      </c>
      <c r="D574" t="s">
        <v>494</v>
      </c>
      <c r="E574" t="s">
        <v>32</v>
      </c>
      <c r="F574" t="s">
        <v>1277</v>
      </c>
      <c r="G574" t="str">
        <f>"201402003677"</f>
        <v>201402003677</v>
      </c>
      <c r="H574">
        <v>693</v>
      </c>
      <c r="I574">
        <v>0</v>
      </c>
      <c r="J574">
        <v>0</v>
      </c>
      <c r="K574">
        <v>0</v>
      </c>
      <c r="L574">
        <v>0</v>
      </c>
      <c r="M574">
        <v>100</v>
      </c>
      <c r="N574">
        <v>70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84</v>
      </c>
      <c r="W574">
        <v>588</v>
      </c>
      <c r="X574">
        <v>0</v>
      </c>
      <c r="Z574">
        <v>2</v>
      </c>
      <c r="AA574">
        <v>0</v>
      </c>
      <c r="AB574">
        <v>0</v>
      </c>
      <c r="AC574">
        <v>0</v>
      </c>
      <c r="AD574">
        <v>1451</v>
      </c>
    </row>
    <row r="575" spans="1:30" x14ac:dyDescent="0.25">
      <c r="H575" t="s">
        <v>1278</v>
      </c>
    </row>
    <row r="576" spans="1:30" x14ac:dyDescent="0.25">
      <c r="A576">
        <v>285</v>
      </c>
      <c r="B576">
        <v>4484</v>
      </c>
      <c r="C576" t="s">
        <v>1279</v>
      </c>
      <c r="D576" t="s">
        <v>393</v>
      </c>
      <c r="E576" t="s">
        <v>254</v>
      </c>
      <c r="F576" t="s">
        <v>1280</v>
      </c>
      <c r="G576" t="str">
        <f>"200801009211"</f>
        <v>200801009211</v>
      </c>
      <c r="H576" t="s">
        <v>1281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70</v>
      </c>
      <c r="O576">
        <v>0</v>
      </c>
      <c r="P576">
        <v>30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84</v>
      </c>
      <c r="W576">
        <v>588</v>
      </c>
      <c r="X576">
        <v>0</v>
      </c>
      <c r="Z576">
        <v>0</v>
      </c>
      <c r="AA576">
        <v>0</v>
      </c>
      <c r="AB576">
        <v>0</v>
      </c>
      <c r="AC576">
        <v>0</v>
      </c>
      <c r="AD576" t="s">
        <v>1282</v>
      </c>
    </row>
    <row r="577" spans="1:30" x14ac:dyDescent="0.25">
      <c r="H577" t="s">
        <v>1283</v>
      </c>
    </row>
    <row r="578" spans="1:30" x14ac:dyDescent="0.25">
      <c r="A578">
        <v>286</v>
      </c>
      <c r="B578">
        <v>4832</v>
      </c>
      <c r="C578" t="s">
        <v>1284</v>
      </c>
      <c r="D578" t="s">
        <v>191</v>
      </c>
      <c r="E578" t="s">
        <v>181</v>
      </c>
      <c r="F578" t="s">
        <v>1285</v>
      </c>
      <c r="G578" t="str">
        <f>"201406012144"</f>
        <v>201406012144</v>
      </c>
      <c r="H578">
        <v>792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70</v>
      </c>
      <c r="O578">
        <v>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84</v>
      </c>
      <c r="W578">
        <v>588</v>
      </c>
      <c r="X578">
        <v>0</v>
      </c>
      <c r="Z578">
        <v>2</v>
      </c>
      <c r="AA578">
        <v>0</v>
      </c>
      <c r="AB578">
        <v>0</v>
      </c>
      <c r="AC578">
        <v>0</v>
      </c>
      <c r="AD578">
        <v>1450</v>
      </c>
    </row>
    <row r="579" spans="1:30" x14ac:dyDescent="0.25">
      <c r="H579" t="s">
        <v>1286</v>
      </c>
    </row>
    <row r="580" spans="1:30" x14ac:dyDescent="0.25">
      <c r="A580">
        <v>287</v>
      </c>
      <c r="B580">
        <v>3963</v>
      </c>
      <c r="C580" t="s">
        <v>1287</v>
      </c>
      <c r="D580" t="s">
        <v>27</v>
      </c>
      <c r="E580" t="s">
        <v>32</v>
      </c>
      <c r="F580" t="s">
        <v>1288</v>
      </c>
      <c r="G580" t="str">
        <f>"201406006085"</f>
        <v>201406006085</v>
      </c>
      <c r="H580">
        <v>792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70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84</v>
      </c>
      <c r="W580">
        <v>588</v>
      </c>
      <c r="X580">
        <v>0</v>
      </c>
      <c r="Z580">
        <v>0</v>
      </c>
      <c r="AA580">
        <v>0</v>
      </c>
      <c r="AB580">
        <v>0</v>
      </c>
      <c r="AC580">
        <v>0</v>
      </c>
      <c r="AD580">
        <v>1450</v>
      </c>
    </row>
    <row r="581" spans="1:30" x14ac:dyDescent="0.25">
      <c r="H581" t="s">
        <v>1289</v>
      </c>
    </row>
    <row r="582" spans="1:30" x14ac:dyDescent="0.25">
      <c r="A582">
        <v>288</v>
      </c>
      <c r="B582">
        <v>2010</v>
      </c>
      <c r="C582" t="s">
        <v>1290</v>
      </c>
      <c r="D582" t="s">
        <v>27</v>
      </c>
      <c r="E582" t="s">
        <v>325</v>
      </c>
      <c r="F582" t="s">
        <v>1291</v>
      </c>
      <c r="G582" t="str">
        <f>"00316403"</f>
        <v>00316403</v>
      </c>
      <c r="H582">
        <v>792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70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84</v>
      </c>
      <c r="W582">
        <v>588</v>
      </c>
      <c r="X582">
        <v>0</v>
      </c>
      <c r="Z582">
        <v>0</v>
      </c>
      <c r="AA582">
        <v>0</v>
      </c>
      <c r="AB582">
        <v>0</v>
      </c>
      <c r="AC582">
        <v>0</v>
      </c>
      <c r="AD582">
        <v>1450</v>
      </c>
    </row>
    <row r="583" spans="1:30" x14ac:dyDescent="0.25">
      <c r="H583" t="s">
        <v>1292</v>
      </c>
    </row>
    <row r="584" spans="1:30" x14ac:dyDescent="0.25">
      <c r="A584">
        <v>289</v>
      </c>
      <c r="B584">
        <v>1971</v>
      </c>
      <c r="C584" t="s">
        <v>1293</v>
      </c>
      <c r="D584" t="s">
        <v>119</v>
      </c>
      <c r="E584" t="s">
        <v>49</v>
      </c>
      <c r="F584" t="s">
        <v>1294</v>
      </c>
      <c r="G584" t="str">
        <f>"200805000510"</f>
        <v>200805000510</v>
      </c>
      <c r="H584">
        <v>792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70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84</v>
      </c>
      <c r="W584">
        <v>588</v>
      </c>
      <c r="X584">
        <v>0</v>
      </c>
      <c r="Z584">
        <v>1</v>
      </c>
      <c r="AA584">
        <v>0</v>
      </c>
      <c r="AB584">
        <v>0</v>
      </c>
      <c r="AC584">
        <v>0</v>
      </c>
      <c r="AD584">
        <v>1450</v>
      </c>
    </row>
    <row r="585" spans="1:30" x14ac:dyDescent="0.25">
      <c r="H585" t="s">
        <v>1295</v>
      </c>
    </row>
    <row r="586" spans="1:30" x14ac:dyDescent="0.25">
      <c r="A586">
        <v>290</v>
      </c>
      <c r="B586">
        <v>5358</v>
      </c>
      <c r="C586" t="s">
        <v>112</v>
      </c>
      <c r="D586" t="s">
        <v>185</v>
      </c>
      <c r="E586" t="s">
        <v>49</v>
      </c>
      <c r="F586" t="s">
        <v>1296</v>
      </c>
      <c r="G586" t="str">
        <f>"00367598"</f>
        <v>00367598</v>
      </c>
      <c r="H586" t="s">
        <v>730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30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77</v>
      </c>
      <c r="W586">
        <v>539</v>
      </c>
      <c r="X586">
        <v>0</v>
      </c>
      <c r="Z586">
        <v>0</v>
      </c>
      <c r="AA586">
        <v>0</v>
      </c>
      <c r="AB586">
        <v>7</v>
      </c>
      <c r="AC586">
        <v>119</v>
      </c>
      <c r="AD586" t="s">
        <v>1297</v>
      </c>
    </row>
    <row r="587" spans="1:30" x14ac:dyDescent="0.25">
      <c r="H587" t="s">
        <v>1298</v>
      </c>
    </row>
    <row r="588" spans="1:30" x14ac:dyDescent="0.25">
      <c r="A588">
        <v>291</v>
      </c>
      <c r="B588">
        <v>2883</v>
      </c>
      <c r="C588" t="s">
        <v>1299</v>
      </c>
      <c r="D588" t="s">
        <v>1077</v>
      </c>
      <c r="E588" t="s">
        <v>32</v>
      </c>
      <c r="F588" t="s">
        <v>1300</v>
      </c>
      <c r="G588" t="str">
        <f>"00167438"</f>
        <v>00167438</v>
      </c>
      <c r="H588" t="s">
        <v>1301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50</v>
      </c>
      <c r="O588">
        <v>70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84</v>
      </c>
      <c r="W588">
        <v>588</v>
      </c>
      <c r="X588">
        <v>0</v>
      </c>
      <c r="Z588">
        <v>0</v>
      </c>
      <c r="AA588">
        <v>0</v>
      </c>
      <c r="AB588">
        <v>0</v>
      </c>
      <c r="AC588">
        <v>0</v>
      </c>
      <c r="AD588" t="s">
        <v>1302</v>
      </c>
    </row>
    <row r="589" spans="1:30" x14ac:dyDescent="0.25">
      <c r="H589" t="s">
        <v>1303</v>
      </c>
    </row>
    <row r="590" spans="1:30" x14ac:dyDescent="0.25">
      <c r="A590">
        <v>292</v>
      </c>
      <c r="B590">
        <v>5962</v>
      </c>
      <c r="C590" t="s">
        <v>1304</v>
      </c>
      <c r="D590" t="s">
        <v>191</v>
      </c>
      <c r="E590" t="s">
        <v>102</v>
      </c>
      <c r="F590" t="s">
        <v>1305</v>
      </c>
      <c r="G590" t="str">
        <f>"201406003942"</f>
        <v>201406003942</v>
      </c>
      <c r="H590" t="s">
        <v>35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30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84</v>
      </c>
      <c r="W590">
        <v>588</v>
      </c>
      <c r="X590">
        <v>0</v>
      </c>
      <c r="Z590">
        <v>0</v>
      </c>
      <c r="AA590">
        <v>0</v>
      </c>
      <c r="AB590">
        <v>0</v>
      </c>
      <c r="AC590">
        <v>0</v>
      </c>
      <c r="AD590" t="s">
        <v>1306</v>
      </c>
    </row>
    <row r="591" spans="1:30" x14ac:dyDescent="0.25">
      <c r="H591" t="s">
        <v>1307</v>
      </c>
    </row>
    <row r="592" spans="1:30" x14ac:dyDescent="0.25">
      <c r="A592">
        <v>293</v>
      </c>
      <c r="B592">
        <v>4696</v>
      </c>
      <c r="C592" t="s">
        <v>1308</v>
      </c>
      <c r="D592" t="s">
        <v>102</v>
      </c>
      <c r="E592" t="s">
        <v>743</v>
      </c>
      <c r="F592" t="s">
        <v>1309</v>
      </c>
      <c r="G592" t="str">
        <f>"00291940"</f>
        <v>00291940</v>
      </c>
      <c r="H592" t="s">
        <v>1310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0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60</v>
      </c>
      <c r="W592">
        <v>420</v>
      </c>
      <c r="X592">
        <v>0</v>
      </c>
      <c r="Z592">
        <v>2</v>
      </c>
      <c r="AA592">
        <v>0</v>
      </c>
      <c r="AB592">
        <v>24</v>
      </c>
      <c r="AC592">
        <v>408</v>
      </c>
      <c r="AD592" t="s">
        <v>1311</v>
      </c>
    </row>
    <row r="593" spans="1:30" x14ac:dyDescent="0.25">
      <c r="H593">
        <v>1255</v>
      </c>
    </row>
    <row r="594" spans="1:30" x14ac:dyDescent="0.25">
      <c r="A594">
        <v>294</v>
      </c>
      <c r="B594">
        <v>3137</v>
      </c>
      <c r="C594" t="s">
        <v>1312</v>
      </c>
      <c r="D594" t="s">
        <v>254</v>
      </c>
      <c r="E594" t="s">
        <v>337</v>
      </c>
      <c r="F594" t="s">
        <v>1313</v>
      </c>
      <c r="G594" t="str">
        <f>"00274002"</f>
        <v>00274002</v>
      </c>
      <c r="H594" t="s">
        <v>86</v>
      </c>
      <c r="I594">
        <v>0</v>
      </c>
      <c r="J594">
        <v>0</v>
      </c>
      <c r="K594">
        <v>0</v>
      </c>
      <c r="L594">
        <v>0</v>
      </c>
      <c r="M594">
        <v>100</v>
      </c>
      <c r="N594">
        <v>0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84</v>
      </c>
      <c r="W594">
        <v>588</v>
      </c>
      <c r="X594">
        <v>0</v>
      </c>
      <c r="Z594">
        <v>0</v>
      </c>
      <c r="AA594">
        <v>0</v>
      </c>
      <c r="AB594">
        <v>0</v>
      </c>
      <c r="AC594">
        <v>0</v>
      </c>
      <c r="AD594" t="s">
        <v>1314</v>
      </c>
    </row>
    <row r="595" spans="1:30" x14ac:dyDescent="0.25">
      <c r="H595" t="s">
        <v>1315</v>
      </c>
    </row>
    <row r="596" spans="1:30" x14ac:dyDescent="0.25">
      <c r="A596">
        <v>295</v>
      </c>
      <c r="B596">
        <v>267</v>
      </c>
      <c r="C596" t="s">
        <v>1316</v>
      </c>
      <c r="D596" t="s">
        <v>1317</v>
      </c>
      <c r="E596" t="s">
        <v>325</v>
      </c>
      <c r="F596" t="s">
        <v>1318</v>
      </c>
      <c r="G596" t="str">
        <f>"00285632"</f>
        <v>00285632</v>
      </c>
      <c r="H596">
        <v>748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70</v>
      </c>
      <c r="O596">
        <v>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31</v>
      </c>
      <c r="W596">
        <v>217</v>
      </c>
      <c r="X596">
        <v>0</v>
      </c>
      <c r="Z596">
        <v>0</v>
      </c>
      <c r="AA596">
        <v>0</v>
      </c>
      <c r="AB596">
        <v>24</v>
      </c>
      <c r="AC596">
        <v>408</v>
      </c>
      <c r="AD596">
        <v>1443</v>
      </c>
    </row>
    <row r="597" spans="1:30" x14ac:dyDescent="0.25">
      <c r="H597" t="s">
        <v>1319</v>
      </c>
    </row>
    <row r="598" spans="1:30" x14ac:dyDescent="0.25">
      <c r="A598">
        <v>296</v>
      </c>
      <c r="B598">
        <v>3022</v>
      </c>
      <c r="C598" t="s">
        <v>1320</v>
      </c>
      <c r="D598" t="s">
        <v>236</v>
      </c>
      <c r="E598" t="s">
        <v>167</v>
      </c>
      <c r="F598" t="s">
        <v>1321</v>
      </c>
      <c r="G598" t="str">
        <f>"00199339"</f>
        <v>00199339</v>
      </c>
      <c r="H598" t="s">
        <v>1090</v>
      </c>
      <c r="I598">
        <v>150</v>
      </c>
      <c r="J598">
        <v>0</v>
      </c>
      <c r="K598">
        <v>0</v>
      </c>
      <c r="L598">
        <v>0</v>
      </c>
      <c r="M598">
        <v>0</v>
      </c>
      <c r="N598">
        <v>30</v>
      </c>
      <c r="O598">
        <v>0</v>
      </c>
      <c r="P598">
        <v>0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49</v>
      </c>
      <c r="W598">
        <v>343</v>
      </c>
      <c r="X598">
        <v>0</v>
      </c>
      <c r="Z598">
        <v>0</v>
      </c>
      <c r="AA598">
        <v>0</v>
      </c>
      <c r="AB598">
        <v>0</v>
      </c>
      <c r="AC598">
        <v>0</v>
      </c>
      <c r="AD598" t="s">
        <v>1322</v>
      </c>
    </row>
    <row r="599" spans="1:30" x14ac:dyDescent="0.25">
      <c r="H599" t="s">
        <v>1323</v>
      </c>
    </row>
    <row r="600" spans="1:30" x14ac:dyDescent="0.25">
      <c r="A600">
        <v>297</v>
      </c>
      <c r="B600">
        <v>2462</v>
      </c>
      <c r="C600" t="s">
        <v>1324</v>
      </c>
      <c r="D600" t="s">
        <v>580</v>
      </c>
      <c r="E600" t="s">
        <v>129</v>
      </c>
      <c r="F600" t="s">
        <v>1325</v>
      </c>
      <c r="G600" t="str">
        <f>"00262314"</f>
        <v>00262314</v>
      </c>
      <c r="H600" t="s">
        <v>1326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70</v>
      </c>
      <c r="O600">
        <v>0</v>
      </c>
      <c r="P600">
        <v>0</v>
      </c>
      <c r="Q600">
        <v>30</v>
      </c>
      <c r="R600">
        <v>0</v>
      </c>
      <c r="S600">
        <v>0</v>
      </c>
      <c r="T600">
        <v>0</v>
      </c>
      <c r="U600">
        <v>0</v>
      </c>
      <c r="V600">
        <v>84</v>
      </c>
      <c r="W600">
        <v>588</v>
      </c>
      <c r="X600">
        <v>0</v>
      </c>
      <c r="Z600">
        <v>0</v>
      </c>
      <c r="AA600">
        <v>0</v>
      </c>
      <c r="AB600">
        <v>0</v>
      </c>
      <c r="AC600">
        <v>0</v>
      </c>
      <c r="AD600" t="s">
        <v>1322</v>
      </c>
    </row>
    <row r="601" spans="1:30" x14ac:dyDescent="0.25">
      <c r="H601" t="s">
        <v>1327</v>
      </c>
    </row>
    <row r="602" spans="1:30" x14ac:dyDescent="0.25">
      <c r="A602">
        <v>298</v>
      </c>
      <c r="B602">
        <v>4793</v>
      </c>
      <c r="C602" t="s">
        <v>1328</v>
      </c>
      <c r="D602" t="s">
        <v>1329</v>
      </c>
      <c r="E602" t="s">
        <v>120</v>
      </c>
      <c r="F602" t="s">
        <v>1330</v>
      </c>
      <c r="G602" t="str">
        <f>"00150562"</f>
        <v>00150562</v>
      </c>
      <c r="H602" t="s">
        <v>1331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30</v>
      </c>
      <c r="O602">
        <v>0</v>
      </c>
      <c r="P602">
        <v>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84</v>
      </c>
      <c r="W602">
        <v>588</v>
      </c>
      <c r="X602">
        <v>0</v>
      </c>
      <c r="Z602">
        <v>0</v>
      </c>
      <c r="AA602">
        <v>0</v>
      </c>
      <c r="AB602">
        <v>0</v>
      </c>
      <c r="AC602">
        <v>0</v>
      </c>
      <c r="AD602" t="s">
        <v>1332</v>
      </c>
    </row>
    <row r="603" spans="1:30" x14ac:dyDescent="0.25">
      <c r="H603" t="s">
        <v>1333</v>
      </c>
    </row>
    <row r="604" spans="1:30" x14ac:dyDescent="0.25">
      <c r="A604">
        <v>299</v>
      </c>
      <c r="B604">
        <v>3946</v>
      </c>
      <c r="C604" t="s">
        <v>1334</v>
      </c>
      <c r="D604" t="s">
        <v>180</v>
      </c>
      <c r="E604" t="s">
        <v>120</v>
      </c>
      <c r="F604" t="s">
        <v>1335</v>
      </c>
      <c r="G604" t="str">
        <f>"00199050"</f>
        <v>00199050</v>
      </c>
      <c r="H604">
        <v>770</v>
      </c>
      <c r="I604">
        <v>0</v>
      </c>
      <c r="J604">
        <v>0</v>
      </c>
      <c r="K604">
        <v>0</v>
      </c>
      <c r="L604">
        <v>0</v>
      </c>
      <c r="M604">
        <v>0</v>
      </c>
      <c r="N604">
        <v>30</v>
      </c>
      <c r="O604">
        <v>0</v>
      </c>
      <c r="P604">
        <v>0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79</v>
      </c>
      <c r="W604">
        <v>553</v>
      </c>
      <c r="X604">
        <v>0</v>
      </c>
      <c r="Z604">
        <v>0</v>
      </c>
      <c r="AA604">
        <v>0</v>
      </c>
      <c r="AB604">
        <v>5</v>
      </c>
      <c r="AC604">
        <v>85</v>
      </c>
      <c r="AD604">
        <v>1438</v>
      </c>
    </row>
    <row r="605" spans="1:30" x14ac:dyDescent="0.25">
      <c r="H605" t="s">
        <v>1336</v>
      </c>
    </row>
    <row r="606" spans="1:30" x14ac:dyDescent="0.25">
      <c r="A606">
        <v>300</v>
      </c>
      <c r="B606">
        <v>55</v>
      </c>
      <c r="C606" t="s">
        <v>703</v>
      </c>
      <c r="D606" t="s">
        <v>306</v>
      </c>
      <c r="E606" t="s">
        <v>107</v>
      </c>
      <c r="F606" t="s">
        <v>1337</v>
      </c>
      <c r="G606" t="str">
        <f>"200802006033"</f>
        <v>200802006033</v>
      </c>
      <c r="H606" t="s">
        <v>500</v>
      </c>
      <c r="I606">
        <v>0</v>
      </c>
      <c r="J606">
        <v>0</v>
      </c>
      <c r="K606">
        <v>0</v>
      </c>
      <c r="L606">
        <v>0</v>
      </c>
      <c r="M606">
        <v>0</v>
      </c>
      <c r="N606">
        <v>30</v>
      </c>
      <c r="O606">
        <v>0</v>
      </c>
      <c r="P606">
        <v>0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72</v>
      </c>
      <c r="W606">
        <v>504</v>
      </c>
      <c r="X606">
        <v>0</v>
      </c>
      <c r="Z606">
        <v>0</v>
      </c>
      <c r="AA606">
        <v>0</v>
      </c>
      <c r="AB606">
        <v>5</v>
      </c>
      <c r="AC606">
        <v>85</v>
      </c>
      <c r="AD606" t="s">
        <v>1338</v>
      </c>
    </row>
    <row r="607" spans="1:30" x14ac:dyDescent="0.25">
      <c r="H607" t="s">
        <v>1339</v>
      </c>
    </row>
    <row r="608" spans="1:30" x14ac:dyDescent="0.25">
      <c r="A608">
        <v>301</v>
      </c>
      <c r="B608">
        <v>4602</v>
      </c>
      <c r="C608" t="s">
        <v>1340</v>
      </c>
      <c r="D608" t="s">
        <v>629</v>
      </c>
      <c r="E608" t="s">
        <v>50</v>
      </c>
      <c r="F608" t="s">
        <v>1341</v>
      </c>
      <c r="G608" t="str">
        <f>"200712000820"</f>
        <v>200712000820</v>
      </c>
      <c r="H608" t="s">
        <v>115</v>
      </c>
      <c r="I608">
        <v>0</v>
      </c>
      <c r="J608">
        <v>0</v>
      </c>
      <c r="K608">
        <v>0</v>
      </c>
      <c r="L608">
        <v>0</v>
      </c>
      <c r="M608">
        <v>0</v>
      </c>
      <c r="N608">
        <v>70</v>
      </c>
      <c r="O608">
        <v>0</v>
      </c>
      <c r="P608">
        <v>0</v>
      </c>
      <c r="Q608">
        <v>0</v>
      </c>
      <c r="R608">
        <v>30</v>
      </c>
      <c r="S608">
        <v>0</v>
      </c>
      <c r="T608">
        <v>0</v>
      </c>
      <c r="U608">
        <v>0</v>
      </c>
      <c r="V608">
        <v>58</v>
      </c>
      <c r="W608">
        <v>406</v>
      </c>
      <c r="X608">
        <v>0</v>
      </c>
      <c r="Z608">
        <v>0</v>
      </c>
      <c r="AA608">
        <v>0</v>
      </c>
      <c r="AB608">
        <v>8</v>
      </c>
      <c r="AC608">
        <v>136</v>
      </c>
      <c r="AD608" t="s">
        <v>1342</v>
      </c>
    </row>
    <row r="609" spans="1:30" x14ac:dyDescent="0.25">
      <c r="H609" t="s">
        <v>1343</v>
      </c>
    </row>
    <row r="610" spans="1:30" x14ac:dyDescent="0.25">
      <c r="A610">
        <v>302</v>
      </c>
      <c r="B610">
        <v>4917</v>
      </c>
      <c r="C610" t="s">
        <v>1344</v>
      </c>
      <c r="D610" t="s">
        <v>218</v>
      </c>
      <c r="E610" t="s">
        <v>142</v>
      </c>
      <c r="F610" t="s">
        <v>1345</v>
      </c>
      <c r="G610" t="str">
        <f>"00351187"</f>
        <v>00351187</v>
      </c>
      <c r="H610" t="s">
        <v>500</v>
      </c>
      <c r="I610">
        <v>0</v>
      </c>
      <c r="J610">
        <v>0</v>
      </c>
      <c r="K610">
        <v>0</v>
      </c>
      <c r="L610">
        <v>0</v>
      </c>
      <c r="M610">
        <v>0</v>
      </c>
      <c r="N610">
        <v>30</v>
      </c>
      <c r="O610">
        <v>0</v>
      </c>
      <c r="P610">
        <v>0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84</v>
      </c>
      <c r="W610">
        <v>588</v>
      </c>
      <c r="X610">
        <v>0</v>
      </c>
      <c r="Z610">
        <v>0</v>
      </c>
      <c r="AA610">
        <v>0</v>
      </c>
      <c r="AB610">
        <v>0</v>
      </c>
      <c r="AC610">
        <v>0</v>
      </c>
      <c r="AD610" t="s">
        <v>1346</v>
      </c>
    </row>
    <row r="611" spans="1:30" x14ac:dyDescent="0.25">
      <c r="H611" t="s">
        <v>1347</v>
      </c>
    </row>
    <row r="612" spans="1:30" x14ac:dyDescent="0.25">
      <c r="A612">
        <v>303</v>
      </c>
      <c r="B612">
        <v>5148</v>
      </c>
      <c r="C612" t="s">
        <v>1348</v>
      </c>
      <c r="D612" t="s">
        <v>393</v>
      </c>
      <c r="E612" t="s">
        <v>102</v>
      </c>
      <c r="F612" t="s">
        <v>1349</v>
      </c>
      <c r="G612" t="str">
        <f>"201506000630"</f>
        <v>201506000630</v>
      </c>
      <c r="H612">
        <v>825</v>
      </c>
      <c r="I612">
        <v>0</v>
      </c>
      <c r="J612">
        <v>0</v>
      </c>
      <c r="K612">
        <v>0</v>
      </c>
      <c r="L612">
        <v>200</v>
      </c>
      <c r="M612">
        <v>0</v>
      </c>
      <c r="N612">
        <v>30</v>
      </c>
      <c r="O612">
        <v>0</v>
      </c>
      <c r="P612">
        <v>0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18</v>
      </c>
      <c r="W612">
        <v>126</v>
      </c>
      <c r="X612">
        <v>0</v>
      </c>
      <c r="Z612">
        <v>2</v>
      </c>
      <c r="AA612">
        <v>0</v>
      </c>
      <c r="AB612">
        <v>15</v>
      </c>
      <c r="AC612">
        <v>255</v>
      </c>
      <c r="AD612">
        <v>1436</v>
      </c>
    </row>
    <row r="613" spans="1:30" x14ac:dyDescent="0.25">
      <c r="H613" t="s">
        <v>1350</v>
      </c>
    </row>
    <row r="614" spans="1:30" x14ac:dyDescent="0.25">
      <c r="A614">
        <v>304</v>
      </c>
      <c r="B614">
        <v>280</v>
      </c>
      <c r="C614" t="s">
        <v>1351</v>
      </c>
      <c r="D614" t="s">
        <v>218</v>
      </c>
      <c r="E614" t="s">
        <v>76</v>
      </c>
      <c r="F614" t="s">
        <v>1352</v>
      </c>
      <c r="G614" t="str">
        <f>"201303000181"</f>
        <v>201303000181</v>
      </c>
      <c r="H614">
        <v>748</v>
      </c>
      <c r="I614">
        <v>0</v>
      </c>
      <c r="J614">
        <v>0</v>
      </c>
      <c r="K614">
        <v>0</v>
      </c>
      <c r="L614">
        <v>0</v>
      </c>
      <c r="M614">
        <v>0</v>
      </c>
      <c r="N614">
        <v>70</v>
      </c>
      <c r="O614">
        <v>0</v>
      </c>
      <c r="P614">
        <v>30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84</v>
      </c>
      <c r="W614">
        <v>588</v>
      </c>
      <c r="X614">
        <v>0</v>
      </c>
      <c r="Z614">
        <v>0</v>
      </c>
      <c r="AA614">
        <v>0</v>
      </c>
      <c r="AB614">
        <v>0</v>
      </c>
      <c r="AC614">
        <v>0</v>
      </c>
      <c r="AD614">
        <v>1436</v>
      </c>
    </row>
    <row r="615" spans="1:30" x14ac:dyDescent="0.25">
      <c r="H615" t="s">
        <v>1353</v>
      </c>
    </row>
    <row r="616" spans="1:30" x14ac:dyDescent="0.25">
      <c r="A616">
        <v>305</v>
      </c>
      <c r="B616">
        <v>1646</v>
      </c>
      <c r="C616" t="s">
        <v>1354</v>
      </c>
      <c r="D616" t="s">
        <v>167</v>
      </c>
      <c r="E616" t="s">
        <v>84</v>
      </c>
      <c r="F616" t="s">
        <v>1355</v>
      </c>
      <c r="G616" t="str">
        <f>"00222391"</f>
        <v>00222391</v>
      </c>
      <c r="H616" t="s">
        <v>1356</v>
      </c>
      <c r="I616">
        <v>0</v>
      </c>
      <c r="J616">
        <v>0</v>
      </c>
      <c r="K616">
        <v>0</v>
      </c>
      <c r="L616">
        <v>0</v>
      </c>
      <c r="M616">
        <v>0</v>
      </c>
      <c r="N616">
        <v>50</v>
      </c>
      <c r="O616">
        <v>0</v>
      </c>
      <c r="P616">
        <v>50</v>
      </c>
      <c r="Q616">
        <v>0</v>
      </c>
      <c r="R616">
        <v>30</v>
      </c>
      <c r="S616">
        <v>0</v>
      </c>
      <c r="T616">
        <v>0</v>
      </c>
      <c r="U616">
        <v>0</v>
      </c>
      <c r="V616">
        <v>84</v>
      </c>
      <c r="W616">
        <v>588</v>
      </c>
      <c r="X616">
        <v>0</v>
      </c>
      <c r="Z616">
        <v>0</v>
      </c>
      <c r="AA616">
        <v>0</v>
      </c>
      <c r="AB616">
        <v>0</v>
      </c>
      <c r="AC616">
        <v>0</v>
      </c>
      <c r="AD616" t="s">
        <v>1357</v>
      </c>
    </row>
    <row r="617" spans="1:30" x14ac:dyDescent="0.25">
      <c r="H617" t="s">
        <v>496</v>
      </c>
    </row>
    <row r="618" spans="1:30" x14ac:dyDescent="0.25">
      <c r="A618">
        <v>306</v>
      </c>
      <c r="B618">
        <v>5086</v>
      </c>
      <c r="C618" t="s">
        <v>1358</v>
      </c>
      <c r="D618" t="s">
        <v>368</v>
      </c>
      <c r="E618" t="s">
        <v>49</v>
      </c>
      <c r="F618" t="s">
        <v>1359</v>
      </c>
      <c r="G618" t="str">
        <f>"00190179"</f>
        <v>00190179</v>
      </c>
      <c r="H618" t="s">
        <v>976</v>
      </c>
      <c r="I618">
        <v>0</v>
      </c>
      <c r="J618">
        <v>0</v>
      </c>
      <c r="K618">
        <v>0</v>
      </c>
      <c r="L618">
        <v>0</v>
      </c>
      <c r="M618">
        <v>0</v>
      </c>
      <c r="N618">
        <v>30</v>
      </c>
      <c r="O618">
        <v>0</v>
      </c>
      <c r="P618">
        <v>0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84</v>
      </c>
      <c r="W618">
        <v>588</v>
      </c>
      <c r="X618">
        <v>0</v>
      </c>
      <c r="Z618">
        <v>0</v>
      </c>
      <c r="AA618">
        <v>0</v>
      </c>
      <c r="AB618">
        <v>0</v>
      </c>
      <c r="AC618">
        <v>0</v>
      </c>
      <c r="AD618" t="s">
        <v>1360</v>
      </c>
    </row>
    <row r="619" spans="1:30" x14ac:dyDescent="0.25">
      <c r="H619" t="s">
        <v>1361</v>
      </c>
    </row>
    <row r="620" spans="1:30" x14ac:dyDescent="0.25">
      <c r="A620">
        <v>307</v>
      </c>
      <c r="B620">
        <v>1863</v>
      </c>
      <c r="C620" t="s">
        <v>1362</v>
      </c>
      <c r="D620" t="s">
        <v>50</v>
      </c>
      <c r="E620" t="s">
        <v>64</v>
      </c>
      <c r="F620" t="s">
        <v>1363</v>
      </c>
      <c r="G620" t="str">
        <f>"201406006023"</f>
        <v>201406006023</v>
      </c>
      <c r="H620" t="s">
        <v>895</v>
      </c>
      <c r="I620">
        <v>0</v>
      </c>
      <c r="J620">
        <v>0</v>
      </c>
      <c r="K620">
        <v>0</v>
      </c>
      <c r="L620">
        <v>0</v>
      </c>
      <c r="M620">
        <v>0</v>
      </c>
      <c r="N620">
        <v>70</v>
      </c>
      <c r="O620">
        <v>0</v>
      </c>
      <c r="P620">
        <v>0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84</v>
      </c>
      <c r="W620">
        <v>588</v>
      </c>
      <c r="X620">
        <v>0</v>
      </c>
      <c r="Z620">
        <v>0</v>
      </c>
      <c r="AA620">
        <v>0</v>
      </c>
      <c r="AB620">
        <v>0</v>
      </c>
      <c r="AC620">
        <v>0</v>
      </c>
      <c r="AD620" t="s">
        <v>1364</v>
      </c>
    </row>
    <row r="621" spans="1:30" x14ac:dyDescent="0.25">
      <c r="H621" t="s">
        <v>1365</v>
      </c>
    </row>
    <row r="622" spans="1:30" x14ac:dyDescent="0.25">
      <c r="A622">
        <v>308</v>
      </c>
      <c r="B622">
        <v>3752</v>
      </c>
      <c r="C622" t="s">
        <v>1366</v>
      </c>
      <c r="D622" t="s">
        <v>615</v>
      </c>
      <c r="E622" t="s">
        <v>57</v>
      </c>
      <c r="F622" t="s">
        <v>1367</v>
      </c>
      <c r="G622" t="str">
        <f>"201511028906"</f>
        <v>201511028906</v>
      </c>
      <c r="H622" t="s">
        <v>1368</v>
      </c>
      <c r="I622">
        <v>0</v>
      </c>
      <c r="J622">
        <v>0</v>
      </c>
      <c r="K622">
        <v>0</v>
      </c>
      <c r="L622">
        <v>0</v>
      </c>
      <c r="M622">
        <v>0</v>
      </c>
      <c r="N622">
        <v>30</v>
      </c>
      <c r="O622">
        <v>0</v>
      </c>
      <c r="P622">
        <v>0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42</v>
      </c>
      <c r="W622">
        <v>294</v>
      </c>
      <c r="X622">
        <v>0</v>
      </c>
      <c r="Z622">
        <v>0</v>
      </c>
      <c r="AA622">
        <v>0</v>
      </c>
      <c r="AB622">
        <v>24</v>
      </c>
      <c r="AC622">
        <v>408</v>
      </c>
      <c r="AD622" t="s">
        <v>1369</v>
      </c>
    </row>
    <row r="623" spans="1:30" x14ac:dyDescent="0.25">
      <c r="H623" t="s">
        <v>1370</v>
      </c>
    </row>
    <row r="624" spans="1:30" x14ac:dyDescent="0.25">
      <c r="A624">
        <v>309</v>
      </c>
      <c r="B624">
        <v>1648</v>
      </c>
      <c r="C624" t="s">
        <v>1371</v>
      </c>
      <c r="D624" t="s">
        <v>580</v>
      </c>
      <c r="E624" t="s">
        <v>368</v>
      </c>
      <c r="F624" t="s">
        <v>1372</v>
      </c>
      <c r="G624" t="str">
        <f>"00301160"</f>
        <v>00301160</v>
      </c>
      <c r="H624">
        <v>814</v>
      </c>
      <c r="I624">
        <v>0</v>
      </c>
      <c r="J624">
        <v>0</v>
      </c>
      <c r="K624">
        <v>0</v>
      </c>
      <c r="L624">
        <v>0</v>
      </c>
      <c r="M624">
        <v>0</v>
      </c>
      <c r="N624">
        <v>30</v>
      </c>
      <c r="O624">
        <v>0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84</v>
      </c>
      <c r="W624">
        <v>588</v>
      </c>
      <c r="X624">
        <v>0</v>
      </c>
      <c r="Z624">
        <v>0</v>
      </c>
      <c r="AA624">
        <v>0</v>
      </c>
      <c r="AB624">
        <v>0</v>
      </c>
      <c r="AC624">
        <v>0</v>
      </c>
      <c r="AD624">
        <v>1432</v>
      </c>
    </row>
    <row r="625" spans="1:30" x14ac:dyDescent="0.25">
      <c r="H625" t="s">
        <v>1373</v>
      </c>
    </row>
    <row r="626" spans="1:30" x14ac:dyDescent="0.25">
      <c r="A626">
        <v>310</v>
      </c>
      <c r="B626">
        <v>4243</v>
      </c>
      <c r="C626" t="s">
        <v>1374</v>
      </c>
      <c r="D626" t="s">
        <v>218</v>
      </c>
      <c r="E626" t="s">
        <v>1375</v>
      </c>
      <c r="F626" t="s">
        <v>1376</v>
      </c>
      <c r="G626" t="str">
        <f>"00255587"</f>
        <v>00255587</v>
      </c>
      <c r="H626">
        <v>814</v>
      </c>
      <c r="I626">
        <v>0</v>
      </c>
      <c r="J626">
        <v>0</v>
      </c>
      <c r="K626">
        <v>0</v>
      </c>
      <c r="L626">
        <v>0</v>
      </c>
      <c r="M626">
        <v>0</v>
      </c>
      <c r="N626">
        <v>30</v>
      </c>
      <c r="O626">
        <v>0</v>
      </c>
      <c r="P626">
        <v>0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84</v>
      </c>
      <c r="W626">
        <v>588</v>
      </c>
      <c r="X626">
        <v>0</v>
      </c>
      <c r="Z626">
        <v>0</v>
      </c>
      <c r="AA626">
        <v>0</v>
      </c>
      <c r="AB626">
        <v>0</v>
      </c>
      <c r="AC626">
        <v>0</v>
      </c>
      <c r="AD626">
        <v>1432</v>
      </c>
    </row>
    <row r="627" spans="1:30" x14ac:dyDescent="0.25">
      <c r="H627" t="s">
        <v>1377</v>
      </c>
    </row>
    <row r="628" spans="1:30" x14ac:dyDescent="0.25">
      <c r="A628">
        <v>311</v>
      </c>
      <c r="B628">
        <v>3708</v>
      </c>
      <c r="C628" t="s">
        <v>1378</v>
      </c>
      <c r="D628" t="s">
        <v>180</v>
      </c>
      <c r="E628" t="s">
        <v>120</v>
      </c>
      <c r="F628" t="s">
        <v>1379</v>
      </c>
      <c r="G628" t="str">
        <f>"200802002758"</f>
        <v>200802002758</v>
      </c>
      <c r="H628">
        <v>814</v>
      </c>
      <c r="I628">
        <v>0</v>
      </c>
      <c r="J628">
        <v>0</v>
      </c>
      <c r="K628">
        <v>0</v>
      </c>
      <c r="L628">
        <v>0</v>
      </c>
      <c r="M628">
        <v>0</v>
      </c>
      <c r="N628">
        <v>30</v>
      </c>
      <c r="O628">
        <v>0</v>
      </c>
      <c r="P628">
        <v>0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84</v>
      </c>
      <c r="W628">
        <v>588</v>
      </c>
      <c r="X628">
        <v>0</v>
      </c>
      <c r="Z628">
        <v>0</v>
      </c>
      <c r="AA628">
        <v>0</v>
      </c>
      <c r="AB628">
        <v>0</v>
      </c>
      <c r="AC628">
        <v>0</v>
      </c>
      <c r="AD628">
        <v>1432</v>
      </c>
    </row>
    <row r="629" spans="1:30" x14ac:dyDescent="0.25">
      <c r="H629" t="s">
        <v>1380</v>
      </c>
    </row>
    <row r="630" spans="1:30" x14ac:dyDescent="0.25">
      <c r="A630">
        <v>312</v>
      </c>
      <c r="B630">
        <v>1951</v>
      </c>
      <c r="C630" t="s">
        <v>1381</v>
      </c>
      <c r="D630" t="s">
        <v>218</v>
      </c>
      <c r="E630" t="s">
        <v>32</v>
      </c>
      <c r="F630" t="s">
        <v>1382</v>
      </c>
      <c r="G630" t="str">
        <f>"201406005367"</f>
        <v>201406005367</v>
      </c>
      <c r="H630" t="s">
        <v>1383</v>
      </c>
      <c r="I630">
        <v>0</v>
      </c>
      <c r="J630">
        <v>0</v>
      </c>
      <c r="K630">
        <v>0</v>
      </c>
      <c r="L630">
        <v>200</v>
      </c>
      <c r="M630">
        <v>0</v>
      </c>
      <c r="N630">
        <v>50</v>
      </c>
      <c r="O630">
        <v>0</v>
      </c>
      <c r="P630">
        <v>0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44</v>
      </c>
      <c r="W630">
        <v>308</v>
      </c>
      <c r="X630">
        <v>0</v>
      </c>
      <c r="Z630">
        <v>0</v>
      </c>
      <c r="AA630">
        <v>0</v>
      </c>
      <c r="AB630">
        <v>0</v>
      </c>
      <c r="AC630">
        <v>0</v>
      </c>
      <c r="AD630" t="s">
        <v>1384</v>
      </c>
    </row>
    <row r="631" spans="1:30" x14ac:dyDescent="0.25">
      <c r="H631" t="s">
        <v>1385</v>
      </c>
    </row>
    <row r="632" spans="1:30" x14ac:dyDescent="0.25">
      <c r="A632">
        <v>313</v>
      </c>
      <c r="B632">
        <v>4002</v>
      </c>
      <c r="C632" t="s">
        <v>1386</v>
      </c>
      <c r="D632" t="s">
        <v>167</v>
      </c>
      <c r="E632" t="s">
        <v>230</v>
      </c>
      <c r="F632" t="s">
        <v>1387</v>
      </c>
      <c r="G632" t="str">
        <f>"201406014810"</f>
        <v>201406014810</v>
      </c>
      <c r="H632" t="s">
        <v>1388</v>
      </c>
      <c r="I632">
        <v>0</v>
      </c>
      <c r="J632">
        <v>0</v>
      </c>
      <c r="K632">
        <v>0</v>
      </c>
      <c r="L632">
        <v>200</v>
      </c>
      <c r="M632">
        <v>0</v>
      </c>
      <c r="N632">
        <v>30</v>
      </c>
      <c r="O632">
        <v>0</v>
      </c>
      <c r="P632">
        <v>0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68</v>
      </c>
      <c r="W632">
        <v>476</v>
      </c>
      <c r="X632">
        <v>0</v>
      </c>
      <c r="Z632">
        <v>0</v>
      </c>
      <c r="AA632">
        <v>0</v>
      </c>
      <c r="AB632">
        <v>0</v>
      </c>
      <c r="AC632">
        <v>0</v>
      </c>
      <c r="AD632" t="s">
        <v>1389</v>
      </c>
    </row>
    <row r="633" spans="1:30" x14ac:dyDescent="0.25">
      <c r="H633" t="s">
        <v>1390</v>
      </c>
    </row>
    <row r="634" spans="1:30" x14ac:dyDescent="0.25">
      <c r="A634">
        <v>314</v>
      </c>
      <c r="B634">
        <v>4708</v>
      </c>
      <c r="C634" t="s">
        <v>1391</v>
      </c>
      <c r="D634" t="s">
        <v>218</v>
      </c>
      <c r="E634" t="s">
        <v>32</v>
      </c>
      <c r="F634" t="s">
        <v>1392</v>
      </c>
      <c r="G634" t="str">
        <f>"00261806"</f>
        <v>00261806</v>
      </c>
      <c r="H634" t="s">
        <v>1393</v>
      </c>
      <c r="I634">
        <v>0</v>
      </c>
      <c r="J634">
        <v>0</v>
      </c>
      <c r="K634">
        <v>0</v>
      </c>
      <c r="L634">
        <v>0</v>
      </c>
      <c r="M634">
        <v>0</v>
      </c>
      <c r="N634">
        <v>30</v>
      </c>
      <c r="O634">
        <v>0</v>
      </c>
      <c r="P634">
        <v>0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84</v>
      </c>
      <c r="W634">
        <v>588</v>
      </c>
      <c r="X634">
        <v>0</v>
      </c>
      <c r="Z634">
        <v>0</v>
      </c>
      <c r="AA634">
        <v>0</v>
      </c>
      <c r="AB634">
        <v>0</v>
      </c>
      <c r="AC634">
        <v>0</v>
      </c>
      <c r="AD634" t="s">
        <v>1394</v>
      </c>
    </row>
    <row r="635" spans="1:30" x14ac:dyDescent="0.25">
      <c r="H635" t="s">
        <v>1395</v>
      </c>
    </row>
    <row r="636" spans="1:30" x14ac:dyDescent="0.25">
      <c r="A636">
        <v>315</v>
      </c>
      <c r="B636">
        <v>21</v>
      </c>
      <c r="C636" t="s">
        <v>1396</v>
      </c>
      <c r="D636" t="s">
        <v>283</v>
      </c>
      <c r="E636" t="s">
        <v>64</v>
      </c>
      <c r="F636" t="s">
        <v>1397</v>
      </c>
      <c r="G636" t="str">
        <f>"00296787"</f>
        <v>00296787</v>
      </c>
      <c r="H636" t="s">
        <v>427</v>
      </c>
      <c r="I636">
        <v>0</v>
      </c>
      <c r="J636">
        <v>0</v>
      </c>
      <c r="K636">
        <v>0</v>
      </c>
      <c r="L636">
        <v>0</v>
      </c>
      <c r="M636">
        <v>0</v>
      </c>
      <c r="N636">
        <v>70</v>
      </c>
      <c r="O636">
        <v>0</v>
      </c>
      <c r="P636">
        <v>0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47</v>
      </c>
      <c r="W636">
        <v>329</v>
      </c>
      <c r="X636">
        <v>0</v>
      </c>
      <c r="Z636">
        <v>0</v>
      </c>
      <c r="AA636">
        <v>0</v>
      </c>
      <c r="AB636">
        <v>19</v>
      </c>
      <c r="AC636">
        <v>323</v>
      </c>
      <c r="AD636" t="s">
        <v>1398</v>
      </c>
    </row>
    <row r="637" spans="1:30" x14ac:dyDescent="0.25">
      <c r="H637" t="s">
        <v>1399</v>
      </c>
    </row>
    <row r="638" spans="1:30" x14ac:dyDescent="0.25">
      <c r="A638">
        <v>316</v>
      </c>
      <c r="B638">
        <v>1693</v>
      </c>
      <c r="C638" t="s">
        <v>1400</v>
      </c>
      <c r="D638" t="s">
        <v>27</v>
      </c>
      <c r="E638" t="s">
        <v>337</v>
      </c>
      <c r="F638" t="s">
        <v>1401</v>
      </c>
      <c r="G638" t="str">
        <f>"201402006654"</f>
        <v>201402006654</v>
      </c>
      <c r="H638" t="s">
        <v>1402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30</v>
      </c>
      <c r="O638">
        <v>0</v>
      </c>
      <c r="P638">
        <v>0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84</v>
      </c>
      <c r="W638">
        <v>588</v>
      </c>
      <c r="X638">
        <v>0</v>
      </c>
      <c r="Z638">
        <v>1</v>
      </c>
      <c r="AA638">
        <v>0</v>
      </c>
      <c r="AB638">
        <v>0</v>
      </c>
      <c r="AC638">
        <v>0</v>
      </c>
      <c r="AD638" t="s">
        <v>1403</v>
      </c>
    </row>
    <row r="639" spans="1:30" x14ac:dyDescent="0.25">
      <c r="H639" t="s">
        <v>1404</v>
      </c>
    </row>
    <row r="640" spans="1:30" x14ac:dyDescent="0.25">
      <c r="A640">
        <v>317</v>
      </c>
      <c r="B640">
        <v>5733</v>
      </c>
      <c r="C640" t="s">
        <v>1405</v>
      </c>
      <c r="D640" t="s">
        <v>309</v>
      </c>
      <c r="E640" t="s">
        <v>1406</v>
      </c>
      <c r="F640" t="s">
        <v>1407</v>
      </c>
      <c r="G640" t="str">
        <f>"00166087"</f>
        <v>00166087</v>
      </c>
      <c r="H640" t="s">
        <v>1368</v>
      </c>
      <c r="I640">
        <v>0</v>
      </c>
      <c r="J640">
        <v>0</v>
      </c>
      <c r="K640">
        <v>0</v>
      </c>
      <c r="L640">
        <v>200</v>
      </c>
      <c r="M640">
        <v>0</v>
      </c>
      <c r="N640">
        <v>30</v>
      </c>
      <c r="O640">
        <v>0</v>
      </c>
      <c r="P640">
        <v>0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71</v>
      </c>
      <c r="W640">
        <v>497</v>
      </c>
      <c r="X640">
        <v>0</v>
      </c>
      <c r="Z640">
        <v>0</v>
      </c>
      <c r="AA640">
        <v>0</v>
      </c>
      <c r="AB640">
        <v>0</v>
      </c>
      <c r="AC640">
        <v>0</v>
      </c>
      <c r="AD640" t="s">
        <v>1408</v>
      </c>
    </row>
    <row r="641" spans="1:30" x14ac:dyDescent="0.25">
      <c r="H641" t="s">
        <v>1409</v>
      </c>
    </row>
    <row r="642" spans="1:30" x14ac:dyDescent="0.25">
      <c r="A642">
        <v>318</v>
      </c>
      <c r="B642">
        <v>4883</v>
      </c>
      <c r="C642" t="s">
        <v>1410</v>
      </c>
      <c r="D642" t="s">
        <v>444</v>
      </c>
      <c r="E642" t="s">
        <v>32</v>
      </c>
      <c r="F642" t="s">
        <v>1411</v>
      </c>
      <c r="G642" t="str">
        <f>"00248371"</f>
        <v>00248371</v>
      </c>
      <c r="H642">
        <v>627</v>
      </c>
      <c r="I642">
        <v>0</v>
      </c>
      <c r="J642">
        <v>0</v>
      </c>
      <c r="K642">
        <v>0</v>
      </c>
      <c r="L642">
        <v>0</v>
      </c>
      <c r="M642">
        <v>0</v>
      </c>
      <c r="N642">
        <v>0</v>
      </c>
      <c r="O642">
        <v>0</v>
      </c>
      <c r="P642">
        <v>0</v>
      </c>
      <c r="Q642">
        <v>0</v>
      </c>
      <c r="R642">
        <v>0</v>
      </c>
      <c r="S642">
        <v>0</v>
      </c>
      <c r="T642">
        <v>0</v>
      </c>
      <c r="U642">
        <v>0</v>
      </c>
      <c r="V642">
        <v>56</v>
      </c>
      <c r="W642">
        <v>392</v>
      </c>
      <c r="X642">
        <v>0</v>
      </c>
      <c r="Z642">
        <v>2</v>
      </c>
      <c r="AA642">
        <v>0</v>
      </c>
      <c r="AB642">
        <v>24</v>
      </c>
      <c r="AC642">
        <v>408</v>
      </c>
      <c r="AD642">
        <v>1427</v>
      </c>
    </row>
    <row r="643" spans="1:30" x14ac:dyDescent="0.25">
      <c r="H643" t="s">
        <v>633</v>
      </c>
    </row>
    <row r="644" spans="1:30" x14ac:dyDescent="0.25">
      <c r="A644">
        <v>319</v>
      </c>
      <c r="B644">
        <v>1474</v>
      </c>
      <c r="C644" t="s">
        <v>1412</v>
      </c>
      <c r="D644" t="s">
        <v>236</v>
      </c>
      <c r="E644" t="s">
        <v>167</v>
      </c>
      <c r="F644" t="s">
        <v>1413</v>
      </c>
      <c r="G644" t="str">
        <f>"201406010452"</f>
        <v>201406010452</v>
      </c>
      <c r="H644" t="s">
        <v>774</v>
      </c>
      <c r="I644">
        <v>0</v>
      </c>
      <c r="J644">
        <v>0</v>
      </c>
      <c r="K644">
        <v>0</v>
      </c>
      <c r="L644">
        <v>0</v>
      </c>
      <c r="M644">
        <v>0</v>
      </c>
      <c r="N644">
        <v>70</v>
      </c>
      <c r="O644">
        <v>0</v>
      </c>
      <c r="P644">
        <v>0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84</v>
      </c>
      <c r="W644">
        <v>588</v>
      </c>
      <c r="X644">
        <v>0</v>
      </c>
      <c r="Z644">
        <v>0</v>
      </c>
      <c r="AA644">
        <v>0</v>
      </c>
      <c r="AB644">
        <v>0</v>
      </c>
      <c r="AC644">
        <v>0</v>
      </c>
      <c r="AD644" t="s">
        <v>1414</v>
      </c>
    </row>
    <row r="645" spans="1:30" x14ac:dyDescent="0.25">
      <c r="H645" t="s">
        <v>1415</v>
      </c>
    </row>
    <row r="646" spans="1:30" x14ac:dyDescent="0.25">
      <c r="A646">
        <v>320</v>
      </c>
      <c r="B646">
        <v>2109</v>
      </c>
      <c r="C646" t="s">
        <v>1416</v>
      </c>
      <c r="D646" t="s">
        <v>27</v>
      </c>
      <c r="E646" t="s">
        <v>167</v>
      </c>
      <c r="F646" t="s">
        <v>1417</v>
      </c>
      <c r="G646" t="str">
        <f>"201406007501"</f>
        <v>201406007501</v>
      </c>
      <c r="H646" t="s">
        <v>1418</v>
      </c>
      <c r="I646">
        <v>0</v>
      </c>
      <c r="J646">
        <v>0</v>
      </c>
      <c r="K646">
        <v>0</v>
      </c>
      <c r="L646">
        <v>200</v>
      </c>
      <c r="M646">
        <v>0</v>
      </c>
      <c r="N646">
        <v>70</v>
      </c>
      <c r="O646">
        <v>0</v>
      </c>
      <c r="P646">
        <v>0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49</v>
      </c>
      <c r="W646">
        <v>343</v>
      </c>
      <c r="X646">
        <v>0</v>
      </c>
      <c r="Z646">
        <v>0</v>
      </c>
      <c r="AA646">
        <v>0</v>
      </c>
      <c r="AB646">
        <v>0</v>
      </c>
      <c r="AC646">
        <v>0</v>
      </c>
      <c r="AD646" t="s">
        <v>1419</v>
      </c>
    </row>
    <row r="647" spans="1:30" x14ac:dyDescent="0.25">
      <c r="H647" t="s">
        <v>1420</v>
      </c>
    </row>
    <row r="648" spans="1:30" x14ac:dyDescent="0.25">
      <c r="A648">
        <v>321</v>
      </c>
      <c r="B648">
        <v>452</v>
      </c>
      <c r="C648" t="s">
        <v>1421</v>
      </c>
      <c r="D648" t="s">
        <v>306</v>
      </c>
      <c r="E648" t="s">
        <v>102</v>
      </c>
      <c r="F648" t="s">
        <v>1422</v>
      </c>
      <c r="G648" t="str">
        <f>"00279512"</f>
        <v>00279512</v>
      </c>
      <c r="H648">
        <v>836</v>
      </c>
      <c r="I648">
        <v>0</v>
      </c>
      <c r="J648">
        <v>0</v>
      </c>
      <c r="K648">
        <v>0</v>
      </c>
      <c r="L648">
        <v>0</v>
      </c>
      <c r="M648">
        <v>0</v>
      </c>
      <c r="N648">
        <v>0</v>
      </c>
      <c r="O648">
        <v>0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84</v>
      </c>
      <c r="W648">
        <v>588</v>
      </c>
      <c r="X648">
        <v>0</v>
      </c>
      <c r="Z648">
        <v>2</v>
      </c>
      <c r="AA648">
        <v>0</v>
      </c>
      <c r="AB648">
        <v>0</v>
      </c>
      <c r="AC648">
        <v>0</v>
      </c>
      <c r="AD648">
        <v>1424</v>
      </c>
    </row>
    <row r="649" spans="1:30" x14ac:dyDescent="0.25">
      <c r="H649">
        <v>1255</v>
      </c>
    </row>
    <row r="650" spans="1:30" x14ac:dyDescent="0.25">
      <c r="A650">
        <v>322</v>
      </c>
      <c r="B650">
        <v>2938</v>
      </c>
      <c r="C650" t="s">
        <v>1423</v>
      </c>
      <c r="D650" t="s">
        <v>283</v>
      </c>
      <c r="E650" t="s">
        <v>102</v>
      </c>
      <c r="F650" t="s">
        <v>1424</v>
      </c>
      <c r="G650" t="str">
        <f>"201405001737"</f>
        <v>201405001737</v>
      </c>
      <c r="H650">
        <v>825</v>
      </c>
      <c r="I650">
        <v>0</v>
      </c>
      <c r="J650">
        <v>0</v>
      </c>
      <c r="K650">
        <v>0</v>
      </c>
      <c r="L650">
        <v>200</v>
      </c>
      <c r="M650">
        <v>0</v>
      </c>
      <c r="N650">
        <v>70</v>
      </c>
      <c r="O650">
        <v>0</v>
      </c>
      <c r="P650">
        <v>0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47</v>
      </c>
      <c r="W650">
        <v>329</v>
      </c>
      <c r="X650">
        <v>0</v>
      </c>
      <c r="Z650">
        <v>0</v>
      </c>
      <c r="AA650">
        <v>0</v>
      </c>
      <c r="AB650">
        <v>0</v>
      </c>
      <c r="AC650">
        <v>0</v>
      </c>
      <c r="AD650">
        <v>1424</v>
      </c>
    </row>
    <row r="651" spans="1:30" x14ac:dyDescent="0.25">
      <c r="H651" t="s">
        <v>1425</v>
      </c>
    </row>
    <row r="652" spans="1:30" x14ac:dyDescent="0.25">
      <c r="A652">
        <v>323</v>
      </c>
      <c r="B652">
        <v>3248</v>
      </c>
      <c r="C652" t="s">
        <v>1426</v>
      </c>
      <c r="D652" t="s">
        <v>1427</v>
      </c>
      <c r="E652" t="s">
        <v>120</v>
      </c>
      <c r="F652" t="s">
        <v>1428</v>
      </c>
      <c r="G652" t="str">
        <f>"201402009805"</f>
        <v>201402009805</v>
      </c>
      <c r="H652" t="s">
        <v>1142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30</v>
      </c>
      <c r="O652">
        <v>0</v>
      </c>
      <c r="P652">
        <v>0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84</v>
      </c>
      <c r="W652">
        <v>588</v>
      </c>
      <c r="X652">
        <v>0</v>
      </c>
      <c r="Z652">
        <v>0</v>
      </c>
      <c r="AA652">
        <v>0</v>
      </c>
      <c r="AB652">
        <v>0</v>
      </c>
      <c r="AC652">
        <v>0</v>
      </c>
      <c r="AD652" t="s">
        <v>1429</v>
      </c>
    </row>
    <row r="653" spans="1:30" x14ac:dyDescent="0.25">
      <c r="H653" t="s">
        <v>1430</v>
      </c>
    </row>
    <row r="654" spans="1:30" x14ac:dyDescent="0.25">
      <c r="A654">
        <v>324</v>
      </c>
      <c r="B654">
        <v>5843</v>
      </c>
      <c r="C654" t="s">
        <v>1431</v>
      </c>
      <c r="D654" t="s">
        <v>27</v>
      </c>
      <c r="E654" t="s">
        <v>102</v>
      </c>
      <c r="F654" t="s">
        <v>1432</v>
      </c>
      <c r="G654" t="str">
        <f>"00069856"</f>
        <v>00069856</v>
      </c>
      <c r="H654">
        <v>836</v>
      </c>
      <c r="I654">
        <v>150</v>
      </c>
      <c r="J654">
        <v>0</v>
      </c>
      <c r="K654">
        <v>0</v>
      </c>
      <c r="L654">
        <v>0</v>
      </c>
      <c r="M654">
        <v>0</v>
      </c>
      <c r="N654">
        <v>30</v>
      </c>
      <c r="O654">
        <v>0</v>
      </c>
      <c r="P654">
        <v>0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58</v>
      </c>
      <c r="W654">
        <v>406</v>
      </c>
      <c r="X654">
        <v>0</v>
      </c>
      <c r="Z654">
        <v>1</v>
      </c>
      <c r="AA654">
        <v>0</v>
      </c>
      <c r="AB654">
        <v>0</v>
      </c>
      <c r="AC654">
        <v>0</v>
      </c>
      <c r="AD654">
        <v>1422</v>
      </c>
    </row>
    <row r="655" spans="1:30" x14ac:dyDescent="0.25">
      <c r="H655" t="s">
        <v>1433</v>
      </c>
    </row>
    <row r="656" spans="1:30" x14ac:dyDescent="0.25">
      <c r="A656">
        <v>325</v>
      </c>
      <c r="B656">
        <v>3996</v>
      </c>
      <c r="C656" t="s">
        <v>1434</v>
      </c>
      <c r="D656" t="s">
        <v>283</v>
      </c>
      <c r="E656" t="s">
        <v>1435</v>
      </c>
      <c r="F656" t="s">
        <v>1436</v>
      </c>
      <c r="G656" t="str">
        <f>"201409002580"</f>
        <v>201409002580</v>
      </c>
      <c r="H656">
        <v>803</v>
      </c>
      <c r="I656">
        <v>150</v>
      </c>
      <c r="J656">
        <v>0</v>
      </c>
      <c r="K656">
        <v>0</v>
      </c>
      <c r="L656">
        <v>200</v>
      </c>
      <c r="M656">
        <v>0</v>
      </c>
      <c r="N656">
        <v>30</v>
      </c>
      <c r="O656">
        <v>0</v>
      </c>
      <c r="P656">
        <v>0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34</v>
      </c>
      <c r="W656">
        <v>238</v>
      </c>
      <c r="X656">
        <v>0</v>
      </c>
      <c r="Z656">
        <v>0</v>
      </c>
      <c r="AA656">
        <v>0</v>
      </c>
      <c r="AB656">
        <v>0</v>
      </c>
      <c r="AC656">
        <v>0</v>
      </c>
      <c r="AD656">
        <v>1421</v>
      </c>
    </row>
    <row r="657" spans="1:30" x14ac:dyDescent="0.25">
      <c r="H657" t="s">
        <v>1437</v>
      </c>
    </row>
    <row r="658" spans="1:30" x14ac:dyDescent="0.25">
      <c r="A658">
        <v>326</v>
      </c>
      <c r="B658">
        <v>4144</v>
      </c>
      <c r="C658" t="s">
        <v>1438</v>
      </c>
      <c r="D658" t="s">
        <v>1439</v>
      </c>
      <c r="E658" t="s">
        <v>299</v>
      </c>
      <c r="F658" t="s">
        <v>1440</v>
      </c>
      <c r="G658" t="str">
        <f>"200810001064"</f>
        <v>200810001064</v>
      </c>
      <c r="H658">
        <v>803</v>
      </c>
      <c r="I658">
        <v>0</v>
      </c>
      <c r="J658">
        <v>0</v>
      </c>
      <c r="K658">
        <v>0</v>
      </c>
      <c r="L658">
        <v>0</v>
      </c>
      <c r="M658">
        <v>0</v>
      </c>
      <c r="N658">
        <v>30</v>
      </c>
      <c r="O658">
        <v>0</v>
      </c>
      <c r="P658">
        <v>0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84</v>
      </c>
      <c r="W658">
        <v>588</v>
      </c>
      <c r="X658">
        <v>0</v>
      </c>
      <c r="Z658">
        <v>0</v>
      </c>
      <c r="AA658">
        <v>0</v>
      </c>
      <c r="AB658">
        <v>0</v>
      </c>
      <c r="AC658">
        <v>0</v>
      </c>
      <c r="AD658">
        <v>1421</v>
      </c>
    </row>
    <row r="659" spans="1:30" x14ac:dyDescent="0.25">
      <c r="H659" t="s">
        <v>1441</v>
      </c>
    </row>
    <row r="660" spans="1:30" x14ac:dyDescent="0.25">
      <c r="A660">
        <v>327</v>
      </c>
      <c r="B660">
        <v>5511</v>
      </c>
      <c r="C660" t="s">
        <v>1442</v>
      </c>
      <c r="D660" t="s">
        <v>1443</v>
      </c>
      <c r="E660" t="s">
        <v>389</v>
      </c>
      <c r="F660" t="s">
        <v>1444</v>
      </c>
      <c r="G660" t="str">
        <f>"00202960"</f>
        <v>00202960</v>
      </c>
      <c r="H660">
        <v>803</v>
      </c>
      <c r="I660">
        <v>0</v>
      </c>
      <c r="J660">
        <v>0</v>
      </c>
      <c r="K660">
        <v>0</v>
      </c>
      <c r="L660">
        <v>0</v>
      </c>
      <c r="M660">
        <v>0</v>
      </c>
      <c r="N660">
        <v>30</v>
      </c>
      <c r="O660">
        <v>0</v>
      </c>
      <c r="P660">
        <v>0</v>
      </c>
      <c r="Q660">
        <v>0</v>
      </c>
      <c r="R660">
        <v>0</v>
      </c>
      <c r="S660">
        <v>0</v>
      </c>
      <c r="T660">
        <v>0</v>
      </c>
      <c r="U660">
        <v>0</v>
      </c>
      <c r="V660">
        <v>84</v>
      </c>
      <c r="W660">
        <v>588</v>
      </c>
      <c r="X660">
        <v>0</v>
      </c>
      <c r="Z660">
        <v>0</v>
      </c>
      <c r="AA660">
        <v>0</v>
      </c>
      <c r="AB660">
        <v>0</v>
      </c>
      <c r="AC660">
        <v>0</v>
      </c>
      <c r="AD660">
        <v>1421</v>
      </c>
    </row>
    <row r="661" spans="1:30" x14ac:dyDescent="0.25">
      <c r="H661" t="s">
        <v>1445</v>
      </c>
    </row>
    <row r="662" spans="1:30" x14ac:dyDescent="0.25">
      <c r="A662">
        <v>328</v>
      </c>
      <c r="B662">
        <v>139</v>
      </c>
      <c r="C662" t="s">
        <v>814</v>
      </c>
      <c r="D662" t="s">
        <v>120</v>
      </c>
      <c r="E662" t="s">
        <v>167</v>
      </c>
      <c r="F662" t="s">
        <v>1446</v>
      </c>
      <c r="G662" t="str">
        <f>"00251594"</f>
        <v>00251594</v>
      </c>
      <c r="H662" t="s">
        <v>311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50</v>
      </c>
      <c r="O662">
        <v>0</v>
      </c>
      <c r="P662">
        <v>0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84</v>
      </c>
      <c r="W662">
        <v>588</v>
      </c>
      <c r="X662">
        <v>0</v>
      </c>
      <c r="Z662">
        <v>0</v>
      </c>
      <c r="AA662">
        <v>0</v>
      </c>
      <c r="AB662">
        <v>0</v>
      </c>
      <c r="AC662">
        <v>0</v>
      </c>
      <c r="AD662" t="s">
        <v>1447</v>
      </c>
    </row>
    <row r="663" spans="1:30" x14ac:dyDescent="0.25">
      <c r="H663" t="s">
        <v>1448</v>
      </c>
    </row>
    <row r="664" spans="1:30" x14ac:dyDescent="0.25">
      <c r="A664">
        <v>329</v>
      </c>
      <c r="B664">
        <v>845</v>
      </c>
      <c r="C664" t="s">
        <v>1242</v>
      </c>
      <c r="D664" t="s">
        <v>1449</v>
      </c>
      <c r="E664" t="s">
        <v>28</v>
      </c>
      <c r="F664" t="s">
        <v>1450</v>
      </c>
      <c r="G664" t="str">
        <f>"201406007481"</f>
        <v>201406007481</v>
      </c>
      <c r="H664" t="s">
        <v>1451</v>
      </c>
      <c r="I664">
        <v>150</v>
      </c>
      <c r="J664">
        <v>0</v>
      </c>
      <c r="K664">
        <v>0</v>
      </c>
      <c r="L664">
        <v>0</v>
      </c>
      <c r="M664">
        <v>0</v>
      </c>
      <c r="N664">
        <v>70</v>
      </c>
      <c r="O664">
        <v>0</v>
      </c>
      <c r="P664">
        <v>0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48</v>
      </c>
      <c r="W664">
        <v>336</v>
      </c>
      <c r="X664">
        <v>0</v>
      </c>
      <c r="Z664">
        <v>0</v>
      </c>
      <c r="AA664">
        <v>0</v>
      </c>
      <c r="AB664">
        <v>0</v>
      </c>
      <c r="AC664">
        <v>0</v>
      </c>
      <c r="AD664" t="s">
        <v>1452</v>
      </c>
    </row>
    <row r="665" spans="1:30" x14ac:dyDescent="0.25">
      <c r="H665" t="s">
        <v>1453</v>
      </c>
    </row>
    <row r="666" spans="1:30" x14ac:dyDescent="0.25">
      <c r="A666">
        <v>330</v>
      </c>
      <c r="B666">
        <v>2407</v>
      </c>
      <c r="C666" t="s">
        <v>1454</v>
      </c>
      <c r="D666" t="s">
        <v>1185</v>
      </c>
      <c r="E666" t="s">
        <v>142</v>
      </c>
      <c r="F666" t="s">
        <v>1455</v>
      </c>
      <c r="G666" t="str">
        <f>"00149190"</f>
        <v>00149190</v>
      </c>
      <c r="H666">
        <v>748</v>
      </c>
      <c r="I666">
        <v>0</v>
      </c>
      <c r="J666">
        <v>0</v>
      </c>
      <c r="K666">
        <v>0</v>
      </c>
      <c r="L666">
        <v>200</v>
      </c>
      <c r="M666">
        <v>0</v>
      </c>
      <c r="N666">
        <v>30</v>
      </c>
      <c r="O666">
        <v>0</v>
      </c>
      <c r="P666">
        <v>0</v>
      </c>
      <c r="Q666">
        <v>0</v>
      </c>
      <c r="R666">
        <v>0</v>
      </c>
      <c r="S666">
        <v>0</v>
      </c>
      <c r="T666">
        <v>0</v>
      </c>
      <c r="U666">
        <v>0</v>
      </c>
      <c r="V666">
        <v>63</v>
      </c>
      <c r="W666">
        <v>441</v>
      </c>
      <c r="X666">
        <v>0</v>
      </c>
      <c r="Z666">
        <v>0</v>
      </c>
      <c r="AA666">
        <v>0</v>
      </c>
      <c r="AB666">
        <v>0</v>
      </c>
      <c r="AC666">
        <v>0</v>
      </c>
      <c r="AD666">
        <v>1419</v>
      </c>
    </row>
    <row r="667" spans="1:30" x14ac:dyDescent="0.25">
      <c r="H667" t="s">
        <v>1456</v>
      </c>
    </row>
    <row r="668" spans="1:30" x14ac:dyDescent="0.25">
      <c r="A668">
        <v>331</v>
      </c>
      <c r="B668">
        <v>5954</v>
      </c>
      <c r="C668" t="s">
        <v>1457</v>
      </c>
      <c r="D668" t="s">
        <v>1458</v>
      </c>
      <c r="E668" t="s">
        <v>1459</v>
      </c>
      <c r="F668" t="s">
        <v>1460</v>
      </c>
      <c r="G668" t="str">
        <f>"00362469"</f>
        <v>00362469</v>
      </c>
      <c r="H668" t="s">
        <v>476</v>
      </c>
      <c r="I668">
        <v>0</v>
      </c>
      <c r="J668">
        <v>0</v>
      </c>
      <c r="K668">
        <v>0</v>
      </c>
      <c r="L668">
        <v>200</v>
      </c>
      <c r="M668">
        <v>0</v>
      </c>
      <c r="N668">
        <v>70</v>
      </c>
      <c r="O668">
        <v>0</v>
      </c>
      <c r="P668">
        <v>0</v>
      </c>
      <c r="Q668">
        <v>0</v>
      </c>
      <c r="R668">
        <v>0</v>
      </c>
      <c r="S668">
        <v>0</v>
      </c>
      <c r="T668">
        <v>0</v>
      </c>
      <c r="U668">
        <v>0</v>
      </c>
      <c r="V668">
        <v>1</v>
      </c>
      <c r="W668">
        <v>7</v>
      </c>
      <c r="X668">
        <v>0</v>
      </c>
      <c r="Z668">
        <v>0</v>
      </c>
      <c r="AA668">
        <v>0</v>
      </c>
      <c r="AB668">
        <v>24</v>
      </c>
      <c r="AC668">
        <v>408</v>
      </c>
      <c r="AD668" t="s">
        <v>1461</v>
      </c>
    </row>
    <row r="669" spans="1:30" x14ac:dyDescent="0.25">
      <c r="H669" t="s">
        <v>1462</v>
      </c>
    </row>
    <row r="670" spans="1:30" x14ac:dyDescent="0.25">
      <c r="A670">
        <v>332</v>
      </c>
      <c r="B670">
        <v>1464</v>
      </c>
      <c r="C670" t="s">
        <v>1463</v>
      </c>
      <c r="D670" t="s">
        <v>44</v>
      </c>
      <c r="E670" t="s">
        <v>107</v>
      </c>
      <c r="F670" t="s">
        <v>1464</v>
      </c>
      <c r="G670" t="str">
        <f>"201402010702"</f>
        <v>201402010702</v>
      </c>
      <c r="H670" t="s">
        <v>1465</v>
      </c>
      <c r="I670">
        <v>0</v>
      </c>
      <c r="J670">
        <v>0</v>
      </c>
      <c r="K670">
        <v>0</v>
      </c>
      <c r="L670">
        <v>0</v>
      </c>
      <c r="M670">
        <v>100</v>
      </c>
      <c r="N670">
        <v>0</v>
      </c>
      <c r="O670">
        <v>0</v>
      </c>
      <c r="P670">
        <v>0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84</v>
      </c>
      <c r="W670">
        <v>588</v>
      </c>
      <c r="X670">
        <v>0</v>
      </c>
      <c r="Z670">
        <v>0</v>
      </c>
      <c r="AA670">
        <v>0</v>
      </c>
      <c r="AB670">
        <v>0</v>
      </c>
      <c r="AC670">
        <v>0</v>
      </c>
      <c r="AD670" t="s">
        <v>1466</v>
      </c>
    </row>
    <row r="671" spans="1:30" x14ac:dyDescent="0.25">
      <c r="H671" t="s">
        <v>1467</v>
      </c>
    </row>
    <row r="672" spans="1:30" x14ac:dyDescent="0.25">
      <c r="A672">
        <v>333</v>
      </c>
      <c r="B672">
        <v>2732</v>
      </c>
      <c r="C672" t="s">
        <v>1468</v>
      </c>
      <c r="D672" t="s">
        <v>1469</v>
      </c>
      <c r="E672" t="s">
        <v>120</v>
      </c>
      <c r="F672" t="s">
        <v>1470</v>
      </c>
      <c r="G672" t="str">
        <f>"00200334"</f>
        <v>00200334</v>
      </c>
      <c r="H672">
        <v>759</v>
      </c>
      <c r="I672">
        <v>0</v>
      </c>
      <c r="J672">
        <v>0</v>
      </c>
      <c r="K672">
        <v>0</v>
      </c>
      <c r="L672">
        <v>0</v>
      </c>
      <c r="M672">
        <v>0</v>
      </c>
      <c r="N672">
        <v>70</v>
      </c>
      <c r="O672">
        <v>0</v>
      </c>
      <c r="P672">
        <v>0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84</v>
      </c>
      <c r="W672">
        <v>588</v>
      </c>
      <c r="X672">
        <v>0</v>
      </c>
      <c r="Z672">
        <v>0</v>
      </c>
      <c r="AA672">
        <v>0</v>
      </c>
      <c r="AB672">
        <v>0</v>
      </c>
      <c r="AC672">
        <v>0</v>
      </c>
      <c r="AD672">
        <v>1417</v>
      </c>
    </row>
    <row r="673" spans="1:30" x14ac:dyDescent="0.25">
      <c r="H673" t="s">
        <v>1471</v>
      </c>
    </row>
    <row r="674" spans="1:30" x14ac:dyDescent="0.25">
      <c r="A674">
        <v>334</v>
      </c>
      <c r="B674">
        <v>2363</v>
      </c>
      <c r="C674" t="s">
        <v>1472</v>
      </c>
      <c r="D674" t="s">
        <v>1473</v>
      </c>
      <c r="E674" t="s">
        <v>107</v>
      </c>
      <c r="F674" t="s">
        <v>1474</v>
      </c>
      <c r="G674" t="str">
        <f>"200802007889"</f>
        <v>200802007889</v>
      </c>
      <c r="H674">
        <v>759</v>
      </c>
      <c r="I674">
        <v>0</v>
      </c>
      <c r="J674">
        <v>0</v>
      </c>
      <c r="K674">
        <v>0</v>
      </c>
      <c r="L674">
        <v>0</v>
      </c>
      <c r="M674">
        <v>0</v>
      </c>
      <c r="N674">
        <v>70</v>
      </c>
      <c r="O674">
        <v>0</v>
      </c>
      <c r="P674">
        <v>0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84</v>
      </c>
      <c r="W674">
        <v>588</v>
      </c>
      <c r="X674">
        <v>0</v>
      </c>
      <c r="Z674">
        <v>0</v>
      </c>
      <c r="AA674">
        <v>0</v>
      </c>
      <c r="AB674">
        <v>0</v>
      </c>
      <c r="AC674">
        <v>0</v>
      </c>
      <c r="AD674">
        <v>1417</v>
      </c>
    </row>
    <row r="675" spans="1:30" x14ac:dyDescent="0.25">
      <c r="H675" t="s">
        <v>1475</v>
      </c>
    </row>
    <row r="676" spans="1:30" x14ac:dyDescent="0.25">
      <c r="A676">
        <v>335</v>
      </c>
      <c r="B676">
        <v>6226</v>
      </c>
      <c r="C676" t="s">
        <v>1476</v>
      </c>
      <c r="D676" t="s">
        <v>95</v>
      </c>
      <c r="E676" t="s">
        <v>64</v>
      </c>
      <c r="F676" t="s">
        <v>1477</v>
      </c>
      <c r="G676" t="str">
        <f>"200805000679"</f>
        <v>200805000679</v>
      </c>
      <c r="H676">
        <v>759</v>
      </c>
      <c r="I676">
        <v>0</v>
      </c>
      <c r="J676">
        <v>0</v>
      </c>
      <c r="K676">
        <v>0</v>
      </c>
      <c r="L676">
        <v>0</v>
      </c>
      <c r="M676">
        <v>0</v>
      </c>
      <c r="N676">
        <v>70</v>
      </c>
      <c r="O676">
        <v>0</v>
      </c>
      <c r="P676">
        <v>0</v>
      </c>
      <c r="Q676">
        <v>0</v>
      </c>
      <c r="R676">
        <v>0</v>
      </c>
      <c r="S676">
        <v>0</v>
      </c>
      <c r="T676">
        <v>0</v>
      </c>
      <c r="U676">
        <v>0</v>
      </c>
      <c r="V676">
        <v>84</v>
      </c>
      <c r="W676">
        <v>588</v>
      </c>
      <c r="X676">
        <v>0</v>
      </c>
      <c r="Z676">
        <v>0</v>
      </c>
      <c r="AA676">
        <v>0</v>
      </c>
      <c r="AB676">
        <v>0</v>
      </c>
      <c r="AC676">
        <v>0</v>
      </c>
      <c r="AD676">
        <v>1417</v>
      </c>
    </row>
    <row r="677" spans="1:30" x14ac:dyDescent="0.25">
      <c r="H677" t="s">
        <v>1478</v>
      </c>
    </row>
    <row r="678" spans="1:30" x14ac:dyDescent="0.25">
      <c r="A678">
        <v>336</v>
      </c>
      <c r="B678">
        <v>3097</v>
      </c>
      <c r="C678" t="s">
        <v>1479</v>
      </c>
      <c r="D678" t="s">
        <v>1480</v>
      </c>
      <c r="E678" t="s">
        <v>32</v>
      </c>
      <c r="F678" t="s">
        <v>1481</v>
      </c>
      <c r="G678" t="str">
        <f>"200905000437"</f>
        <v>200905000437</v>
      </c>
      <c r="H678">
        <v>748</v>
      </c>
      <c r="I678">
        <v>0</v>
      </c>
      <c r="J678">
        <v>0</v>
      </c>
      <c r="K678">
        <v>0</v>
      </c>
      <c r="L678">
        <v>0</v>
      </c>
      <c r="M678">
        <v>0</v>
      </c>
      <c r="N678">
        <v>30</v>
      </c>
      <c r="O678">
        <v>0</v>
      </c>
      <c r="P678">
        <v>50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84</v>
      </c>
      <c r="W678">
        <v>588</v>
      </c>
      <c r="X678">
        <v>0</v>
      </c>
      <c r="Z678">
        <v>1</v>
      </c>
      <c r="AA678">
        <v>0</v>
      </c>
      <c r="AB678">
        <v>0</v>
      </c>
      <c r="AC678">
        <v>0</v>
      </c>
      <c r="AD678">
        <v>1416</v>
      </c>
    </row>
    <row r="679" spans="1:30" x14ac:dyDescent="0.25">
      <c r="H679" t="s">
        <v>1482</v>
      </c>
    </row>
    <row r="680" spans="1:30" x14ac:dyDescent="0.25">
      <c r="A680">
        <v>337</v>
      </c>
      <c r="B680">
        <v>3473</v>
      </c>
      <c r="C680" t="s">
        <v>1483</v>
      </c>
      <c r="D680" t="s">
        <v>218</v>
      </c>
      <c r="E680" t="s">
        <v>28</v>
      </c>
      <c r="F680" t="s">
        <v>1484</v>
      </c>
      <c r="G680" t="str">
        <f>"201506001198"</f>
        <v>201506001198</v>
      </c>
      <c r="H680">
        <v>748</v>
      </c>
      <c r="I680">
        <v>0</v>
      </c>
      <c r="J680">
        <v>0</v>
      </c>
      <c r="K680">
        <v>0</v>
      </c>
      <c r="L680">
        <v>0</v>
      </c>
      <c r="M680">
        <v>0</v>
      </c>
      <c r="N680">
        <v>30</v>
      </c>
      <c r="O680">
        <v>0</v>
      </c>
      <c r="P680">
        <v>50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84</v>
      </c>
      <c r="W680">
        <v>588</v>
      </c>
      <c r="X680">
        <v>0</v>
      </c>
      <c r="Z680">
        <v>0</v>
      </c>
      <c r="AA680">
        <v>0</v>
      </c>
      <c r="AB680">
        <v>0</v>
      </c>
      <c r="AC680">
        <v>0</v>
      </c>
      <c r="AD680">
        <v>1416</v>
      </c>
    </row>
    <row r="681" spans="1:30" x14ac:dyDescent="0.25">
      <c r="H681" t="s">
        <v>1485</v>
      </c>
    </row>
    <row r="682" spans="1:30" x14ac:dyDescent="0.25">
      <c r="A682">
        <v>338</v>
      </c>
      <c r="B682">
        <v>4737</v>
      </c>
      <c r="C682" t="s">
        <v>1486</v>
      </c>
      <c r="D682" t="s">
        <v>1237</v>
      </c>
      <c r="E682" t="s">
        <v>64</v>
      </c>
      <c r="F682" t="s">
        <v>1487</v>
      </c>
      <c r="G682" t="str">
        <f>"00148193"</f>
        <v>00148193</v>
      </c>
      <c r="H682">
        <v>748</v>
      </c>
      <c r="I682">
        <v>0</v>
      </c>
      <c r="J682">
        <v>0</v>
      </c>
      <c r="K682">
        <v>0</v>
      </c>
      <c r="L682">
        <v>0</v>
      </c>
      <c r="M682">
        <v>0</v>
      </c>
      <c r="N682">
        <v>50</v>
      </c>
      <c r="O682">
        <v>0</v>
      </c>
      <c r="P682">
        <v>0</v>
      </c>
      <c r="Q682">
        <v>30</v>
      </c>
      <c r="R682">
        <v>0</v>
      </c>
      <c r="S682">
        <v>0</v>
      </c>
      <c r="T682">
        <v>0</v>
      </c>
      <c r="U682">
        <v>0</v>
      </c>
      <c r="V682">
        <v>84</v>
      </c>
      <c r="W682">
        <v>588</v>
      </c>
      <c r="X682">
        <v>0</v>
      </c>
      <c r="Z682">
        <v>0</v>
      </c>
      <c r="AA682">
        <v>0</v>
      </c>
      <c r="AB682">
        <v>0</v>
      </c>
      <c r="AC682">
        <v>0</v>
      </c>
      <c r="AD682">
        <v>1416</v>
      </c>
    </row>
    <row r="683" spans="1:30" x14ac:dyDescent="0.25">
      <c r="H683" t="s">
        <v>1488</v>
      </c>
    </row>
    <row r="684" spans="1:30" x14ac:dyDescent="0.25">
      <c r="A684">
        <v>339</v>
      </c>
      <c r="B684">
        <v>3000</v>
      </c>
      <c r="C684" t="s">
        <v>1489</v>
      </c>
      <c r="D684" t="s">
        <v>1490</v>
      </c>
      <c r="E684" t="s">
        <v>102</v>
      </c>
      <c r="F684" t="s">
        <v>1491</v>
      </c>
      <c r="G684" t="str">
        <f>"201406010136"</f>
        <v>201406010136</v>
      </c>
      <c r="H684">
        <v>748</v>
      </c>
      <c r="I684">
        <v>0</v>
      </c>
      <c r="J684">
        <v>0</v>
      </c>
      <c r="K684">
        <v>0</v>
      </c>
      <c r="L684">
        <v>0</v>
      </c>
      <c r="M684">
        <v>0</v>
      </c>
      <c r="N684">
        <v>30</v>
      </c>
      <c r="O684">
        <v>0</v>
      </c>
      <c r="P684">
        <v>0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79</v>
      </c>
      <c r="W684">
        <v>553</v>
      </c>
      <c r="X684">
        <v>0</v>
      </c>
      <c r="Z684">
        <v>0</v>
      </c>
      <c r="AA684">
        <v>0</v>
      </c>
      <c r="AB684">
        <v>5</v>
      </c>
      <c r="AC684">
        <v>85</v>
      </c>
      <c r="AD684">
        <v>1416</v>
      </c>
    </row>
    <row r="685" spans="1:30" x14ac:dyDescent="0.25">
      <c r="H685" t="s">
        <v>1492</v>
      </c>
    </row>
    <row r="686" spans="1:30" x14ac:dyDescent="0.25">
      <c r="A686">
        <v>340</v>
      </c>
      <c r="B686">
        <v>1377</v>
      </c>
      <c r="C686" t="s">
        <v>1493</v>
      </c>
      <c r="D686" t="s">
        <v>218</v>
      </c>
      <c r="E686" t="s">
        <v>254</v>
      </c>
      <c r="F686" t="s">
        <v>1494</v>
      </c>
      <c r="G686" t="str">
        <f>"00309732"</f>
        <v>00309732</v>
      </c>
      <c r="H686" t="s">
        <v>162</v>
      </c>
      <c r="I686">
        <v>0</v>
      </c>
      <c r="J686">
        <v>0</v>
      </c>
      <c r="K686">
        <v>0</v>
      </c>
      <c r="L686">
        <v>0</v>
      </c>
      <c r="M686">
        <v>0</v>
      </c>
      <c r="N686">
        <v>30</v>
      </c>
      <c r="O686">
        <v>0</v>
      </c>
      <c r="P686">
        <v>0</v>
      </c>
      <c r="Q686">
        <v>0</v>
      </c>
      <c r="R686">
        <v>0</v>
      </c>
      <c r="S686">
        <v>0</v>
      </c>
      <c r="T686">
        <v>0</v>
      </c>
      <c r="U686">
        <v>0</v>
      </c>
      <c r="V686">
        <v>84</v>
      </c>
      <c r="W686">
        <v>588</v>
      </c>
      <c r="X686">
        <v>0</v>
      </c>
      <c r="Z686">
        <v>0</v>
      </c>
      <c r="AA686">
        <v>0</v>
      </c>
      <c r="AB686">
        <v>0</v>
      </c>
      <c r="AC686">
        <v>0</v>
      </c>
      <c r="AD686" t="s">
        <v>1495</v>
      </c>
    </row>
    <row r="687" spans="1:30" x14ac:dyDescent="0.25">
      <c r="H687" t="s">
        <v>1496</v>
      </c>
    </row>
    <row r="688" spans="1:30" x14ac:dyDescent="0.25">
      <c r="A688">
        <v>341</v>
      </c>
      <c r="B688">
        <v>4731</v>
      </c>
      <c r="C688" t="s">
        <v>1497</v>
      </c>
      <c r="D688" t="s">
        <v>393</v>
      </c>
      <c r="E688" t="s">
        <v>40</v>
      </c>
      <c r="F688" t="s">
        <v>1498</v>
      </c>
      <c r="G688" t="str">
        <f>"200803000728"</f>
        <v>200803000728</v>
      </c>
      <c r="H688" t="s">
        <v>895</v>
      </c>
      <c r="I688">
        <v>0</v>
      </c>
      <c r="J688">
        <v>0</v>
      </c>
      <c r="K688">
        <v>0</v>
      </c>
      <c r="L688">
        <v>0</v>
      </c>
      <c r="M688">
        <v>0</v>
      </c>
      <c r="N688">
        <v>70</v>
      </c>
      <c r="O688">
        <v>0</v>
      </c>
      <c r="P688">
        <v>0</v>
      </c>
      <c r="Q688">
        <v>0</v>
      </c>
      <c r="R688">
        <v>0</v>
      </c>
      <c r="S688">
        <v>0</v>
      </c>
      <c r="T688">
        <v>0</v>
      </c>
      <c r="U688">
        <v>0</v>
      </c>
      <c r="V688">
        <v>81</v>
      </c>
      <c r="W688">
        <v>567</v>
      </c>
      <c r="X688">
        <v>0</v>
      </c>
      <c r="Z688">
        <v>1</v>
      </c>
      <c r="AA688">
        <v>0</v>
      </c>
      <c r="AB688">
        <v>0</v>
      </c>
      <c r="AC688">
        <v>0</v>
      </c>
      <c r="AD688" t="s">
        <v>1499</v>
      </c>
    </row>
    <row r="689" spans="1:30" x14ac:dyDescent="0.25">
      <c r="H689" t="s">
        <v>1500</v>
      </c>
    </row>
    <row r="690" spans="1:30" x14ac:dyDescent="0.25">
      <c r="A690">
        <v>342</v>
      </c>
      <c r="B690">
        <v>973</v>
      </c>
      <c r="C690" t="s">
        <v>1501</v>
      </c>
      <c r="D690" t="s">
        <v>367</v>
      </c>
      <c r="E690" t="s">
        <v>32</v>
      </c>
      <c r="F690" t="s">
        <v>1502</v>
      </c>
      <c r="G690" t="str">
        <f>"201309000019"</f>
        <v>201309000019</v>
      </c>
      <c r="H690" t="s">
        <v>52</v>
      </c>
      <c r="I690">
        <v>0</v>
      </c>
      <c r="J690">
        <v>0</v>
      </c>
      <c r="K690">
        <v>0</v>
      </c>
      <c r="L690">
        <v>200</v>
      </c>
      <c r="M690">
        <v>0</v>
      </c>
      <c r="N690">
        <v>50</v>
      </c>
      <c r="O690">
        <v>0</v>
      </c>
      <c r="P690">
        <v>0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54</v>
      </c>
      <c r="W690">
        <v>378</v>
      </c>
      <c r="X690">
        <v>0</v>
      </c>
      <c r="Z690">
        <v>0</v>
      </c>
      <c r="AA690">
        <v>0</v>
      </c>
      <c r="AB690">
        <v>0</v>
      </c>
      <c r="AC690">
        <v>0</v>
      </c>
      <c r="AD690" t="s">
        <v>1503</v>
      </c>
    </row>
    <row r="691" spans="1:30" x14ac:dyDescent="0.25">
      <c r="H691" t="s">
        <v>1504</v>
      </c>
    </row>
    <row r="692" spans="1:30" x14ac:dyDescent="0.25">
      <c r="A692">
        <v>343</v>
      </c>
      <c r="B692">
        <v>4268</v>
      </c>
      <c r="C692" t="s">
        <v>1505</v>
      </c>
      <c r="D692" t="s">
        <v>1506</v>
      </c>
      <c r="E692" t="s">
        <v>1507</v>
      </c>
      <c r="F692" t="s">
        <v>1508</v>
      </c>
      <c r="G692" t="str">
        <f>"00344757"</f>
        <v>00344757</v>
      </c>
      <c r="H692">
        <v>715</v>
      </c>
      <c r="I692">
        <v>0</v>
      </c>
      <c r="J692">
        <v>0</v>
      </c>
      <c r="K692">
        <v>0</v>
      </c>
      <c r="L692">
        <v>0</v>
      </c>
      <c r="M692">
        <v>0</v>
      </c>
      <c r="N692">
        <v>30</v>
      </c>
      <c r="O692">
        <v>0</v>
      </c>
      <c r="P692">
        <v>0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37</v>
      </c>
      <c r="W692">
        <v>259</v>
      </c>
      <c r="X692">
        <v>0</v>
      </c>
      <c r="Z692">
        <v>0</v>
      </c>
      <c r="AA692">
        <v>0</v>
      </c>
      <c r="AB692">
        <v>24</v>
      </c>
      <c r="AC692">
        <v>408</v>
      </c>
      <c r="AD692">
        <v>1412</v>
      </c>
    </row>
    <row r="693" spans="1:30" x14ac:dyDescent="0.25">
      <c r="H693" t="s">
        <v>1509</v>
      </c>
    </row>
    <row r="694" spans="1:30" x14ac:dyDescent="0.25">
      <c r="A694">
        <v>344</v>
      </c>
      <c r="B694">
        <v>241</v>
      </c>
      <c r="C694" t="s">
        <v>1510</v>
      </c>
      <c r="D694" t="s">
        <v>490</v>
      </c>
      <c r="E694" t="s">
        <v>76</v>
      </c>
      <c r="F694" t="s">
        <v>1511</v>
      </c>
      <c r="G694" t="str">
        <f>"200801006740"</f>
        <v>200801006740</v>
      </c>
      <c r="H694">
        <v>693</v>
      </c>
      <c r="I694">
        <v>0</v>
      </c>
      <c r="J694">
        <v>0</v>
      </c>
      <c r="K694">
        <v>0</v>
      </c>
      <c r="L694">
        <v>0</v>
      </c>
      <c r="M694">
        <v>0</v>
      </c>
      <c r="N694">
        <v>50</v>
      </c>
      <c r="O694">
        <v>0</v>
      </c>
      <c r="P694">
        <v>0</v>
      </c>
      <c r="Q694">
        <v>0</v>
      </c>
      <c r="R694">
        <v>0</v>
      </c>
      <c r="S694">
        <v>0</v>
      </c>
      <c r="T694">
        <v>0</v>
      </c>
      <c r="U694">
        <v>0</v>
      </c>
      <c r="V694">
        <v>76</v>
      </c>
      <c r="W694">
        <v>532</v>
      </c>
      <c r="X694">
        <v>0</v>
      </c>
      <c r="Z694">
        <v>0</v>
      </c>
      <c r="AA694">
        <v>0</v>
      </c>
      <c r="AB694">
        <v>8</v>
      </c>
      <c r="AC694">
        <v>136</v>
      </c>
      <c r="AD694">
        <v>1411</v>
      </c>
    </row>
    <row r="695" spans="1:30" x14ac:dyDescent="0.25">
      <c r="H695" t="s">
        <v>1512</v>
      </c>
    </row>
    <row r="696" spans="1:30" x14ac:dyDescent="0.25">
      <c r="A696">
        <v>345</v>
      </c>
      <c r="B696">
        <v>5304</v>
      </c>
      <c r="C696" t="s">
        <v>1513</v>
      </c>
      <c r="D696" t="s">
        <v>167</v>
      </c>
      <c r="E696" t="s">
        <v>120</v>
      </c>
      <c r="F696" t="s">
        <v>1514</v>
      </c>
      <c r="G696" t="str">
        <f>"00359255"</f>
        <v>00359255</v>
      </c>
      <c r="H696" t="s">
        <v>1007</v>
      </c>
      <c r="I696">
        <v>0</v>
      </c>
      <c r="J696">
        <v>0</v>
      </c>
      <c r="K696">
        <v>0</v>
      </c>
      <c r="L696">
        <v>0</v>
      </c>
      <c r="M696">
        <v>0</v>
      </c>
      <c r="N696">
        <v>30</v>
      </c>
      <c r="O696">
        <v>0</v>
      </c>
      <c r="P696">
        <v>0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45</v>
      </c>
      <c r="W696">
        <v>315</v>
      </c>
      <c r="X696">
        <v>0</v>
      </c>
      <c r="Z696">
        <v>0</v>
      </c>
      <c r="AA696">
        <v>0</v>
      </c>
      <c r="AB696">
        <v>24</v>
      </c>
      <c r="AC696">
        <v>408</v>
      </c>
      <c r="AD696" t="s">
        <v>1515</v>
      </c>
    </row>
    <row r="697" spans="1:30" x14ac:dyDescent="0.25">
      <c r="H697" t="s">
        <v>1516</v>
      </c>
    </row>
    <row r="698" spans="1:30" x14ac:dyDescent="0.25">
      <c r="A698">
        <v>346</v>
      </c>
      <c r="B698">
        <v>4143</v>
      </c>
      <c r="C698" t="s">
        <v>1517</v>
      </c>
      <c r="D698" t="s">
        <v>629</v>
      </c>
      <c r="E698" t="s">
        <v>299</v>
      </c>
      <c r="F698" t="s">
        <v>1518</v>
      </c>
      <c r="G698" t="str">
        <f>"00343661"</f>
        <v>00343661</v>
      </c>
      <c r="H698">
        <v>792</v>
      </c>
      <c r="I698">
        <v>0</v>
      </c>
      <c r="J698">
        <v>0</v>
      </c>
      <c r="K698">
        <v>0</v>
      </c>
      <c r="L698">
        <v>0</v>
      </c>
      <c r="M698">
        <v>0</v>
      </c>
      <c r="N698">
        <v>30</v>
      </c>
      <c r="O698">
        <v>0</v>
      </c>
      <c r="P698">
        <v>0</v>
      </c>
      <c r="Q698">
        <v>0</v>
      </c>
      <c r="R698">
        <v>0</v>
      </c>
      <c r="S698">
        <v>0</v>
      </c>
      <c r="T698">
        <v>0</v>
      </c>
      <c r="U698">
        <v>0</v>
      </c>
      <c r="V698">
        <v>84</v>
      </c>
      <c r="W698">
        <v>588</v>
      </c>
      <c r="X698">
        <v>0</v>
      </c>
      <c r="Z698">
        <v>2</v>
      </c>
      <c r="AA698">
        <v>0</v>
      </c>
      <c r="AB698">
        <v>0</v>
      </c>
      <c r="AC698">
        <v>0</v>
      </c>
      <c r="AD698">
        <v>1410</v>
      </c>
    </row>
    <row r="699" spans="1:30" x14ac:dyDescent="0.25">
      <c r="H699" t="s">
        <v>1519</v>
      </c>
    </row>
    <row r="700" spans="1:30" x14ac:dyDescent="0.25">
      <c r="A700">
        <v>347</v>
      </c>
      <c r="B700">
        <v>286</v>
      </c>
      <c r="C700" t="s">
        <v>1520</v>
      </c>
      <c r="D700" t="s">
        <v>218</v>
      </c>
      <c r="E700" t="s">
        <v>32</v>
      </c>
      <c r="F700" t="s">
        <v>1521</v>
      </c>
      <c r="G700" t="str">
        <f>"201406003418"</f>
        <v>201406003418</v>
      </c>
      <c r="H700">
        <v>770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50</v>
      </c>
      <c r="O700">
        <v>0</v>
      </c>
      <c r="P700">
        <v>0</v>
      </c>
      <c r="Q700">
        <v>0</v>
      </c>
      <c r="R700">
        <v>0</v>
      </c>
      <c r="S700">
        <v>0</v>
      </c>
      <c r="T700">
        <v>0</v>
      </c>
      <c r="U700">
        <v>0</v>
      </c>
      <c r="V700">
        <v>84</v>
      </c>
      <c r="W700">
        <v>588</v>
      </c>
      <c r="X700">
        <v>0</v>
      </c>
      <c r="Z700">
        <v>0</v>
      </c>
      <c r="AA700">
        <v>0</v>
      </c>
      <c r="AB700">
        <v>0</v>
      </c>
      <c r="AC700">
        <v>0</v>
      </c>
      <c r="AD700">
        <v>1408</v>
      </c>
    </row>
    <row r="701" spans="1:30" x14ac:dyDescent="0.25">
      <c r="H701" t="s">
        <v>1522</v>
      </c>
    </row>
    <row r="702" spans="1:30" x14ac:dyDescent="0.25">
      <c r="A702">
        <v>348</v>
      </c>
      <c r="B702">
        <v>1706</v>
      </c>
      <c r="C702" t="s">
        <v>1523</v>
      </c>
      <c r="D702" t="s">
        <v>283</v>
      </c>
      <c r="E702" t="s">
        <v>1524</v>
      </c>
      <c r="F702" t="s">
        <v>1525</v>
      </c>
      <c r="G702" t="str">
        <f>"200802000141"</f>
        <v>200802000141</v>
      </c>
      <c r="H702" t="s">
        <v>144</v>
      </c>
      <c r="I702">
        <v>0</v>
      </c>
      <c r="J702">
        <v>0</v>
      </c>
      <c r="K702">
        <v>0</v>
      </c>
      <c r="L702">
        <v>0</v>
      </c>
      <c r="M702">
        <v>0</v>
      </c>
      <c r="N702">
        <v>70</v>
      </c>
      <c r="O702">
        <v>0</v>
      </c>
      <c r="P702">
        <v>30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84</v>
      </c>
      <c r="W702">
        <v>588</v>
      </c>
      <c r="X702">
        <v>0</v>
      </c>
      <c r="Z702">
        <v>0</v>
      </c>
      <c r="AA702">
        <v>0</v>
      </c>
      <c r="AB702">
        <v>0</v>
      </c>
      <c r="AC702">
        <v>0</v>
      </c>
      <c r="AD702" t="s">
        <v>1526</v>
      </c>
    </row>
    <row r="703" spans="1:30" x14ac:dyDescent="0.25">
      <c r="H703" t="s">
        <v>1527</v>
      </c>
    </row>
    <row r="704" spans="1:30" x14ac:dyDescent="0.25">
      <c r="A704">
        <v>349</v>
      </c>
      <c r="B704">
        <v>3977</v>
      </c>
      <c r="C704" t="s">
        <v>1528</v>
      </c>
      <c r="D704" t="s">
        <v>490</v>
      </c>
      <c r="E704" t="s">
        <v>32</v>
      </c>
      <c r="F704" t="s">
        <v>1529</v>
      </c>
      <c r="G704" t="str">
        <f>"00146383"</f>
        <v>00146383</v>
      </c>
      <c r="H704" t="s">
        <v>144</v>
      </c>
      <c r="I704">
        <v>0</v>
      </c>
      <c r="J704">
        <v>0</v>
      </c>
      <c r="K704">
        <v>0</v>
      </c>
      <c r="L704">
        <v>0</v>
      </c>
      <c r="M704">
        <v>0</v>
      </c>
      <c r="N704">
        <v>70</v>
      </c>
      <c r="O704">
        <v>0</v>
      </c>
      <c r="P704">
        <v>30</v>
      </c>
      <c r="Q704">
        <v>0</v>
      </c>
      <c r="R704">
        <v>0</v>
      </c>
      <c r="S704">
        <v>0</v>
      </c>
      <c r="T704">
        <v>0</v>
      </c>
      <c r="U704">
        <v>0</v>
      </c>
      <c r="V704">
        <v>84</v>
      </c>
      <c r="W704">
        <v>588</v>
      </c>
      <c r="X704">
        <v>0</v>
      </c>
      <c r="Z704">
        <v>2</v>
      </c>
      <c r="AA704">
        <v>0</v>
      </c>
      <c r="AB704">
        <v>0</v>
      </c>
      <c r="AC704">
        <v>0</v>
      </c>
      <c r="AD704" t="s">
        <v>1526</v>
      </c>
    </row>
    <row r="705" spans="1:30" x14ac:dyDescent="0.25">
      <c r="H705" t="s">
        <v>1530</v>
      </c>
    </row>
    <row r="706" spans="1:30" x14ac:dyDescent="0.25">
      <c r="A706">
        <v>350</v>
      </c>
      <c r="B706">
        <v>4093</v>
      </c>
      <c r="C706" t="s">
        <v>1531</v>
      </c>
      <c r="D706" t="s">
        <v>1185</v>
      </c>
      <c r="E706" t="s">
        <v>28</v>
      </c>
      <c r="F706" t="s">
        <v>1532</v>
      </c>
      <c r="G706" t="str">
        <f>"00013280"</f>
        <v>00013280</v>
      </c>
      <c r="H706" t="s">
        <v>1533</v>
      </c>
      <c r="I706">
        <v>0</v>
      </c>
      <c r="J706">
        <v>0</v>
      </c>
      <c r="K706">
        <v>0</v>
      </c>
      <c r="L706">
        <v>0</v>
      </c>
      <c r="M706">
        <v>0</v>
      </c>
      <c r="N706">
        <v>70</v>
      </c>
      <c r="O706">
        <v>0</v>
      </c>
      <c r="P706">
        <v>0</v>
      </c>
      <c r="Q706">
        <v>0</v>
      </c>
      <c r="R706">
        <v>0</v>
      </c>
      <c r="S706">
        <v>0</v>
      </c>
      <c r="T706">
        <v>0</v>
      </c>
      <c r="U706">
        <v>0</v>
      </c>
      <c r="V706">
        <v>84</v>
      </c>
      <c r="W706">
        <v>588</v>
      </c>
      <c r="X706">
        <v>0</v>
      </c>
      <c r="Z706">
        <v>0</v>
      </c>
      <c r="AA706">
        <v>0</v>
      </c>
      <c r="AB706">
        <v>0</v>
      </c>
      <c r="AC706">
        <v>0</v>
      </c>
      <c r="AD706" t="s">
        <v>1534</v>
      </c>
    </row>
    <row r="707" spans="1:30" x14ac:dyDescent="0.25">
      <c r="H707" t="s">
        <v>1327</v>
      </c>
    </row>
    <row r="708" spans="1:30" x14ac:dyDescent="0.25">
      <c r="A708">
        <v>351</v>
      </c>
      <c r="B708">
        <v>242</v>
      </c>
      <c r="C708" t="s">
        <v>1535</v>
      </c>
      <c r="D708" t="s">
        <v>135</v>
      </c>
      <c r="E708" t="s">
        <v>50</v>
      </c>
      <c r="F708" t="s">
        <v>1536</v>
      </c>
      <c r="G708" t="str">
        <f>"201511036600"</f>
        <v>201511036600</v>
      </c>
      <c r="H708">
        <v>913</v>
      </c>
      <c r="I708">
        <v>0</v>
      </c>
      <c r="J708">
        <v>0</v>
      </c>
      <c r="K708">
        <v>0</v>
      </c>
      <c r="L708">
        <v>0</v>
      </c>
      <c r="M708">
        <v>100</v>
      </c>
      <c r="N708">
        <v>30</v>
      </c>
      <c r="O708">
        <v>0</v>
      </c>
      <c r="P708">
        <v>0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52</v>
      </c>
      <c r="W708">
        <v>364</v>
      </c>
      <c r="X708">
        <v>0</v>
      </c>
      <c r="Z708">
        <v>0</v>
      </c>
      <c r="AA708">
        <v>0</v>
      </c>
      <c r="AB708">
        <v>0</v>
      </c>
      <c r="AC708">
        <v>0</v>
      </c>
      <c r="AD708">
        <v>1407</v>
      </c>
    </row>
    <row r="709" spans="1:30" x14ac:dyDescent="0.25">
      <c r="H709" t="s">
        <v>1537</v>
      </c>
    </row>
    <row r="710" spans="1:30" x14ac:dyDescent="0.25">
      <c r="A710">
        <v>352</v>
      </c>
      <c r="B710">
        <v>2132</v>
      </c>
      <c r="C710" t="s">
        <v>1538</v>
      </c>
      <c r="D710" t="s">
        <v>1539</v>
      </c>
      <c r="E710" t="s">
        <v>1540</v>
      </c>
      <c r="F710" t="s">
        <v>1541</v>
      </c>
      <c r="G710" t="str">
        <f>"200803000863"</f>
        <v>200803000863</v>
      </c>
      <c r="H710">
        <v>759</v>
      </c>
      <c r="I710">
        <v>0</v>
      </c>
      <c r="J710">
        <v>0</v>
      </c>
      <c r="K710">
        <v>0</v>
      </c>
      <c r="L710">
        <v>0</v>
      </c>
      <c r="M710">
        <v>0</v>
      </c>
      <c r="N710">
        <v>30</v>
      </c>
      <c r="O710">
        <v>0</v>
      </c>
      <c r="P710">
        <v>0</v>
      </c>
      <c r="Q710">
        <v>30</v>
      </c>
      <c r="R710">
        <v>0</v>
      </c>
      <c r="S710">
        <v>0</v>
      </c>
      <c r="T710">
        <v>0</v>
      </c>
      <c r="U710">
        <v>0</v>
      </c>
      <c r="V710">
        <v>84</v>
      </c>
      <c r="W710">
        <v>588</v>
      </c>
      <c r="X710">
        <v>0</v>
      </c>
      <c r="Z710">
        <v>0</v>
      </c>
      <c r="AA710">
        <v>0</v>
      </c>
      <c r="AB710">
        <v>0</v>
      </c>
      <c r="AC710">
        <v>0</v>
      </c>
      <c r="AD710">
        <v>1407</v>
      </c>
    </row>
    <row r="711" spans="1:30" x14ac:dyDescent="0.25">
      <c r="H711" t="s">
        <v>1542</v>
      </c>
    </row>
    <row r="712" spans="1:30" x14ac:dyDescent="0.25">
      <c r="A712">
        <v>353</v>
      </c>
      <c r="B712">
        <v>74</v>
      </c>
      <c r="C712" t="s">
        <v>1543</v>
      </c>
      <c r="D712" t="s">
        <v>83</v>
      </c>
      <c r="E712" t="s">
        <v>32</v>
      </c>
      <c r="F712" t="s">
        <v>1544</v>
      </c>
      <c r="G712" t="str">
        <f>"201511029070"</f>
        <v>201511029070</v>
      </c>
      <c r="H712">
        <v>748</v>
      </c>
      <c r="I712">
        <v>0</v>
      </c>
      <c r="J712">
        <v>0</v>
      </c>
      <c r="K712">
        <v>0</v>
      </c>
      <c r="L712">
        <v>0</v>
      </c>
      <c r="M712">
        <v>0</v>
      </c>
      <c r="N712">
        <v>70</v>
      </c>
      <c r="O712">
        <v>0</v>
      </c>
      <c r="P712">
        <v>0</v>
      </c>
      <c r="Q712">
        <v>0</v>
      </c>
      <c r="R712">
        <v>0</v>
      </c>
      <c r="S712">
        <v>0</v>
      </c>
      <c r="T712">
        <v>0</v>
      </c>
      <c r="U712">
        <v>0</v>
      </c>
      <c r="V712">
        <v>84</v>
      </c>
      <c r="W712">
        <v>588</v>
      </c>
      <c r="X712">
        <v>0</v>
      </c>
      <c r="Z712">
        <v>0</v>
      </c>
      <c r="AA712">
        <v>0</v>
      </c>
      <c r="AB712">
        <v>0</v>
      </c>
      <c r="AC712">
        <v>0</v>
      </c>
      <c r="AD712">
        <v>1406</v>
      </c>
    </row>
    <row r="713" spans="1:30" x14ac:dyDescent="0.25">
      <c r="H713" t="s">
        <v>1545</v>
      </c>
    </row>
    <row r="714" spans="1:30" x14ac:dyDescent="0.25">
      <c r="A714">
        <v>354</v>
      </c>
      <c r="B714">
        <v>5157</v>
      </c>
      <c r="C714" t="s">
        <v>1546</v>
      </c>
      <c r="D714" t="s">
        <v>1547</v>
      </c>
      <c r="E714" t="s">
        <v>309</v>
      </c>
      <c r="F714" t="s">
        <v>1548</v>
      </c>
      <c r="G714" t="str">
        <f>"00269771"</f>
        <v>00269771</v>
      </c>
      <c r="H714" t="s">
        <v>1549</v>
      </c>
      <c r="I714">
        <v>0</v>
      </c>
      <c r="J714">
        <v>0</v>
      </c>
      <c r="K714">
        <v>0</v>
      </c>
      <c r="L714">
        <v>0</v>
      </c>
      <c r="M714">
        <v>0</v>
      </c>
      <c r="N714">
        <v>50</v>
      </c>
      <c r="O714">
        <v>70</v>
      </c>
      <c r="P714">
        <v>0</v>
      </c>
      <c r="Q714">
        <v>0</v>
      </c>
      <c r="R714">
        <v>0</v>
      </c>
      <c r="S714">
        <v>0</v>
      </c>
      <c r="T714">
        <v>0</v>
      </c>
      <c r="U714">
        <v>0</v>
      </c>
      <c r="V714">
        <v>84</v>
      </c>
      <c r="W714">
        <v>588</v>
      </c>
      <c r="X714">
        <v>0</v>
      </c>
      <c r="Z714">
        <v>0</v>
      </c>
      <c r="AA714">
        <v>0</v>
      </c>
      <c r="AB714">
        <v>0</v>
      </c>
      <c r="AC714">
        <v>0</v>
      </c>
      <c r="AD714" t="s">
        <v>1550</v>
      </c>
    </row>
    <row r="715" spans="1:30" x14ac:dyDescent="0.25">
      <c r="H715" t="s">
        <v>1551</v>
      </c>
    </row>
    <row r="716" spans="1:30" x14ac:dyDescent="0.25">
      <c r="A716">
        <v>355</v>
      </c>
      <c r="B716">
        <v>3100</v>
      </c>
      <c r="C716" t="s">
        <v>1348</v>
      </c>
      <c r="D716" t="s">
        <v>1552</v>
      </c>
      <c r="E716" t="s">
        <v>102</v>
      </c>
      <c r="F716" t="s">
        <v>1553</v>
      </c>
      <c r="G716" t="str">
        <f>"201406010202"</f>
        <v>201406010202</v>
      </c>
      <c r="H716" t="s">
        <v>1554</v>
      </c>
      <c r="I716">
        <v>0</v>
      </c>
      <c r="J716">
        <v>0</v>
      </c>
      <c r="K716">
        <v>0</v>
      </c>
      <c r="L716">
        <v>0</v>
      </c>
      <c r="M716">
        <v>0</v>
      </c>
      <c r="N716">
        <v>30</v>
      </c>
      <c r="O716">
        <v>0</v>
      </c>
      <c r="P716">
        <v>0</v>
      </c>
      <c r="Q716">
        <v>0</v>
      </c>
      <c r="R716">
        <v>0</v>
      </c>
      <c r="S716">
        <v>0</v>
      </c>
      <c r="T716">
        <v>0</v>
      </c>
      <c r="U716">
        <v>0</v>
      </c>
      <c r="V716">
        <v>84</v>
      </c>
      <c r="W716">
        <v>588</v>
      </c>
      <c r="X716">
        <v>0</v>
      </c>
      <c r="Z716">
        <v>0</v>
      </c>
      <c r="AA716">
        <v>0</v>
      </c>
      <c r="AB716">
        <v>0</v>
      </c>
      <c r="AC716">
        <v>0</v>
      </c>
      <c r="AD716" t="s">
        <v>1555</v>
      </c>
    </row>
    <row r="717" spans="1:30" x14ac:dyDescent="0.25">
      <c r="H717" t="s">
        <v>1556</v>
      </c>
    </row>
    <row r="718" spans="1:30" x14ac:dyDescent="0.25">
      <c r="A718">
        <v>356</v>
      </c>
      <c r="B718">
        <v>3053</v>
      </c>
      <c r="C718" t="s">
        <v>1557</v>
      </c>
      <c r="D718" t="s">
        <v>449</v>
      </c>
      <c r="E718" t="s">
        <v>638</v>
      </c>
      <c r="F718" t="s">
        <v>1558</v>
      </c>
      <c r="G718" t="str">
        <f>"00068270"</f>
        <v>00068270</v>
      </c>
      <c r="H718" t="s">
        <v>1559</v>
      </c>
      <c r="I718">
        <v>0</v>
      </c>
      <c r="J718">
        <v>0</v>
      </c>
      <c r="K718">
        <v>0</v>
      </c>
      <c r="L718">
        <v>0</v>
      </c>
      <c r="M718">
        <v>100</v>
      </c>
      <c r="N718">
        <v>30</v>
      </c>
      <c r="O718">
        <v>30</v>
      </c>
      <c r="P718">
        <v>0</v>
      </c>
      <c r="Q718">
        <v>0</v>
      </c>
      <c r="R718">
        <v>0</v>
      </c>
      <c r="S718">
        <v>0</v>
      </c>
      <c r="T718">
        <v>0</v>
      </c>
      <c r="U718">
        <v>0</v>
      </c>
      <c r="V718">
        <v>84</v>
      </c>
      <c r="W718">
        <v>588</v>
      </c>
      <c r="X718">
        <v>0</v>
      </c>
      <c r="Z718">
        <v>0</v>
      </c>
      <c r="AA718">
        <v>0</v>
      </c>
      <c r="AB718">
        <v>0</v>
      </c>
      <c r="AC718">
        <v>0</v>
      </c>
      <c r="AD718" t="s">
        <v>1560</v>
      </c>
    </row>
    <row r="719" spans="1:30" x14ac:dyDescent="0.25">
      <c r="H719" t="s">
        <v>1561</v>
      </c>
    </row>
    <row r="720" spans="1:30" x14ac:dyDescent="0.25">
      <c r="A720">
        <v>357</v>
      </c>
      <c r="B720">
        <v>1392</v>
      </c>
      <c r="C720" t="s">
        <v>1562</v>
      </c>
      <c r="D720" t="s">
        <v>1563</v>
      </c>
      <c r="E720" t="s">
        <v>102</v>
      </c>
      <c r="F720" t="s">
        <v>1564</v>
      </c>
      <c r="G720" t="str">
        <f>"201406009790"</f>
        <v>201406009790</v>
      </c>
      <c r="H720">
        <v>748</v>
      </c>
      <c r="I720">
        <v>0</v>
      </c>
      <c r="J720">
        <v>0</v>
      </c>
      <c r="K720">
        <v>0</v>
      </c>
      <c r="L720">
        <v>200</v>
      </c>
      <c r="M720">
        <v>0</v>
      </c>
      <c r="N720">
        <v>70</v>
      </c>
      <c r="O720">
        <v>0</v>
      </c>
      <c r="P720">
        <v>0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55</v>
      </c>
      <c r="W720">
        <v>385</v>
      </c>
      <c r="X720">
        <v>0</v>
      </c>
      <c r="Z720">
        <v>0</v>
      </c>
      <c r="AA720">
        <v>0</v>
      </c>
      <c r="AB720">
        <v>0</v>
      </c>
      <c r="AC720">
        <v>0</v>
      </c>
      <c r="AD720">
        <v>1403</v>
      </c>
    </row>
    <row r="721" spans="1:30" x14ac:dyDescent="0.25">
      <c r="H721" t="s">
        <v>1565</v>
      </c>
    </row>
    <row r="722" spans="1:30" x14ac:dyDescent="0.25">
      <c r="A722">
        <v>358</v>
      </c>
      <c r="B722">
        <v>1936</v>
      </c>
      <c r="C722" t="s">
        <v>1566</v>
      </c>
      <c r="D722" t="s">
        <v>580</v>
      </c>
      <c r="E722" t="s">
        <v>102</v>
      </c>
      <c r="F722" t="s">
        <v>1567</v>
      </c>
      <c r="G722" t="str">
        <f>"00317537"</f>
        <v>00317537</v>
      </c>
      <c r="H722">
        <v>715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70</v>
      </c>
      <c r="O722">
        <v>0</v>
      </c>
      <c r="P722">
        <v>0</v>
      </c>
      <c r="Q722">
        <v>0</v>
      </c>
      <c r="R722">
        <v>30</v>
      </c>
      <c r="S722">
        <v>0</v>
      </c>
      <c r="T722">
        <v>0</v>
      </c>
      <c r="U722">
        <v>0</v>
      </c>
      <c r="V722">
        <v>84</v>
      </c>
      <c r="W722">
        <v>588</v>
      </c>
      <c r="X722">
        <v>0</v>
      </c>
      <c r="Z722">
        <v>0</v>
      </c>
      <c r="AA722">
        <v>0</v>
      </c>
      <c r="AB722">
        <v>0</v>
      </c>
      <c r="AC722">
        <v>0</v>
      </c>
      <c r="AD722">
        <v>1403</v>
      </c>
    </row>
    <row r="723" spans="1:30" x14ac:dyDescent="0.25">
      <c r="H723" t="s">
        <v>1568</v>
      </c>
    </row>
    <row r="724" spans="1:30" x14ac:dyDescent="0.25">
      <c r="A724">
        <v>359</v>
      </c>
      <c r="B724">
        <v>2944</v>
      </c>
      <c r="C724" t="s">
        <v>1569</v>
      </c>
      <c r="D724" t="s">
        <v>218</v>
      </c>
      <c r="E724" t="s">
        <v>120</v>
      </c>
      <c r="F724" t="s">
        <v>1570</v>
      </c>
      <c r="G724" t="str">
        <f>"201406004539"</f>
        <v>201406004539</v>
      </c>
      <c r="H724" t="s">
        <v>739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0</v>
      </c>
      <c r="O724">
        <v>0</v>
      </c>
      <c r="P724">
        <v>70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84</v>
      </c>
      <c r="W724">
        <v>588</v>
      </c>
      <c r="X724">
        <v>0</v>
      </c>
      <c r="Z724">
        <v>0</v>
      </c>
      <c r="AA724">
        <v>0</v>
      </c>
      <c r="AB724">
        <v>0</v>
      </c>
      <c r="AC724">
        <v>0</v>
      </c>
      <c r="AD724" t="s">
        <v>1571</v>
      </c>
    </row>
    <row r="725" spans="1:30" x14ac:dyDescent="0.25">
      <c r="H725" t="s">
        <v>1572</v>
      </c>
    </row>
    <row r="726" spans="1:30" x14ac:dyDescent="0.25">
      <c r="A726">
        <v>360</v>
      </c>
      <c r="B726">
        <v>2852</v>
      </c>
      <c r="C726" t="s">
        <v>1573</v>
      </c>
      <c r="D726" t="s">
        <v>95</v>
      </c>
      <c r="E726" t="s">
        <v>389</v>
      </c>
      <c r="F726" t="s">
        <v>1574</v>
      </c>
      <c r="G726" t="str">
        <f>"00340363"</f>
        <v>00340363</v>
      </c>
      <c r="H726">
        <v>814</v>
      </c>
      <c r="I726">
        <v>0</v>
      </c>
      <c r="J726">
        <v>0</v>
      </c>
      <c r="K726">
        <v>0</v>
      </c>
      <c r="L726">
        <v>0</v>
      </c>
      <c r="M726">
        <v>0</v>
      </c>
      <c r="N726">
        <v>0</v>
      </c>
      <c r="O726">
        <v>0</v>
      </c>
      <c r="P726">
        <v>0</v>
      </c>
      <c r="Q726">
        <v>0</v>
      </c>
      <c r="R726">
        <v>0</v>
      </c>
      <c r="S726">
        <v>0</v>
      </c>
      <c r="T726">
        <v>0</v>
      </c>
      <c r="U726">
        <v>0</v>
      </c>
      <c r="V726">
        <v>84</v>
      </c>
      <c r="W726">
        <v>588</v>
      </c>
      <c r="X726">
        <v>0</v>
      </c>
      <c r="Z726">
        <v>0</v>
      </c>
      <c r="AA726">
        <v>0</v>
      </c>
      <c r="AB726">
        <v>0</v>
      </c>
      <c r="AC726">
        <v>0</v>
      </c>
      <c r="AD726">
        <v>1402</v>
      </c>
    </row>
    <row r="727" spans="1:30" x14ac:dyDescent="0.25">
      <c r="H727" t="s">
        <v>1575</v>
      </c>
    </row>
    <row r="728" spans="1:30" x14ac:dyDescent="0.25">
      <c r="A728">
        <v>361</v>
      </c>
      <c r="B728">
        <v>1003</v>
      </c>
      <c r="C728" t="s">
        <v>1576</v>
      </c>
      <c r="D728" t="s">
        <v>425</v>
      </c>
      <c r="E728" t="s">
        <v>49</v>
      </c>
      <c r="F728" t="s">
        <v>1577</v>
      </c>
      <c r="G728" t="str">
        <f>"00259341"</f>
        <v>00259341</v>
      </c>
      <c r="H728">
        <v>814</v>
      </c>
      <c r="I728">
        <v>0</v>
      </c>
      <c r="J728">
        <v>0</v>
      </c>
      <c r="K728">
        <v>0</v>
      </c>
      <c r="L728">
        <v>0</v>
      </c>
      <c r="M728">
        <v>0</v>
      </c>
      <c r="N728">
        <v>0</v>
      </c>
      <c r="O728">
        <v>0</v>
      </c>
      <c r="P728">
        <v>0</v>
      </c>
      <c r="Q728">
        <v>0</v>
      </c>
      <c r="R728">
        <v>0</v>
      </c>
      <c r="S728">
        <v>0</v>
      </c>
      <c r="T728">
        <v>0</v>
      </c>
      <c r="U728">
        <v>0</v>
      </c>
      <c r="V728">
        <v>84</v>
      </c>
      <c r="W728">
        <v>588</v>
      </c>
      <c r="X728">
        <v>0</v>
      </c>
      <c r="Z728">
        <v>0</v>
      </c>
      <c r="AA728">
        <v>0</v>
      </c>
      <c r="AB728">
        <v>0</v>
      </c>
      <c r="AC728">
        <v>0</v>
      </c>
      <c r="AD728">
        <v>1402</v>
      </c>
    </row>
    <row r="729" spans="1:30" x14ac:dyDescent="0.25">
      <c r="H729" t="s">
        <v>1578</v>
      </c>
    </row>
    <row r="730" spans="1:30" x14ac:dyDescent="0.25">
      <c r="A730">
        <v>362</v>
      </c>
      <c r="B730">
        <v>3714</v>
      </c>
      <c r="C730" t="s">
        <v>1579</v>
      </c>
      <c r="D730" t="s">
        <v>866</v>
      </c>
      <c r="E730" t="s">
        <v>129</v>
      </c>
      <c r="F730" t="s">
        <v>1580</v>
      </c>
      <c r="G730" t="str">
        <f>"00081834"</f>
        <v>00081834</v>
      </c>
      <c r="H730">
        <v>814</v>
      </c>
      <c r="I730">
        <v>0</v>
      </c>
      <c r="J730">
        <v>0</v>
      </c>
      <c r="K730">
        <v>0</v>
      </c>
      <c r="L730">
        <v>0</v>
      </c>
      <c r="M730">
        <v>0</v>
      </c>
      <c r="N730">
        <v>0</v>
      </c>
      <c r="O730">
        <v>0</v>
      </c>
      <c r="P730">
        <v>0</v>
      </c>
      <c r="Q730">
        <v>0</v>
      </c>
      <c r="R730">
        <v>0</v>
      </c>
      <c r="S730">
        <v>0</v>
      </c>
      <c r="T730">
        <v>0</v>
      </c>
      <c r="U730">
        <v>0</v>
      </c>
      <c r="V730">
        <v>84</v>
      </c>
      <c r="W730">
        <v>588</v>
      </c>
      <c r="X730">
        <v>0</v>
      </c>
      <c r="Z730">
        <v>0</v>
      </c>
      <c r="AA730">
        <v>0</v>
      </c>
      <c r="AB730">
        <v>0</v>
      </c>
      <c r="AC730">
        <v>0</v>
      </c>
      <c r="AD730">
        <v>1402</v>
      </c>
    </row>
    <row r="731" spans="1:30" x14ac:dyDescent="0.25">
      <c r="H731" t="s">
        <v>1581</v>
      </c>
    </row>
    <row r="732" spans="1:30" x14ac:dyDescent="0.25">
      <c r="A732">
        <v>363</v>
      </c>
      <c r="B732">
        <v>1023</v>
      </c>
      <c r="C732" t="s">
        <v>1582</v>
      </c>
      <c r="D732" t="s">
        <v>191</v>
      </c>
      <c r="E732" t="s">
        <v>32</v>
      </c>
      <c r="F732" t="s">
        <v>1583</v>
      </c>
      <c r="G732" t="str">
        <f>"201406012039"</f>
        <v>201406012039</v>
      </c>
      <c r="H732" t="s">
        <v>169</v>
      </c>
      <c r="I732">
        <v>0</v>
      </c>
      <c r="J732">
        <v>0</v>
      </c>
      <c r="K732">
        <v>0</v>
      </c>
      <c r="L732">
        <v>0</v>
      </c>
      <c r="M732">
        <v>0</v>
      </c>
      <c r="N732">
        <v>30</v>
      </c>
      <c r="O732">
        <v>0</v>
      </c>
      <c r="P732">
        <v>0</v>
      </c>
      <c r="Q732">
        <v>0</v>
      </c>
      <c r="R732">
        <v>0</v>
      </c>
      <c r="S732">
        <v>0</v>
      </c>
      <c r="T732">
        <v>0</v>
      </c>
      <c r="U732">
        <v>0</v>
      </c>
      <c r="V732">
        <v>83</v>
      </c>
      <c r="W732">
        <v>581</v>
      </c>
      <c r="X732">
        <v>0</v>
      </c>
      <c r="Z732">
        <v>0</v>
      </c>
      <c r="AA732">
        <v>0</v>
      </c>
      <c r="AB732">
        <v>0</v>
      </c>
      <c r="AC732">
        <v>0</v>
      </c>
      <c r="AD732" t="s">
        <v>1584</v>
      </c>
    </row>
    <row r="733" spans="1:30" x14ac:dyDescent="0.25">
      <c r="H733" t="s">
        <v>1585</v>
      </c>
    </row>
    <row r="734" spans="1:30" x14ac:dyDescent="0.25">
      <c r="A734">
        <v>364</v>
      </c>
      <c r="B734">
        <v>365</v>
      </c>
      <c r="C734" t="s">
        <v>1586</v>
      </c>
      <c r="D734" t="s">
        <v>32</v>
      </c>
      <c r="E734" t="s">
        <v>33</v>
      </c>
      <c r="F734" t="s">
        <v>1587</v>
      </c>
      <c r="G734" t="str">
        <f>"00147767"</f>
        <v>00147767</v>
      </c>
      <c r="H734" t="s">
        <v>1588</v>
      </c>
      <c r="I734">
        <v>0</v>
      </c>
      <c r="J734">
        <v>0</v>
      </c>
      <c r="K734">
        <v>0</v>
      </c>
      <c r="L734">
        <v>0</v>
      </c>
      <c r="M734">
        <v>0</v>
      </c>
      <c r="N734">
        <v>50</v>
      </c>
      <c r="O734">
        <v>0</v>
      </c>
      <c r="P734">
        <v>50</v>
      </c>
      <c r="Q734">
        <v>0</v>
      </c>
      <c r="R734">
        <v>0</v>
      </c>
      <c r="S734">
        <v>0</v>
      </c>
      <c r="T734">
        <v>0</v>
      </c>
      <c r="U734">
        <v>0</v>
      </c>
      <c r="V734">
        <v>84</v>
      </c>
      <c r="W734">
        <v>588</v>
      </c>
      <c r="X734">
        <v>0</v>
      </c>
      <c r="Z734">
        <v>0</v>
      </c>
      <c r="AA734">
        <v>0</v>
      </c>
      <c r="AB734">
        <v>0</v>
      </c>
      <c r="AC734">
        <v>0</v>
      </c>
      <c r="AD734" t="s">
        <v>1584</v>
      </c>
    </row>
    <row r="735" spans="1:30" x14ac:dyDescent="0.25">
      <c r="H735" t="s">
        <v>1589</v>
      </c>
    </row>
    <row r="736" spans="1:30" x14ac:dyDescent="0.25">
      <c r="A736">
        <v>365</v>
      </c>
      <c r="B736">
        <v>2729</v>
      </c>
      <c r="C736" t="s">
        <v>1590</v>
      </c>
      <c r="D736" t="s">
        <v>191</v>
      </c>
      <c r="E736" t="s">
        <v>230</v>
      </c>
      <c r="F736" t="s">
        <v>1591</v>
      </c>
      <c r="G736" t="str">
        <f>"201406004944"</f>
        <v>201406004944</v>
      </c>
      <c r="H736" t="s">
        <v>311</v>
      </c>
      <c r="I736">
        <v>0</v>
      </c>
      <c r="J736">
        <v>0</v>
      </c>
      <c r="K736">
        <v>0</v>
      </c>
      <c r="L736">
        <v>0</v>
      </c>
      <c r="M736">
        <v>0</v>
      </c>
      <c r="N736">
        <v>30</v>
      </c>
      <c r="O736">
        <v>0</v>
      </c>
      <c r="P736">
        <v>0</v>
      </c>
      <c r="Q736">
        <v>0</v>
      </c>
      <c r="R736">
        <v>0</v>
      </c>
      <c r="S736">
        <v>0</v>
      </c>
      <c r="T736">
        <v>0</v>
      </c>
      <c r="U736">
        <v>0</v>
      </c>
      <c r="V736">
        <v>84</v>
      </c>
      <c r="W736">
        <v>588</v>
      </c>
      <c r="X736">
        <v>0</v>
      </c>
      <c r="Z736">
        <v>0</v>
      </c>
      <c r="AA736">
        <v>0</v>
      </c>
      <c r="AB736">
        <v>0</v>
      </c>
      <c r="AC736">
        <v>0</v>
      </c>
      <c r="AD736" t="s">
        <v>1592</v>
      </c>
    </row>
    <row r="737" spans="1:30" x14ac:dyDescent="0.25">
      <c r="H737" t="s">
        <v>1593</v>
      </c>
    </row>
    <row r="738" spans="1:30" x14ac:dyDescent="0.25">
      <c r="A738">
        <v>366</v>
      </c>
      <c r="B738">
        <v>5920</v>
      </c>
      <c r="C738" t="s">
        <v>1594</v>
      </c>
      <c r="D738" t="s">
        <v>1595</v>
      </c>
      <c r="E738" t="s">
        <v>102</v>
      </c>
      <c r="F738" t="s">
        <v>1596</v>
      </c>
      <c r="G738" t="str">
        <f>"201511040740"</f>
        <v>201511040740</v>
      </c>
      <c r="H738" t="s">
        <v>1393</v>
      </c>
      <c r="I738">
        <v>0</v>
      </c>
      <c r="J738">
        <v>0</v>
      </c>
      <c r="K738">
        <v>0</v>
      </c>
      <c r="L738">
        <v>0</v>
      </c>
      <c r="M738">
        <v>0</v>
      </c>
      <c r="N738">
        <v>0</v>
      </c>
      <c r="O738">
        <v>0</v>
      </c>
      <c r="P738">
        <v>0</v>
      </c>
      <c r="Q738">
        <v>0</v>
      </c>
      <c r="R738">
        <v>0</v>
      </c>
      <c r="S738">
        <v>0</v>
      </c>
      <c r="T738">
        <v>0</v>
      </c>
      <c r="U738">
        <v>0</v>
      </c>
      <c r="V738">
        <v>84</v>
      </c>
      <c r="W738">
        <v>588</v>
      </c>
      <c r="X738">
        <v>0</v>
      </c>
      <c r="Z738">
        <v>0</v>
      </c>
      <c r="AA738">
        <v>0</v>
      </c>
      <c r="AB738">
        <v>0</v>
      </c>
      <c r="AC738">
        <v>0</v>
      </c>
      <c r="AD738" t="s">
        <v>1597</v>
      </c>
    </row>
    <row r="739" spans="1:30" x14ac:dyDescent="0.25">
      <c r="H739" t="s">
        <v>1598</v>
      </c>
    </row>
    <row r="740" spans="1:30" x14ac:dyDescent="0.25">
      <c r="A740">
        <v>367</v>
      </c>
      <c r="B740">
        <v>2288</v>
      </c>
      <c r="C740" t="s">
        <v>1599</v>
      </c>
      <c r="D740" t="s">
        <v>225</v>
      </c>
      <c r="E740" t="s">
        <v>1169</v>
      </c>
      <c r="F740" t="s">
        <v>1600</v>
      </c>
      <c r="G740" t="str">
        <f>"00292035"</f>
        <v>00292035</v>
      </c>
      <c r="H740">
        <v>781</v>
      </c>
      <c r="I740">
        <v>0</v>
      </c>
      <c r="J740">
        <v>0</v>
      </c>
      <c r="K740">
        <v>0</v>
      </c>
      <c r="L740">
        <v>0</v>
      </c>
      <c r="M740">
        <v>0</v>
      </c>
      <c r="N740">
        <v>30</v>
      </c>
      <c r="O740">
        <v>0</v>
      </c>
      <c r="P740">
        <v>0</v>
      </c>
      <c r="Q740">
        <v>0</v>
      </c>
      <c r="R740">
        <v>0</v>
      </c>
      <c r="S740">
        <v>0</v>
      </c>
      <c r="T740">
        <v>0</v>
      </c>
      <c r="U740">
        <v>0</v>
      </c>
      <c r="V740">
        <v>84</v>
      </c>
      <c r="W740">
        <v>588</v>
      </c>
      <c r="X740">
        <v>0</v>
      </c>
      <c r="Z740">
        <v>0</v>
      </c>
      <c r="AA740">
        <v>0</v>
      </c>
      <c r="AB740">
        <v>0</v>
      </c>
      <c r="AC740">
        <v>0</v>
      </c>
      <c r="AD740">
        <v>1399</v>
      </c>
    </row>
    <row r="741" spans="1:30" x14ac:dyDescent="0.25">
      <c r="H741" t="s">
        <v>1601</v>
      </c>
    </row>
    <row r="742" spans="1:30" x14ac:dyDescent="0.25">
      <c r="A742">
        <v>368</v>
      </c>
      <c r="B742">
        <v>1728</v>
      </c>
      <c r="C742" t="s">
        <v>1602</v>
      </c>
      <c r="D742" t="s">
        <v>283</v>
      </c>
      <c r="E742" t="s">
        <v>28</v>
      </c>
      <c r="F742" t="s">
        <v>1603</v>
      </c>
      <c r="G742" t="str">
        <f>"201605000023"</f>
        <v>201605000023</v>
      </c>
      <c r="H742">
        <v>781</v>
      </c>
      <c r="I742">
        <v>0</v>
      </c>
      <c r="J742">
        <v>0</v>
      </c>
      <c r="K742">
        <v>0</v>
      </c>
      <c r="L742">
        <v>0</v>
      </c>
      <c r="M742">
        <v>0</v>
      </c>
      <c r="N742">
        <v>30</v>
      </c>
      <c r="O742">
        <v>0</v>
      </c>
      <c r="P742">
        <v>0</v>
      </c>
      <c r="Q742">
        <v>0</v>
      </c>
      <c r="R742">
        <v>0</v>
      </c>
      <c r="S742">
        <v>0</v>
      </c>
      <c r="T742">
        <v>0</v>
      </c>
      <c r="U742">
        <v>0</v>
      </c>
      <c r="V742">
        <v>84</v>
      </c>
      <c r="W742">
        <v>588</v>
      </c>
      <c r="X742">
        <v>0</v>
      </c>
      <c r="Z742">
        <v>0</v>
      </c>
      <c r="AA742">
        <v>0</v>
      </c>
      <c r="AB742">
        <v>0</v>
      </c>
      <c r="AC742">
        <v>0</v>
      </c>
      <c r="AD742">
        <v>1399</v>
      </c>
    </row>
    <row r="743" spans="1:30" x14ac:dyDescent="0.25">
      <c r="H743" t="s">
        <v>1327</v>
      </c>
    </row>
    <row r="744" spans="1:30" x14ac:dyDescent="0.25">
      <c r="A744">
        <v>369</v>
      </c>
      <c r="B744">
        <v>1022</v>
      </c>
      <c r="C744" t="s">
        <v>1604</v>
      </c>
      <c r="D744" t="s">
        <v>56</v>
      </c>
      <c r="E744" t="s">
        <v>28</v>
      </c>
      <c r="F744" t="s">
        <v>1605</v>
      </c>
      <c r="G744" t="str">
        <f>"00274367"</f>
        <v>00274367</v>
      </c>
      <c r="H744" t="s">
        <v>1465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50</v>
      </c>
      <c r="O744">
        <v>0</v>
      </c>
      <c r="P744">
        <v>0</v>
      </c>
      <c r="Q744">
        <v>30</v>
      </c>
      <c r="R744">
        <v>0</v>
      </c>
      <c r="S744">
        <v>0</v>
      </c>
      <c r="T744">
        <v>0</v>
      </c>
      <c r="U744">
        <v>0</v>
      </c>
      <c r="V744">
        <v>84</v>
      </c>
      <c r="W744">
        <v>588</v>
      </c>
      <c r="X744">
        <v>0</v>
      </c>
      <c r="Z744">
        <v>0</v>
      </c>
      <c r="AA744">
        <v>0</v>
      </c>
      <c r="AB744">
        <v>0</v>
      </c>
      <c r="AC744">
        <v>0</v>
      </c>
      <c r="AD744" t="s">
        <v>1606</v>
      </c>
    </row>
    <row r="745" spans="1:30" x14ac:dyDescent="0.25">
      <c r="H745" t="s">
        <v>1607</v>
      </c>
    </row>
    <row r="746" spans="1:30" x14ac:dyDescent="0.25">
      <c r="A746">
        <v>370</v>
      </c>
      <c r="B746">
        <v>4814</v>
      </c>
      <c r="C746" t="s">
        <v>1608</v>
      </c>
      <c r="D746" t="s">
        <v>76</v>
      </c>
      <c r="E746" t="s">
        <v>57</v>
      </c>
      <c r="F746" t="s">
        <v>1609</v>
      </c>
      <c r="G746" t="str">
        <f>"00360405"</f>
        <v>00360405</v>
      </c>
      <c r="H746">
        <v>715</v>
      </c>
      <c r="I746">
        <v>0</v>
      </c>
      <c r="J746">
        <v>0</v>
      </c>
      <c r="K746">
        <v>0</v>
      </c>
      <c r="L746">
        <v>200</v>
      </c>
      <c r="M746">
        <v>0</v>
      </c>
      <c r="N746">
        <v>30</v>
      </c>
      <c r="O746">
        <v>0</v>
      </c>
      <c r="P746">
        <v>0</v>
      </c>
      <c r="Q746">
        <v>0</v>
      </c>
      <c r="R746">
        <v>0</v>
      </c>
      <c r="S746">
        <v>0</v>
      </c>
      <c r="T746">
        <v>0</v>
      </c>
      <c r="U746">
        <v>0</v>
      </c>
      <c r="V746">
        <v>38</v>
      </c>
      <c r="W746">
        <v>266</v>
      </c>
      <c r="X746">
        <v>0</v>
      </c>
      <c r="Z746">
        <v>0</v>
      </c>
      <c r="AA746">
        <v>0</v>
      </c>
      <c r="AB746">
        <v>11</v>
      </c>
      <c r="AC746">
        <v>187</v>
      </c>
      <c r="AD746">
        <v>1398</v>
      </c>
    </row>
    <row r="747" spans="1:30" x14ac:dyDescent="0.25">
      <c r="H747" t="s">
        <v>1610</v>
      </c>
    </row>
    <row r="748" spans="1:30" x14ac:dyDescent="0.25">
      <c r="A748">
        <v>371</v>
      </c>
      <c r="B748">
        <v>2375</v>
      </c>
      <c r="C748" t="s">
        <v>1611</v>
      </c>
      <c r="D748" t="s">
        <v>1612</v>
      </c>
      <c r="E748" t="s">
        <v>28</v>
      </c>
      <c r="F748" t="s">
        <v>1613</v>
      </c>
      <c r="G748" t="str">
        <f>"201603000287"</f>
        <v>201603000287</v>
      </c>
      <c r="H748" t="s">
        <v>1614</v>
      </c>
      <c r="I748">
        <v>0</v>
      </c>
      <c r="J748">
        <v>0</v>
      </c>
      <c r="K748">
        <v>0</v>
      </c>
      <c r="L748">
        <v>0</v>
      </c>
      <c r="M748">
        <v>0</v>
      </c>
      <c r="N748">
        <v>30</v>
      </c>
      <c r="O748">
        <v>0</v>
      </c>
      <c r="P748">
        <v>0</v>
      </c>
      <c r="Q748">
        <v>0</v>
      </c>
      <c r="R748">
        <v>0</v>
      </c>
      <c r="S748">
        <v>0</v>
      </c>
      <c r="T748">
        <v>0</v>
      </c>
      <c r="U748">
        <v>0</v>
      </c>
      <c r="V748">
        <v>59</v>
      </c>
      <c r="W748">
        <v>413</v>
      </c>
      <c r="X748">
        <v>0</v>
      </c>
      <c r="Z748">
        <v>0</v>
      </c>
      <c r="AA748">
        <v>0</v>
      </c>
      <c r="AB748">
        <v>0</v>
      </c>
      <c r="AC748">
        <v>0</v>
      </c>
      <c r="AD748" t="s">
        <v>1615</v>
      </c>
    </row>
    <row r="749" spans="1:30" x14ac:dyDescent="0.25">
      <c r="H749" t="s">
        <v>1616</v>
      </c>
    </row>
    <row r="750" spans="1:30" x14ac:dyDescent="0.25">
      <c r="A750">
        <v>372</v>
      </c>
      <c r="B750">
        <v>2020</v>
      </c>
      <c r="C750" t="s">
        <v>1617</v>
      </c>
      <c r="D750" t="s">
        <v>84</v>
      </c>
      <c r="E750" t="s">
        <v>347</v>
      </c>
      <c r="F750" t="s">
        <v>1618</v>
      </c>
      <c r="G750" t="str">
        <f>"00252532"</f>
        <v>00252532</v>
      </c>
      <c r="H750" t="s">
        <v>79</v>
      </c>
      <c r="I750">
        <v>0</v>
      </c>
      <c r="J750">
        <v>0</v>
      </c>
      <c r="K750">
        <v>0</v>
      </c>
      <c r="L750">
        <v>0</v>
      </c>
      <c r="M750">
        <v>0</v>
      </c>
      <c r="N750">
        <v>0</v>
      </c>
      <c r="O750">
        <v>0</v>
      </c>
      <c r="P750">
        <v>0</v>
      </c>
      <c r="Q750">
        <v>0</v>
      </c>
      <c r="R750">
        <v>0</v>
      </c>
      <c r="S750">
        <v>0</v>
      </c>
      <c r="T750">
        <v>0</v>
      </c>
      <c r="U750">
        <v>0</v>
      </c>
      <c r="V750">
        <v>84</v>
      </c>
      <c r="W750">
        <v>588</v>
      </c>
      <c r="X750">
        <v>0</v>
      </c>
      <c r="Z750">
        <v>2</v>
      </c>
      <c r="AA750">
        <v>0</v>
      </c>
      <c r="AB750">
        <v>0</v>
      </c>
      <c r="AC750">
        <v>0</v>
      </c>
      <c r="AD750" t="s">
        <v>1619</v>
      </c>
    </row>
    <row r="751" spans="1:30" x14ac:dyDescent="0.25">
      <c r="H751" t="s">
        <v>1620</v>
      </c>
    </row>
    <row r="752" spans="1:30" x14ac:dyDescent="0.25">
      <c r="A752">
        <v>373</v>
      </c>
      <c r="B752">
        <v>1737</v>
      </c>
      <c r="C752" t="s">
        <v>1621</v>
      </c>
      <c r="D752" t="s">
        <v>1169</v>
      </c>
      <c r="E752" t="s">
        <v>1622</v>
      </c>
      <c r="F752" t="s">
        <v>1623</v>
      </c>
      <c r="G752" t="str">
        <f>"00318166"</f>
        <v>00318166</v>
      </c>
      <c r="H752" t="s">
        <v>562</v>
      </c>
      <c r="I752">
        <v>0</v>
      </c>
      <c r="J752">
        <v>0</v>
      </c>
      <c r="K752">
        <v>0</v>
      </c>
      <c r="L752">
        <v>0</v>
      </c>
      <c r="M752">
        <v>0</v>
      </c>
      <c r="N752">
        <v>70</v>
      </c>
      <c r="O752">
        <v>0</v>
      </c>
      <c r="P752">
        <v>0</v>
      </c>
      <c r="Q752">
        <v>0</v>
      </c>
      <c r="R752">
        <v>0</v>
      </c>
      <c r="S752">
        <v>0</v>
      </c>
      <c r="T752">
        <v>0</v>
      </c>
      <c r="U752">
        <v>0</v>
      </c>
      <c r="V752">
        <v>84</v>
      </c>
      <c r="W752">
        <v>588</v>
      </c>
      <c r="X752">
        <v>0</v>
      </c>
      <c r="Z752">
        <v>0</v>
      </c>
      <c r="AA752">
        <v>0</v>
      </c>
      <c r="AB752">
        <v>0</v>
      </c>
      <c r="AC752">
        <v>0</v>
      </c>
      <c r="AD752" t="s">
        <v>1624</v>
      </c>
    </row>
    <row r="753" spans="1:30" x14ac:dyDescent="0.25">
      <c r="H753" t="s">
        <v>1625</v>
      </c>
    </row>
    <row r="754" spans="1:30" x14ac:dyDescent="0.25">
      <c r="A754">
        <v>374</v>
      </c>
      <c r="B754">
        <v>6084</v>
      </c>
      <c r="C754" t="s">
        <v>1626</v>
      </c>
      <c r="D754" t="s">
        <v>102</v>
      </c>
      <c r="E754" t="s">
        <v>32</v>
      </c>
      <c r="F754" t="s">
        <v>1627</v>
      </c>
      <c r="G754" t="str">
        <f>"00352287"</f>
        <v>00352287</v>
      </c>
      <c r="H754" t="s">
        <v>1628</v>
      </c>
      <c r="I754">
        <v>0</v>
      </c>
      <c r="J754">
        <v>0</v>
      </c>
      <c r="K754">
        <v>0</v>
      </c>
      <c r="L754">
        <v>0</v>
      </c>
      <c r="M754">
        <v>0</v>
      </c>
      <c r="N754">
        <v>0</v>
      </c>
      <c r="O754">
        <v>0</v>
      </c>
      <c r="P754">
        <v>0</v>
      </c>
      <c r="Q754">
        <v>0</v>
      </c>
      <c r="R754">
        <v>0</v>
      </c>
      <c r="S754">
        <v>0</v>
      </c>
      <c r="T754">
        <v>0</v>
      </c>
      <c r="U754">
        <v>0</v>
      </c>
      <c r="V754">
        <v>84</v>
      </c>
      <c r="W754">
        <v>588</v>
      </c>
      <c r="X754">
        <v>0</v>
      </c>
      <c r="Z754">
        <v>0</v>
      </c>
      <c r="AA754">
        <v>0</v>
      </c>
      <c r="AB754">
        <v>0</v>
      </c>
      <c r="AC754">
        <v>0</v>
      </c>
      <c r="AD754" t="s">
        <v>1629</v>
      </c>
    </row>
    <row r="755" spans="1:30" x14ac:dyDescent="0.25">
      <c r="H755" t="s">
        <v>1630</v>
      </c>
    </row>
    <row r="756" spans="1:30" x14ac:dyDescent="0.25">
      <c r="A756">
        <v>375</v>
      </c>
      <c r="B756">
        <v>1087</v>
      </c>
      <c r="C756" t="s">
        <v>1631</v>
      </c>
      <c r="D756" t="s">
        <v>393</v>
      </c>
      <c r="E756" t="s">
        <v>1632</v>
      </c>
      <c r="F756" t="s">
        <v>1633</v>
      </c>
      <c r="G756" t="str">
        <f>"00005078"</f>
        <v>00005078</v>
      </c>
      <c r="H756" t="s">
        <v>1634</v>
      </c>
      <c r="I756">
        <v>0</v>
      </c>
      <c r="J756">
        <v>0</v>
      </c>
      <c r="K756">
        <v>0</v>
      </c>
      <c r="L756">
        <v>0</v>
      </c>
      <c r="M756">
        <v>0</v>
      </c>
      <c r="N756">
        <v>0</v>
      </c>
      <c r="O756">
        <v>0</v>
      </c>
      <c r="P756">
        <v>0</v>
      </c>
      <c r="Q756">
        <v>0</v>
      </c>
      <c r="R756">
        <v>0</v>
      </c>
      <c r="S756">
        <v>0</v>
      </c>
      <c r="T756">
        <v>0</v>
      </c>
      <c r="U756">
        <v>0</v>
      </c>
      <c r="V756">
        <v>63</v>
      </c>
      <c r="W756">
        <v>441</v>
      </c>
      <c r="X756">
        <v>0</v>
      </c>
      <c r="Z756">
        <v>1</v>
      </c>
      <c r="AA756">
        <v>0</v>
      </c>
      <c r="AB756">
        <v>21</v>
      </c>
      <c r="AC756">
        <v>357</v>
      </c>
      <c r="AD756" t="s">
        <v>1635</v>
      </c>
    </row>
    <row r="757" spans="1:30" x14ac:dyDescent="0.25">
      <c r="H757" t="s">
        <v>1636</v>
      </c>
    </row>
    <row r="758" spans="1:30" x14ac:dyDescent="0.25">
      <c r="A758">
        <v>376</v>
      </c>
      <c r="B758">
        <v>4397</v>
      </c>
      <c r="C758" t="s">
        <v>1637</v>
      </c>
      <c r="D758" t="s">
        <v>120</v>
      </c>
      <c r="E758" t="s">
        <v>102</v>
      </c>
      <c r="F758" t="s">
        <v>1638</v>
      </c>
      <c r="G758" t="str">
        <f>"00364801"</f>
        <v>00364801</v>
      </c>
      <c r="H758">
        <v>737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70</v>
      </c>
      <c r="O758">
        <v>0</v>
      </c>
      <c r="P758">
        <v>0</v>
      </c>
      <c r="Q758">
        <v>0</v>
      </c>
      <c r="R758">
        <v>0</v>
      </c>
      <c r="S758">
        <v>0</v>
      </c>
      <c r="T758">
        <v>0</v>
      </c>
      <c r="U758">
        <v>0</v>
      </c>
      <c r="V758">
        <v>84</v>
      </c>
      <c r="W758">
        <v>588</v>
      </c>
      <c r="X758">
        <v>0</v>
      </c>
      <c r="Z758">
        <v>0</v>
      </c>
      <c r="AA758">
        <v>0</v>
      </c>
      <c r="AB758">
        <v>0</v>
      </c>
      <c r="AC758">
        <v>0</v>
      </c>
      <c r="AD758">
        <v>1395</v>
      </c>
    </row>
    <row r="759" spans="1:30" x14ac:dyDescent="0.25">
      <c r="H759" t="s">
        <v>1639</v>
      </c>
    </row>
    <row r="760" spans="1:30" x14ac:dyDescent="0.25">
      <c r="A760">
        <v>377</v>
      </c>
      <c r="B760">
        <v>5807</v>
      </c>
      <c r="C760" t="s">
        <v>1640</v>
      </c>
      <c r="D760" t="s">
        <v>283</v>
      </c>
      <c r="E760" t="s">
        <v>120</v>
      </c>
      <c r="F760" t="s">
        <v>1641</v>
      </c>
      <c r="G760" t="str">
        <f>"00200155"</f>
        <v>00200155</v>
      </c>
      <c r="H760" t="s">
        <v>1326</v>
      </c>
      <c r="I760">
        <v>0</v>
      </c>
      <c r="J760">
        <v>0</v>
      </c>
      <c r="K760">
        <v>0</v>
      </c>
      <c r="L760">
        <v>200</v>
      </c>
      <c r="M760">
        <v>0</v>
      </c>
      <c r="N760">
        <v>70</v>
      </c>
      <c r="O760">
        <v>0</v>
      </c>
      <c r="P760">
        <v>0</v>
      </c>
      <c r="Q760">
        <v>0</v>
      </c>
      <c r="R760">
        <v>0</v>
      </c>
      <c r="S760">
        <v>0</v>
      </c>
      <c r="T760">
        <v>0</v>
      </c>
      <c r="U760">
        <v>0</v>
      </c>
      <c r="V760">
        <v>53</v>
      </c>
      <c r="W760">
        <v>371</v>
      </c>
      <c r="X760">
        <v>0</v>
      </c>
      <c r="Z760">
        <v>0</v>
      </c>
      <c r="AA760">
        <v>0</v>
      </c>
      <c r="AB760">
        <v>0</v>
      </c>
      <c r="AC760">
        <v>0</v>
      </c>
      <c r="AD760" t="s">
        <v>1642</v>
      </c>
    </row>
    <row r="761" spans="1:30" x14ac:dyDescent="0.25">
      <c r="H761" t="s">
        <v>1643</v>
      </c>
    </row>
    <row r="762" spans="1:30" x14ac:dyDescent="0.25">
      <c r="A762">
        <v>378</v>
      </c>
      <c r="B762">
        <v>4333</v>
      </c>
      <c r="C762" t="s">
        <v>1644</v>
      </c>
      <c r="D762" t="s">
        <v>1645</v>
      </c>
      <c r="E762" t="s">
        <v>32</v>
      </c>
      <c r="F762" t="s">
        <v>1646</v>
      </c>
      <c r="G762" t="str">
        <f>"00156491"</f>
        <v>00156491</v>
      </c>
      <c r="H762">
        <v>726</v>
      </c>
      <c r="I762">
        <v>0</v>
      </c>
      <c r="J762">
        <v>0</v>
      </c>
      <c r="K762">
        <v>0</v>
      </c>
      <c r="L762">
        <v>0</v>
      </c>
      <c r="M762">
        <v>0</v>
      </c>
      <c r="N762">
        <v>30</v>
      </c>
      <c r="O762">
        <v>0</v>
      </c>
      <c r="P762">
        <v>50</v>
      </c>
      <c r="Q762">
        <v>0</v>
      </c>
      <c r="R762">
        <v>0</v>
      </c>
      <c r="S762">
        <v>0</v>
      </c>
      <c r="T762">
        <v>0</v>
      </c>
      <c r="U762">
        <v>0</v>
      </c>
      <c r="V762">
        <v>84</v>
      </c>
      <c r="W762">
        <v>588</v>
      </c>
      <c r="X762">
        <v>0</v>
      </c>
      <c r="Z762">
        <v>0</v>
      </c>
      <c r="AA762">
        <v>0</v>
      </c>
      <c r="AB762">
        <v>0</v>
      </c>
      <c r="AC762">
        <v>0</v>
      </c>
      <c r="AD762">
        <v>1394</v>
      </c>
    </row>
    <row r="763" spans="1:30" x14ac:dyDescent="0.25">
      <c r="H763" t="s">
        <v>1647</v>
      </c>
    </row>
    <row r="764" spans="1:30" x14ac:dyDescent="0.25">
      <c r="A764">
        <v>379</v>
      </c>
      <c r="B764">
        <v>3601</v>
      </c>
      <c r="C764" t="s">
        <v>1648</v>
      </c>
      <c r="D764" t="s">
        <v>64</v>
      </c>
      <c r="E764" t="s">
        <v>49</v>
      </c>
      <c r="F764" t="s">
        <v>1649</v>
      </c>
      <c r="G764" t="str">
        <f>"00152897"</f>
        <v>00152897</v>
      </c>
      <c r="H764" t="s">
        <v>66</v>
      </c>
      <c r="I764">
        <v>0</v>
      </c>
      <c r="J764">
        <v>0</v>
      </c>
      <c r="K764">
        <v>0</v>
      </c>
      <c r="L764">
        <v>0</v>
      </c>
      <c r="M764">
        <v>0</v>
      </c>
      <c r="N764">
        <v>70</v>
      </c>
      <c r="O764">
        <v>0</v>
      </c>
      <c r="P764">
        <v>0</v>
      </c>
      <c r="Q764">
        <v>0</v>
      </c>
      <c r="R764">
        <v>0</v>
      </c>
      <c r="S764">
        <v>0</v>
      </c>
      <c r="T764">
        <v>0</v>
      </c>
      <c r="U764">
        <v>0</v>
      </c>
      <c r="V764">
        <v>84</v>
      </c>
      <c r="W764">
        <v>588</v>
      </c>
      <c r="X764">
        <v>0</v>
      </c>
      <c r="Z764">
        <v>0</v>
      </c>
      <c r="AA764">
        <v>0</v>
      </c>
      <c r="AB764">
        <v>0</v>
      </c>
      <c r="AC764">
        <v>0</v>
      </c>
      <c r="AD764" t="s">
        <v>1650</v>
      </c>
    </row>
    <row r="765" spans="1:30" x14ac:dyDescent="0.25">
      <c r="H765" t="s">
        <v>1651</v>
      </c>
    </row>
    <row r="766" spans="1:30" x14ac:dyDescent="0.25">
      <c r="A766">
        <v>380</v>
      </c>
      <c r="B766">
        <v>2824</v>
      </c>
      <c r="C766" t="s">
        <v>1652</v>
      </c>
      <c r="D766" t="s">
        <v>1653</v>
      </c>
      <c r="E766" t="s">
        <v>107</v>
      </c>
      <c r="F766" t="s">
        <v>1654</v>
      </c>
      <c r="G766" t="str">
        <f>"00278787"</f>
        <v>00278787</v>
      </c>
      <c r="H766" t="s">
        <v>1163</v>
      </c>
      <c r="I766">
        <v>0</v>
      </c>
      <c r="J766">
        <v>0</v>
      </c>
      <c r="K766">
        <v>0</v>
      </c>
      <c r="L766">
        <v>0</v>
      </c>
      <c r="M766">
        <v>0</v>
      </c>
      <c r="N766">
        <v>70</v>
      </c>
      <c r="O766">
        <v>0</v>
      </c>
      <c r="P766">
        <v>0</v>
      </c>
      <c r="Q766">
        <v>0</v>
      </c>
      <c r="R766">
        <v>0</v>
      </c>
      <c r="S766">
        <v>0</v>
      </c>
      <c r="T766">
        <v>0</v>
      </c>
      <c r="U766">
        <v>0</v>
      </c>
      <c r="V766">
        <v>84</v>
      </c>
      <c r="W766">
        <v>588</v>
      </c>
      <c r="X766">
        <v>0</v>
      </c>
      <c r="Z766">
        <v>0</v>
      </c>
      <c r="AA766">
        <v>0</v>
      </c>
      <c r="AB766">
        <v>0</v>
      </c>
      <c r="AC766">
        <v>0</v>
      </c>
      <c r="AD766" t="s">
        <v>1655</v>
      </c>
    </row>
    <row r="767" spans="1:30" x14ac:dyDescent="0.25">
      <c r="H767" t="s">
        <v>1656</v>
      </c>
    </row>
    <row r="768" spans="1:30" x14ac:dyDescent="0.25">
      <c r="A768">
        <v>381</v>
      </c>
      <c r="B768">
        <v>5758</v>
      </c>
      <c r="C768" t="s">
        <v>1657</v>
      </c>
      <c r="D768" t="s">
        <v>1658</v>
      </c>
      <c r="E768" t="s">
        <v>107</v>
      </c>
      <c r="F768" t="s">
        <v>1659</v>
      </c>
      <c r="G768" t="str">
        <f>"00356341"</f>
        <v>00356341</v>
      </c>
      <c r="H768">
        <v>803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0</v>
      </c>
      <c r="O768">
        <v>0</v>
      </c>
      <c r="P768">
        <v>0</v>
      </c>
      <c r="Q768">
        <v>0</v>
      </c>
      <c r="R768">
        <v>0</v>
      </c>
      <c r="S768">
        <v>0</v>
      </c>
      <c r="T768">
        <v>0</v>
      </c>
      <c r="U768">
        <v>0</v>
      </c>
      <c r="V768">
        <v>84</v>
      </c>
      <c r="W768">
        <v>588</v>
      </c>
      <c r="X768">
        <v>0</v>
      </c>
      <c r="Z768">
        <v>0</v>
      </c>
      <c r="AA768">
        <v>0</v>
      </c>
      <c r="AB768">
        <v>0</v>
      </c>
      <c r="AC768">
        <v>0</v>
      </c>
      <c r="AD768">
        <v>1391</v>
      </c>
    </row>
    <row r="769" spans="1:30" x14ac:dyDescent="0.25">
      <c r="H769" t="s">
        <v>1660</v>
      </c>
    </row>
    <row r="770" spans="1:30" x14ac:dyDescent="0.25">
      <c r="A770">
        <v>382</v>
      </c>
      <c r="B770">
        <v>2218</v>
      </c>
      <c r="C770" t="s">
        <v>1661</v>
      </c>
      <c r="D770" t="s">
        <v>1662</v>
      </c>
      <c r="E770" t="s">
        <v>1406</v>
      </c>
      <c r="F770" t="s">
        <v>1663</v>
      </c>
      <c r="G770" t="str">
        <f>"00142331"</f>
        <v>00142331</v>
      </c>
      <c r="H770" t="s">
        <v>836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30</v>
      </c>
      <c r="O770">
        <v>0</v>
      </c>
      <c r="P770">
        <v>0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84</v>
      </c>
      <c r="W770">
        <v>588</v>
      </c>
      <c r="X770">
        <v>0</v>
      </c>
      <c r="Z770">
        <v>0</v>
      </c>
      <c r="AA770">
        <v>0</v>
      </c>
      <c r="AB770">
        <v>0</v>
      </c>
      <c r="AC770">
        <v>0</v>
      </c>
      <c r="AD770" t="s">
        <v>1664</v>
      </c>
    </row>
    <row r="771" spans="1:30" x14ac:dyDescent="0.25">
      <c r="H771" t="s">
        <v>1665</v>
      </c>
    </row>
    <row r="772" spans="1:30" x14ac:dyDescent="0.25">
      <c r="A772">
        <v>383</v>
      </c>
      <c r="B772">
        <v>3131</v>
      </c>
      <c r="C772" t="s">
        <v>1666</v>
      </c>
      <c r="D772" t="s">
        <v>83</v>
      </c>
      <c r="E772" t="s">
        <v>49</v>
      </c>
      <c r="F772" t="s">
        <v>1667</v>
      </c>
      <c r="G772" t="str">
        <f>"200801000109"</f>
        <v>200801000109</v>
      </c>
      <c r="H772">
        <v>770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30</v>
      </c>
      <c r="O772">
        <v>0</v>
      </c>
      <c r="P772">
        <v>0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84</v>
      </c>
      <c r="W772">
        <v>588</v>
      </c>
      <c r="X772">
        <v>0</v>
      </c>
      <c r="Z772">
        <v>0</v>
      </c>
      <c r="AA772">
        <v>0</v>
      </c>
      <c r="AB772">
        <v>0</v>
      </c>
      <c r="AC772">
        <v>0</v>
      </c>
      <c r="AD772">
        <v>1388</v>
      </c>
    </row>
    <row r="773" spans="1:30" x14ac:dyDescent="0.25">
      <c r="H773" t="s">
        <v>1668</v>
      </c>
    </row>
    <row r="774" spans="1:30" x14ac:dyDescent="0.25">
      <c r="A774">
        <v>384</v>
      </c>
      <c r="B774">
        <v>2318</v>
      </c>
      <c r="C774" t="s">
        <v>1669</v>
      </c>
      <c r="D774" t="s">
        <v>32</v>
      </c>
      <c r="E774" t="s">
        <v>76</v>
      </c>
      <c r="F774" t="s">
        <v>1670</v>
      </c>
      <c r="G774" t="str">
        <f>"200801011351"</f>
        <v>200801011351</v>
      </c>
      <c r="H774">
        <v>770</v>
      </c>
      <c r="I774">
        <v>0</v>
      </c>
      <c r="J774">
        <v>0</v>
      </c>
      <c r="K774">
        <v>0</v>
      </c>
      <c r="L774">
        <v>0</v>
      </c>
      <c r="M774">
        <v>0</v>
      </c>
      <c r="N774">
        <v>30</v>
      </c>
      <c r="O774">
        <v>0</v>
      </c>
      <c r="P774">
        <v>0</v>
      </c>
      <c r="Q774">
        <v>0</v>
      </c>
      <c r="R774">
        <v>0</v>
      </c>
      <c r="S774">
        <v>0</v>
      </c>
      <c r="T774">
        <v>0</v>
      </c>
      <c r="U774">
        <v>0</v>
      </c>
      <c r="V774">
        <v>84</v>
      </c>
      <c r="W774">
        <v>588</v>
      </c>
      <c r="X774">
        <v>0</v>
      </c>
      <c r="Z774">
        <v>2</v>
      </c>
      <c r="AA774">
        <v>0</v>
      </c>
      <c r="AB774">
        <v>0</v>
      </c>
      <c r="AC774">
        <v>0</v>
      </c>
      <c r="AD774">
        <v>1388</v>
      </c>
    </row>
    <row r="775" spans="1:30" x14ac:dyDescent="0.25">
      <c r="H775" t="s">
        <v>1671</v>
      </c>
    </row>
    <row r="776" spans="1:30" x14ac:dyDescent="0.25">
      <c r="A776">
        <v>385</v>
      </c>
      <c r="B776">
        <v>4504</v>
      </c>
      <c r="C776" t="s">
        <v>1672</v>
      </c>
      <c r="D776" t="s">
        <v>180</v>
      </c>
      <c r="E776" t="s">
        <v>102</v>
      </c>
      <c r="F776" t="s">
        <v>1673</v>
      </c>
      <c r="G776" t="str">
        <f>"00323190"</f>
        <v>00323190</v>
      </c>
      <c r="H776">
        <v>770</v>
      </c>
      <c r="I776">
        <v>0</v>
      </c>
      <c r="J776">
        <v>0</v>
      </c>
      <c r="K776">
        <v>0</v>
      </c>
      <c r="L776">
        <v>0</v>
      </c>
      <c r="M776">
        <v>0</v>
      </c>
      <c r="N776">
        <v>30</v>
      </c>
      <c r="O776">
        <v>0</v>
      </c>
      <c r="P776">
        <v>0</v>
      </c>
      <c r="Q776">
        <v>0</v>
      </c>
      <c r="R776">
        <v>0</v>
      </c>
      <c r="S776">
        <v>0</v>
      </c>
      <c r="T776">
        <v>0</v>
      </c>
      <c r="U776">
        <v>0</v>
      </c>
      <c r="V776">
        <v>84</v>
      </c>
      <c r="W776">
        <v>588</v>
      </c>
      <c r="X776">
        <v>0</v>
      </c>
      <c r="Z776">
        <v>0</v>
      </c>
      <c r="AA776">
        <v>0</v>
      </c>
      <c r="AB776">
        <v>0</v>
      </c>
      <c r="AC776">
        <v>0</v>
      </c>
      <c r="AD776">
        <v>1388</v>
      </c>
    </row>
    <row r="777" spans="1:30" x14ac:dyDescent="0.25">
      <c r="H777" t="s">
        <v>1674</v>
      </c>
    </row>
    <row r="778" spans="1:30" x14ac:dyDescent="0.25">
      <c r="A778">
        <v>386</v>
      </c>
      <c r="B778">
        <v>2484</v>
      </c>
      <c r="C778" t="s">
        <v>1675</v>
      </c>
      <c r="D778" t="s">
        <v>1150</v>
      </c>
      <c r="E778" t="s">
        <v>102</v>
      </c>
      <c r="F778" t="s">
        <v>1676</v>
      </c>
      <c r="G778" t="str">
        <f>"201406015682"</f>
        <v>201406015682</v>
      </c>
      <c r="H778">
        <v>770</v>
      </c>
      <c r="I778">
        <v>0</v>
      </c>
      <c r="J778">
        <v>0</v>
      </c>
      <c r="K778">
        <v>0</v>
      </c>
      <c r="L778">
        <v>0</v>
      </c>
      <c r="M778">
        <v>0</v>
      </c>
      <c r="N778">
        <v>30</v>
      </c>
      <c r="O778">
        <v>0</v>
      </c>
      <c r="P778">
        <v>0</v>
      </c>
      <c r="Q778">
        <v>0</v>
      </c>
      <c r="R778">
        <v>0</v>
      </c>
      <c r="S778">
        <v>0</v>
      </c>
      <c r="T778">
        <v>0</v>
      </c>
      <c r="U778">
        <v>0</v>
      </c>
      <c r="V778">
        <v>84</v>
      </c>
      <c r="W778">
        <v>588</v>
      </c>
      <c r="X778">
        <v>0</v>
      </c>
      <c r="Z778">
        <v>0</v>
      </c>
      <c r="AA778">
        <v>0</v>
      </c>
      <c r="AB778">
        <v>0</v>
      </c>
      <c r="AC778">
        <v>0</v>
      </c>
      <c r="AD778">
        <v>1388</v>
      </c>
    </row>
    <row r="779" spans="1:30" x14ac:dyDescent="0.25">
      <c r="H779" t="s">
        <v>1677</v>
      </c>
    </row>
    <row r="780" spans="1:30" x14ac:dyDescent="0.25">
      <c r="A780">
        <v>387</v>
      </c>
      <c r="B780">
        <v>1526</v>
      </c>
      <c r="C780" t="s">
        <v>1678</v>
      </c>
      <c r="D780" t="s">
        <v>180</v>
      </c>
      <c r="E780" t="s">
        <v>102</v>
      </c>
      <c r="F780" t="s">
        <v>1679</v>
      </c>
      <c r="G780" t="str">
        <f>"200810000264"</f>
        <v>200810000264</v>
      </c>
      <c r="H780" t="s">
        <v>1533</v>
      </c>
      <c r="I780">
        <v>0</v>
      </c>
      <c r="J780">
        <v>0</v>
      </c>
      <c r="K780">
        <v>0</v>
      </c>
      <c r="L780">
        <v>0</v>
      </c>
      <c r="M780">
        <v>0</v>
      </c>
      <c r="N780">
        <v>50</v>
      </c>
      <c r="O780">
        <v>0</v>
      </c>
      <c r="P780">
        <v>0</v>
      </c>
      <c r="Q780">
        <v>0</v>
      </c>
      <c r="R780">
        <v>0</v>
      </c>
      <c r="S780">
        <v>0</v>
      </c>
      <c r="T780">
        <v>0</v>
      </c>
      <c r="U780">
        <v>0</v>
      </c>
      <c r="V780">
        <v>84</v>
      </c>
      <c r="W780">
        <v>588</v>
      </c>
      <c r="X780">
        <v>0</v>
      </c>
      <c r="Z780">
        <v>2</v>
      </c>
      <c r="AA780">
        <v>0</v>
      </c>
      <c r="AB780">
        <v>0</v>
      </c>
      <c r="AC780">
        <v>0</v>
      </c>
      <c r="AD780" t="s">
        <v>1680</v>
      </c>
    </row>
    <row r="781" spans="1:30" x14ac:dyDescent="0.25">
      <c r="H781" t="s">
        <v>1681</v>
      </c>
    </row>
    <row r="782" spans="1:30" x14ac:dyDescent="0.25">
      <c r="A782">
        <v>388</v>
      </c>
      <c r="B782">
        <v>1044</v>
      </c>
      <c r="C782" t="s">
        <v>1682</v>
      </c>
      <c r="D782" t="s">
        <v>218</v>
      </c>
      <c r="E782" t="s">
        <v>1683</v>
      </c>
      <c r="F782" t="s">
        <v>1684</v>
      </c>
      <c r="G782" t="str">
        <f>"00254216"</f>
        <v>00254216</v>
      </c>
      <c r="H782" t="s">
        <v>1100</v>
      </c>
      <c r="I782">
        <v>0</v>
      </c>
      <c r="J782">
        <v>0</v>
      </c>
      <c r="K782">
        <v>0</v>
      </c>
      <c r="L782">
        <v>0</v>
      </c>
      <c r="M782">
        <v>0</v>
      </c>
      <c r="N782">
        <v>0</v>
      </c>
      <c r="O782">
        <v>0</v>
      </c>
      <c r="P782">
        <v>0</v>
      </c>
      <c r="Q782">
        <v>0</v>
      </c>
      <c r="R782">
        <v>0</v>
      </c>
      <c r="S782">
        <v>0</v>
      </c>
      <c r="T782">
        <v>0</v>
      </c>
      <c r="U782">
        <v>0</v>
      </c>
      <c r="V782">
        <v>76</v>
      </c>
      <c r="W782">
        <v>532</v>
      </c>
      <c r="X782">
        <v>0</v>
      </c>
      <c r="Z782">
        <v>0</v>
      </c>
      <c r="AA782">
        <v>0</v>
      </c>
      <c r="AB782">
        <v>8</v>
      </c>
      <c r="AC782">
        <v>136</v>
      </c>
      <c r="AD782" t="s">
        <v>1685</v>
      </c>
    </row>
    <row r="783" spans="1:30" x14ac:dyDescent="0.25">
      <c r="H783" t="s">
        <v>1686</v>
      </c>
    </row>
    <row r="784" spans="1:30" x14ac:dyDescent="0.25">
      <c r="A784">
        <v>389</v>
      </c>
      <c r="B784">
        <v>5875</v>
      </c>
      <c r="C784" t="s">
        <v>1687</v>
      </c>
      <c r="D784" t="s">
        <v>120</v>
      </c>
      <c r="E784" t="s">
        <v>102</v>
      </c>
      <c r="F784" t="s">
        <v>1688</v>
      </c>
      <c r="G784" t="str">
        <f>"00145760"</f>
        <v>00145760</v>
      </c>
      <c r="H784" t="s">
        <v>375</v>
      </c>
      <c r="I784">
        <v>0</v>
      </c>
      <c r="J784">
        <v>0</v>
      </c>
      <c r="K784">
        <v>0</v>
      </c>
      <c r="L784">
        <v>0</v>
      </c>
      <c r="M784">
        <v>0</v>
      </c>
      <c r="N784">
        <v>70</v>
      </c>
      <c r="O784">
        <v>0</v>
      </c>
      <c r="P784">
        <v>0</v>
      </c>
      <c r="Q784">
        <v>0</v>
      </c>
      <c r="R784">
        <v>0</v>
      </c>
      <c r="S784">
        <v>0</v>
      </c>
      <c r="T784">
        <v>0</v>
      </c>
      <c r="U784">
        <v>0</v>
      </c>
      <c r="V784">
        <v>84</v>
      </c>
      <c r="W784">
        <v>588</v>
      </c>
      <c r="X784">
        <v>0</v>
      </c>
      <c r="Z784">
        <v>0</v>
      </c>
      <c r="AA784">
        <v>0</v>
      </c>
      <c r="AB784">
        <v>0</v>
      </c>
      <c r="AC784">
        <v>0</v>
      </c>
      <c r="AD784" t="s">
        <v>1689</v>
      </c>
    </row>
    <row r="785" spans="1:30" x14ac:dyDescent="0.25">
      <c r="H785" t="s">
        <v>879</v>
      </c>
    </row>
    <row r="786" spans="1:30" x14ac:dyDescent="0.25">
      <c r="A786">
        <v>390</v>
      </c>
      <c r="B786">
        <v>3765</v>
      </c>
      <c r="C786" t="s">
        <v>1690</v>
      </c>
      <c r="D786" t="s">
        <v>1691</v>
      </c>
      <c r="E786" t="s">
        <v>1692</v>
      </c>
      <c r="F786" t="s">
        <v>1693</v>
      </c>
      <c r="G786" t="str">
        <f>"201406009972"</f>
        <v>201406009972</v>
      </c>
      <c r="H786">
        <v>748</v>
      </c>
      <c r="I786">
        <v>0</v>
      </c>
      <c r="J786">
        <v>0</v>
      </c>
      <c r="K786">
        <v>0</v>
      </c>
      <c r="L786">
        <v>0</v>
      </c>
      <c r="M786">
        <v>0</v>
      </c>
      <c r="N786">
        <v>50</v>
      </c>
      <c r="O786">
        <v>0</v>
      </c>
      <c r="P786">
        <v>0</v>
      </c>
      <c r="Q786">
        <v>0</v>
      </c>
      <c r="R786">
        <v>0</v>
      </c>
      <c r="S786">
        <v>0</v>
      </c>
      <c r="T786">
        <v>0</v>
      </c>
      <c r="U786">
        <v>0</v>
      </c>
      <c r="V786">
        <v>84</v>
      </c>
      <c r="W786">
        <v>588</v>
      </c>
      <c r="X786">
        <v>0</v>
      </c>
      <c r="Z786">
        <v>0</v>
      </c>
      <c r="AA786">
        <v>0</v>
      </c>
      <c r="AB786">
        <v>0</v>
      </c>
      <c r="AC786">
        <v>0</v>
      </c>
      <c r="AD786">
        <v>1386</v>
      </c>
    </row>
    <row r="787" spans="1:30" x14ac:dyDescent="0.25">
      <c r="H787" t="s">
        <v>1694</v>
      </c>
    </row>
    <row r="788" spans="1:30" x14ac:dyDescent="0.25">
      <c r="A788">
        <v>391</v>
      </c>
      <c r="B788">
        <v>218</v>
      </c>
      <c r="C788" t="s">
        <v>1695</v>
      </c>
      <c r="D788" t="s">
        <v>1200</v>
      </c>
      <c r="E788" t="s">
        <v>32</v>
      </c>
      <c r="F788" t="s">
        <v>1696</v>
      </c>
      <c r="G788" t="str">
        <f>"201406014429"</f>
        <v>201406014429</v>
      </c>
      <c r="H788" t="s">
        <v>573</v>
      </c>
      <c r="I788">
        <v>0</v>
      </c>
      <c r="J788">
        <v>0</v>
      </c>
      <c r="K788">
        <v>0</v>
      </c>
      <c r="L788">
        <v>0</v>
      </c>
      <c r="M788">
        <v>0</v>
      </c>
      <c r="N788">
        <v>30</v>
      </c>
      <c r="O788">
        <v>0</v>
      </c>
      <c r="P788">
        <v>0</v>
      </c>
      <c r="Q788">
        <v>0</v>
      </c>
      <c r="R788">
        <v>0</v>
      </c>
      <c r="S788">
        <v>0</v>
      </c>
      <c r="T788">
        <v>0</v>
      </c>
      <c r="U788">
        <v>0</v>
      </c>
      <c r="V788">
        <v>84</v>
      </c>
      <c r="W788">
        <v>588</v>
      </c>
      <c r="X788">
        <v>0</v>
      </c>
      <c r="Z788">
        <v>0</v>
      </c>
      <c r="AA788">
        <v>0</v>
      </c>
      <c r="AB788">
        <v>0</v>
      </c>
      <c r="AC788">
        <v>0</v>
      </c>
      <c r="AD788" t="s">
        <v>1697</v>
      </c>
    </row>
    <row r="789" spans="1:30" x14ac:dyDescent="0.25">
      <c r="H789" t="s">
        <v>1698</v>
      </c>
    </row>
    <row r="790" spans="1:30" x14ac:dyDescent="0.25">
      <c r="A790">
        <v>392</v>
      </c>
      <c r="B790">
        <v>2561</v>
      </c>
      <c r="C790" t="s">
        <v>1483</v>
      </c>
      <c r="D790" t="s">
        <v>1699</v>
      </c>
      <c r="E790" t="s">
        <v>107</v>
      </c>
      <c r="F790" t="s">
        <v>1700</v>
      </c>
      <c r="G790" t="str">
        <f>"00195652"</f>
        <v>00195652</v>
      </c>
      <c r="H790" t="s">
        <v>162</v>
      </c>
      <c r="I790">
        <v>0</v>
      </c>
      <c r="J790">
        <v>0</v>
      </c>
      <c r="K790">
        <v>0</v>
      </c>
      <c r="L790">
        <v>0</v>
      </c>
      <c r="M790">
        <v>0</v>
      </c>
      <c r="N790">
        <v>0</v>
      </c>
      <c r="O790">
        <v>0</v>
      </c>
      <c r="P790">
        <v>0</v>
      </c>
      <c r="Q790">
        <v>0</v>
      </c>
      <c r="R790">
        <v>0</v>
      </c>
      <c r="S790">
        <v>0</v>
      </c>
      <c r="T790">
        <v>0</v>
      </c>
      <c r="U790">
        <v>0</v>
      </c>
      <c r="V790">
        <v>84</v>
      </c>
      <c r="W790">
        <v>588</v>
      </c>
      <c r="X790">
        <v>0</v>
      </c>
      <c r="Z790">
        <v>0</v>
      </c>
      <c r="AA790">
        <v>0</v>
      </c>
      <c r="AB790">
        <v>0</v>
      </c>
      <c r="AC790">
        <v>0</v>
      </c>
      <c r="AD790" t="s">
        <v>1701</v>
      </c>
    </row>
    <row r="791" spans="1:30" x14ac:dyDescent="0.25">
      <c r="H791" t="s">
        <v>1702</v>
      </c>
    </row>
    <row r="792" spans="1:30" x14ac:dyDescent="0.25">
      <c r="A792">
        <v>393</v>
      </c>
      <c r="B792">
        <v>3387</v>
      </c>
      <c r="C792" t="s">
        <v>1703</v>
      </c>
      <c r="D792" t="s">
        <v>49</v>
      </c>
      <c r="E792" t="s">
        <v>28</v>
      </c>
      <c r="F792" t="s">
        <v>1704</v>
      </c>
      <c r="G792" t="str">
        <f>"00368471"</f>
        <v>00368471</v>
      </c>
      <c r="H792" t="s">
        <v>652</v>
      </c>
      <c r="I792">
        <v>0</v>
      </c>
      <c r="J792">
        <v>0</v>
      </c>
      <c r="K792">
        <v>0</v>
      </c>
      <c r="L792">
        <v>0</v>
      </c>
      <c r="M792">
        <v>0</v>
      </c>
      <c r="N792">
        <v>30</v>
      </c>
      <c r="O792">
        <v>0</v>
      </c>
      <c r="P792">
        <v>50</v>
      </c>
      <c r="Q792">
        <v>0</v>
      </c>
      <c r="R792">
        <v>0</v>
      </c>
      <c r="S792">
        <v>0</v>
      </c>
      <c r="T792">
        <v>0</v>
      </c>
      <c r="U792">
        <v>0</v>
      </c>
      <c r="V792">
        <v>84</v>
      </c>
      <c r="W792">
        <v>588</v>
      </c>
      <c r="X792">
        <v>0</v>
      </c>
      <c r="Z792">
        <v>1</v>
      </c>
      <c r="AA792">
        <v>0</v>
      </c>
      <c r="AB792">
        <v>0</v>
      </c>
      <c r="AC792">
        <v>0</v>
      </c>
      <c r="AD792" t="s">
        <v>1705</v>
      </c>
    </row>
    <row r="793" spans="1:30" x14ac:dyDescent="0.25">
      <c r="H793" t="s">
        <v>1327</v>
      </c>
    </row>
    <row r="794" spans="1:30" x14ac:dyDescent="0.25">
      <c r="A794">
        <v>394</v>
      </c>
      <c r="B794">
        <v>751</v>
      </c>
      <c r="C794" t="s">
        <v>1706</v>
      </c>
      <c r="D794" t="s">
        <v>615</v>
      </c>
      <c r="E794" t="s">
        <v>255</v>
      </c>
      <c r="F794" t="s">
        <v>1707</v>
      </c>
      <c r="G794" t="str">
        <f>"00152985"</f>
        <v>00152985</v>
      </c>
      <c r="H794" t="s">
        <v>855</v>
      </c>
      <c r="I794">
        <v>150</v>
      </c>
      <c r="J794">
        <v>0</v>
      </c>
      <c r="K794">
        <v>0</v>
      </c>
      <c r="L794">
        <v>0</v>
      </c>
      <c r="M794">
        <v>100</v>
      </c>
      <c r="N794">
        <v>30</v>
      </c>
      <c r="O794">
        <v>0</v>
      </c>
      <c r="P794">
        <v>0</v>
      </c>
      <c r="Q794">
        <v>0</v>
      </c>
      <c r="R794">
        <v>0</v>
      </c>
      <c r="S794">
        <v>0</v>
      </c>
      <c r="T794">
        <v>0</v>
      </c>
      <c r="U794">
        <v>0</v>
      </c>
      <c r="V794">
        <v>0</v>
      </c>
      <c r="W794">
        <v>0</v>
      </c>
      <c r="X794">
        <v>0</v>
      </c>
      <c r="Z794">
        <v>0</v>
      </c>
      <c r="AA794">
        <v>0</v>
      </c>
      <c r="AB794">
        <v>24</v>
      </c>
      <c r="AC794">
        <v>408</v>
      </c>
      <c r="AD794" t="s">
        <v>1708</v>
      </c>
    </row>
    <row r="795" spans="1:30" x14ac:dyDescent="0.25">
      <c r="H795" t="s">
        <v>360</v>
      </c>
    </row>
    <row r="796" spans="1:30" x14ac:dyDescent="0.25">
      <c r="A796">
        <v>395</v>
      </c>
      <c r="B796">
        <v>5159</v>
      </c>
      <c r="C796" t="s">
        <v>1709</v>
      </c>
      <c r="D796" t="s">
        <v>95</v>
      </c>
      <c r="E796" t="s">
        <v>1710</v>
      </c>
      <c r="F796" t="s">
        <v>1711</v>
      </c>
      <c r="G796" t="str">
        <f>"00363854"</f>
        <v>00363854</v>
      </c>
      <c r="H796" t="s">
        <v>349</v>
      </c>
      <c r="I796">
        <v>0</v>
      </c>
      <c r="J796">
        <v>0</v>
      </c>
      <c r="K796">
        <v>0</v>
      </c>
      <c r="L796">
        <v>0</v>
      </c>
      <c r="M796">
        <v>0</v>
      </c>
      <c r="N796">
        <v>30</v>
      </c>
      <c r="O796">
        <v>0</v>
      </c>
      <c r="P796">
        <v>0</v>
      </c>
      <c r="Q796">
        <v>0</v>
      </c>
      <c r="R796">
        <v>0</v>
      </c>
      <c r="S796">
        <v>0</v>
      </c>
      <c r="T796">
        <v>0</v>
      </c>
      <c r="U796">
        <v>0</v>
      </c>
      <c r="V796">
        <v>84</v>
      </c>
      <c r="W796">
        <v>588</v>
      </c>
      <c r="X796">
        <v>0</v>
      </c>
      <c r="Z796">
        <v>0</v>
      </c>
      <c r="AA796">
        <v>0</v>
      </c>
      <c r="AB796">
        <v>0</v>
      </c>
      <c r="AC796">
        <v>0</v>
      </c>
      <c r="AD796" t="s">
        <v>1712</v>
      </c>
    </row>
    <row r="797" spans="1:30" x14ac:dyDescent="0.25">
      <c r="H797" t="s">
        <v>1713</v>
      </c>
    </row>
    <row r="798" spans="1:30" x14ac:dyDescent="0.25">
      <c r="A798">
        <v>396</v>
      </c>
      <c r="B798">
        <v>5573</v>
      </c>
      <c r="C798" t="s">
        <v>1714</v>
      </c>
      <c r="D798" t="s">
        <v>598</v>
      </c>
      <c r="E798" t="s">
        <v>325</v>
      </c>
      <c r="F798" t="s">
        <v>1715</v>
      </c>
      <c r="G798" t="str">
        <f>"201412004760"</f>
        <v>201412004760</v>
      </c>
      <c r="H798">
        <v>781</v>
      </c>
      <c r="I798">
        <v>0</v>
      </c>
      <c r="J798">
        <v>0</v>
      </c>
      <c r="K798">
        <v>0</v>
      </c>
      <c r="L798">
        <v>200</v>
      </c>
      <c r="M798">
        <v>0</v>
      </c>
      <c r="N798">
        <v>30</v>
      </c>
      <c r="O798">
        <v>0</v>
      </c>
      <c r="P798">
        <v>0</v>
      </c>
      <c r="Q798">
        <v>0</v>
      </c>
      <c r="R798">
        <v>0</v>
      </c>
      <c r="S798">
        <v>0</v>
      </c>
      <c r="T798">
        <v>0</v>
      </c>
      <c r="U798">
        <v>0</v>
      </c>
      <c r="V798">
        <v>53</v>
      </c>
      <c r="W798">
        <v>371</v>
      </c>
      <c r="X798">
        <v>0</v>
      </c>
      <c r="Z798">
        <v>0</v>
      </c>
      <c r="AA798">
        <v>0</v>
      </c>
      <c r="AB798">
        <v>0</v>
      </c>
      <c r="AC798">
        <v>0</v>
      </c>
      <c r="AD798">
        <v>1382</v>
      </c>
    </row>
    <row r="799" spans="1:30" x14ac:dyDescent="0.25">
      <c r="H799" t="s">
        <v>1716</v>
      </c>
    </row>
    <row r="800" spans="1:30" x14ac:dyDescent="0.25">
      <c r="A800">
        <v>397</v>
      </c>
      <c r="B800">
        <v>5082</v>
      </c>
      <c r="C800" t="s">
        <v>1717</v>
      </c>
      <c r="D800" t="s">
        <v>444</v>
      </c>
      <c r="E800" t="s">
        <v>50</v>
      </c>
      <c r="F800" t="s">
        <v>1718</v>
      </c>
      <c r="G800" t="str">
        <f>"00150141"</f>
        <v>00150141</v>
      </c>
      <c r="H800" t="s">
        <v>1719</v>
      </c>
      <c r="I800">
        <v>0</v>
      </c>
      <c r="J800">
        <v>0</v>
      </c>
      <c r="K800">
        <v>0</v>
      </c>
      <c r="L800">
        <v>0</v>
      </c>
      <c r="M800">
        <v>0</v>
      </c>
      <c r="N800">
        <v>0</v>
      </c>
      <c r="O800">
        <v>0</v>
      </c>
      <c r="P800">
        <v>0</v>
      </c>
      <c r="Q800">
        <v>0</v>
      </c>
      <c r="R800">
        <v>0</v>
      </c>
      <c r="S800">
        <v>0</v>
      </c>
      <c r="T800">
        <v>0</v>
      </c>
      <c r="U800">
        <v>0</v>
      </c>
      <c r="V800">
        <v>76</v>
      </c>
      <c r="W800">
        <v>532</v>
      </c>
      <c r="X800">
        <v>0</v>
      </c>
      <c r="Z800">
        <v>0</v>
      </c>
      <c r="AA800">
        <v>0</v>
      </c>
      <c r="AB800">
        <v>8</v>
      </c>
      <c r="AC800">
        <v>136</v>
      </c>
      <c r="AD800" t="s">
        <v>1720</v>
      </c>
    </row>
    <row r="801" spans="1:30" x14ac:dyDescent="0.25">
      <c r="H801" t="s">
        <v>1721</v>
      </c>
    </row>
    <row r="802" spans="1:30" x14ac:dyDescent="0.25">
      <c r="A802">
        <v>398</v>
      </c>
      <c r="B802">
        <v>2070</v>
      </c>
      <c r="C802" t="s">
        <v>1722</v>
      </c>
      <c r="D802" t="s">
        <v>28</v>
      </c>
      <c r="E802" t="s">
        <v>1723</v>
      </c>
      <c r="F802" t="s">
        <v>1724</v>
      </c>
      <c r="G802" t="str">
        <f>"00273976"</f>
        <v>00273976</v>
      </c>
      <c r="H802" t="s">
        <v>1725</v>
      </c>
      <c r="I802">
        <v>0</v>
      </c>
      <c r="J802">
        <v>0</v>
      </c>
      <c r="K802">
        <v>0</v>
      </c>
      <c r="L802">
        <v>0</v>
      </c>
      <c r="M802">
        <v>0</v>
      </c>
      <c r="N802">
        <v>30</v>
      </c>
      <c r="O802">
        <v>0</v>
      </c>
      <c r="P802">
        <v>0</v>
      </c>
      <c r="Q802">
        <v>0</v>
      </c>
      <c r="R802">
        <v>0</v>
      </c>
      <c r="S802">
        <v>0</v>
      </c>
      <c r="T802">
        <v>0</v>
      </c>
      <c r="U802">
        <v>0</v>
      </c>
      <c r="V802">
        <v>84</v>
      </c>
      <c r="W802">
        <v>588</v>
      </c>
      <c r="X802">
        <v>0</v>
      </c>
      <c r="Z802">
        <v>0</v>
      </c>
      <c r="AA802">
        <v>0</v>
      </c>
      <c r="AB802">
        <v>0</v>
      </c>
      <c r="AC802">
        <v>0</v>
      </c>
      <c r="AD802" t="s">
        <v>1726</v>
      </c>
    </row>
    <row r="803" spans="1:30" x14ac:dyDescent="0.25">
      <c r="H803" t="s">
        <v>1727</v>
      </c>
    </row>
    <row r="804" spans="1:30" x14ac:dyDescent="0.25">
      <c r="A804">
        <v>399</v>
      </c>
      <c r="B804">
        <v>4119</v>
      </c>
      <c r="C804" t="s">
        <v>318</v>
      </c>
      <c r="D804" t="s">
        <v>27</v>
      </c>
      <c r="E804" t="s">
        <v>49</v>
      </c>
      <c r="F804" t="s">
        <v>1728</v>
      </c>
      <c r="G804" t="str">
        <f>"00336949"</f>
        <v>00336949</v>
      </c>
      <c r="H804" t="s">
        <v>1729</v>
      </c>
      <c r="I804">
        <v>0</v>
      </c>
      <c r="J804">
        <v>0</v>
      </c>
      <c r="K804">
        <v>0</v>
      </c>
      <c r="L804">
        <v>0</v>
      </c>
      <c r="M804">
        <v>0</v>
      </c>
      <c r="N804">
        <v>30</v>
      </c>
      <c r="O804">
        <v>0</v>
      </c>
      <c r="P804">
        <v>0</v>
      </c>
      <c r="Q804">
        <v>0</v>
      </c>
      <c r="R804">
        <v>0</v>
      </c>
      <c r="S804">
        <v>0</v>
      </c>
      <c r="T804">
        <v>0</v>
      </c>
      <c r="U804">
        <v>0</v>
      </c>
      <c r="V804">
        <v>70</v>
      </c>
      <c r="W804">
        <v>490</v>
      </c>
      <c r="X804">
        <v>0</v>
      </c>
      <c r="Z804">
        <v>0</v>
      </c>
      <c r="AA804">
        <v>0</v>
      </c>
      <c r="AB804">
        <v>0</v>
      </c>
      <c r="AC804">
        <v>0</v>
      </c>
      <c r="AD804" t="s">
        <v>1730</v>
      </c>
    </row>
    <row r="805" spans="1:30" x14ac:dyDescent="0.25">
      <c r="H805" t="s">
        <v>1731</v>
      </c>
    </row>
    <row r="806" spans="1:30" x14ac:dyDescent="0.25">
      <c r="A806">
        <v>400</v>
      </c>
      <c r="B806">
        <v>2504</v>
      </c>
      <c r="C806" t="s">
        <v>1732</v>
      </c>
      <c r="D806" t="s">
        <v>135</v>
      </c>
      <c r="E806" t="s">
        <v>743</v>
      </c>
      <c r="F806" t="s">
        <v>1733</v>
      </c>
      <c r="G806" t="str">
        <f>"200810000836"</f>
        <v>200810000836</v>
      </c>
      <c r="H806" t="s">
        <v>1734</v>
      </c>
      <c r="I806">
        <v>0</v>
      </c>
      <c r="J806">
        <v>0</v>
      </c>
      <c r="K806">
        <v>0</v>
      </c>
      <c r="L806">
        <v>0</v>
      </c>
      <c r="M806">
        <v>0</v>
      </c>
      <c r="N806">
        <v>0</v>
      </c>
      <c r="O806">
        <v>0</v>
      </c>
      <c r="P806">
        <v>0</v>
      </c>
      <c r="Q806">
        <v>0</v>
      </c>
      <c r="R806">
        <v>0</v>
      </c>
      <c r="S806">
        <v>0</v>
      </c>
      <c r="T806">
        <v>0</v>
      </c>
      <c r="U806">
        <v>0</v>
      </c>
      <c r="V806">
        <v>46</v>
      </c>
      <c r="W806">
        <v>322</v>
      </c>
      <c r="X806">
        <v>0</v>
      </c>
      <c r="Z806">
        <v>0</v>
      </c>
      <c r="AA806">
        <v>0</v>
      </c>
      <c r="AB806">
        <v>24</v>
      </c>
      <c r="AC806">
        <v>408</v>
      </c>
      <c r="AD806" t="s">
        <v>1735</v>
      </c>
    </row>
    <row r="807" spans="1:30" x14ac:dyDescent="0.25">
      <c r="H807" t="s">
        <v>1736</v>
      </c>
    </row>
    <row r="808" spans="1:30" x14ac:dyDescent="0.25">
      <c r="A808">
        <v>401</v>
      </c>
      <c r="B808">
        <v>3188</v>
      </c>
      <c r="C808" t="s">
        <v>1737</v>
      </c>
      <c r="D808" t="s">
        <v>84</v>
      </c>
      <c r="E808" t="s">
        <v>963</v>
      </c>
      <c r="F808" t="s">
        <v>1738</v>
      </c>
      <c r="G808" t="str">
        <f>"00206385"</f>
        <v>00206385</v>
      </c>
      <c r="H808" t="s">
        <v>1202</v>
      </c>
      <c r="I808">
        <v>0</v>
      </c>
      <c r="J808">
        <v>0</v>
      </c>
      <c r="K808">
        <v>0</v>
      </c>
      <c r="L808">
        <v>0</v>
      </c>
      <c r="M808">
        <v>0</v>
      </c>
      <c r="N808">
        <v>30</v>
      </c>
      <c r="O808">
        <v>0</v>
      </c>
      <c r="P808">
        <v>0</v>
      </c>
      <c r="Q808">
        <v>0</v>
      </c>
      <c r="R808">
        <v>0</v>
      </c>
      <c r="S808">
        <v>0</v>
      </c>
      <c r="T808">
        <v>0</v>
      </c>
      <c r="U808">
        <v>0</v>
      </c>
      <c r="V808">
        <v>78</v>
      </c>
      <c r="W808">
        <v>546</v>
      </c>
      <c r="X808">
        <v>0</v>
      </c>
      <c r="Z808">
        <v>1</v>
      </c>
      <c r="AA808">
        <v>0</v>
      </c>
      <c r="AB808">
        <v>6</v>
      </c>
      <c r="AC808">
        <v>102</v>
      </c>
      <c r="AD808" t="s">
        <v>1739</v>
      </c>
    </row>
    <row r="809" spans="1:30" x14ac:dyDescent="0.25">
      <c r="H809" t="s">
        <v>1740</v>
      </c>
    </row>
    <row r="810" spans="1:30" x14ac:dyDescent="0.25">
      <c r="A810">
        <v>402</v>
      </c>
      <c r="B810">
        <v>3533</v>
      </c>
      <c r="C810" t="s">
        <v>1741</v>
      </c>
      <c r="D810" t="s">
        <v>319</v>
      </c>
      <c r="E810" t="s">
        <v>28</v>
      </c>
      <c r="F810" t="s">
        <v>1742</v>
      </c>
      <c r="G810" t="str">
        <f>"200905000068"</f>
        <v>200905000068</v>
      </c>
      <c r="H810" t="s">
        <v>1281</v>
      </c>
      <c r="I810">
        <v>0</v>
      </c>
      <c r="J810">
        <v>0</v>
      </c>
      <c r="K810">
        <v>0</v>
      </c>
      <c r="L810">
        <v>0</v>
      </c>
      <c r="M810">
        <v>0</v>
      </c>
      <c r="N810">
        <v>30</v>
      </c>
      <c r="O810">
        <v>0</v>
      </c>
      <c r="P810">
        <v>0</v>
      </c>
      <c r="Q810">
        <v>0</v>
      </c>
      <c r="R810">
        <v>0</v>
      </c>
      <c r="S810">
        <v>0</v>
      </c>
      <c r="T810">
        <v>0</v>
      </c>
      <c r="U810">
        <v>0</v>
      </c>
      <c r="V810">
        <v>84</v>
      </c>
      <c r="W810">
        <v>588</v>
      </c>
      <c r="X810">
        <v>0</v>
      </c>
      <c r="Z810">
        <v>0</v>
      </c>
      <c r="AA810">
        <v>0</v>
      </c>
      <c r="AB810">
        <v>0</v>
      </c>
      <c r="AC810">
        <v>0</v>
      </c>
      <c r="AD810" t="s">
        <v>1743</v>
      </c>
    </row>
    <row r="811" spans="1:30" x14ac:dyDescent="0.25">
      <c r="H811" t="s">
        <v>1744</v>
      </c>
    </row>
    <row r="812" spans="1:30" x14ac:dyDescent="0.25">
      <c r="A812">
        <v>403</v>
      </c>
      <c r="B812">
        <v>4772</v>
      </c>
      <c r="C812" t="s">
        <v>1745</v>
      </c>
      <c r="D812" t="s">
        <v>283</v>
      </c>
      <c r="E812" t="s">
        <v>1169</v>
      </c>
      <c r="F812" t="s">
        <v>1746</v>
      </c>
      <c r="G812" t="str">
        <f>"00260592"</f>
        <v>00260592</v>
      </c>
      <c r="H812">
        <v>792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0</v>
      </c>
      <c r="O812">
        <v>0</v>
      </c>
      <c r="P812">
        <v>0</v>
      </c>
      <c r="Q812">
        <v>0</v>
      </c>
      <c r="R812">
        <v>0</v>
      </c>
      <c r="S812">
        <v>0</v>
      </c>
      <c r="T812">
        <v>0</v>
      </c>
      <c r="U812">
        <v>0</v>
      </c>
      <c r="V812">
        <v>84</v>
      </c>
      <c r="W812">
        <v>588</v>
      </c>
      <c r="X812">
        <v>0</v>
      </c>
      <c r="Z812">
        <v>2</v>
      </c>
      <c r="AA812">
        <v>0</v>
      </c>
      <c r="AB812">
        <v>0</v>
      </c>
      <c r="AC812">
        <v>0</v>
      </c>
      <c r="AD812">
        <v>1380</v>
      </c>
    </row>
    <row r="813" spans="1:30" x14ac:dyDescent="0.25">
      <c r="H813" t="s">
        <v>1747</v>
      </c>
    </row>
    <row r="814" spans="1:30" x14ac:dyDescent="0.25">
      <c r="A814">
        <v>404</v>
      </c>
      <c r="B814">
        <v>4568</v>
      </c>
      <c r="C814" t="s">
        <v>1748</v>
      </c>
      <c r="D814" t="s">
        <v>1749</v>
      </c>
      <c r="E814" t="s">
        <v>32</v>
      </c>
      <c r="F814" t="s">
        <v>1750</v>
      </c>
      <c r="G814" t="str">
        <f>"201410011255"</f>
        <v>201410011255</v>
      </c>
      <c r="H814">
        <v>792</v>
      </c>
      <c r="I814">
        <v>0</v>
      </c>
      <c r="J814">
        <v>0</v>
      </c>
      <c r="K814">
        <v>0</v>
      </c>
      <c r="L814">
        <v>0</v>
      </c>
      <c r="M814">
        <v>0</v>
      </c>
      <c r="N814">
        <v>0</v>
      </c>
      <c r="O814">
        <v>0</v>
      </c>
      <c r="P814">
        <v>0</v>
      </c>
      <c r="Q814">
        <v>0</v>
      </c>
      <c r="R814">
        <v>0</v>
      </c>
      <c r="S814">
        <v>0</v>
      </c>
      <c r="T814">
        <v>0</v>
      </c>
      <c r="U814">
        <v>0</v>
      </c>
      <c r="V814">
        <v>84</v>
      </c>
      <c r="W814">
        <v>588</v>
      </c>
      <c r="X814">
        <v>0</v>
      </c>
      <c r="Z814">
        <v>1</v>
      </c>
      <c r="AA814">
        <v>0</v>
      </c>
      <c r="AB814">
        <v>0</v>
      </c>
      <c r="AC814">
        <v>0</v>
      </c>
      <c r="AD814">
        <v>1380</v>
      </c>
    </row>
    <row r="815" spans="1:30" x14ac:dyDescent="0.25">
      <c r="H815" t="s">
        <v>1751</v>
      </c>
    </row>
    <row r="816" spans="1:30" x14ac:dyDescent="0.25">
      <c r="A816">
        <v>405</v>
      </c>
      <c r="B816">
        <v>3754</v>
      </c>
      <c r="C816" t="s">
        <v>1752</v>
      </c>
      <c r="D816" t="s">
        <v>44</v>
      </c>
      <c r="E816" t="s">
        <v>181</v>
      </c>
      <c r="F816" t="s">
        <v>1753</v>
      </c>
      <c r="G816" t="str">
        <f>"00258917"</f>
        <v>00258917</v>
      </c>
      <c r="H816" t="s">
        <v>431</v>
      </c>
      <c r="I816">
        <v>0</v>
      </c>
      <c r="J816">
        <v>0</v>
      </c>
      <c r="K816">
        <v>0</v>
      </c>
      <c r="L816">
        <v>0</v>
      </c>
      <c r="M816">
        <v>0</v>
      </c>
      <c r="N816">
        <v>0</v>
      </c>
      <c r="O816">
        <v>0</v>
      </c>
      <c r="P816">
        <v>0</v>
      </c>
      <c r="Q816">
        <v>0</v>
      </c>
      <c r="R816">
        <v>0</v>
      </c>
      <c r="S816">
        <v>0</v>
      </c>
      <c r="T816">
        <v>0</v>
      </c>
      <c r="U816">
        <v>0</v>
      </c>
      <c r="V816">
        <v>71</v>
      </c>
      <c r="W816">
        <v>497</v>
      </c>
      <c r="X816">
        <v>0</v>
      </c>
      <c r="Z816">
        <v>0</v>
      </c>
      <c r="AA816">
        <v>0</v>
      </c>
      <c r="AB816">
        <v>13</v>
      </c>
      <c r="AC816">
        <v>221</v>
      </c>
      <c r="AD816" t="s">
        <v>1754</v>
      </c>
    </row>
    <row r="817" spans="1:30" x14ac:dyDescent="0.25">
      <c r="H817" t="s">
        <v>633</v>
      </c>
    </row>
    <row r="818" spans="1:30" x14ac:dyDescent="0.25">
      <c r="A818">
        <v>406</v>
      </c>
      <c r="B818">
        <v>5682</v>
      </c>
      <c r="C818" t="s">
        <v>1755</v>
      </c>
      <c r="D818" t="s">
        <v>166</v>
      </c>
      <c r="E818" t="s">
        <v>1756</v>
      </c>
      <c r="F818" t="s">
        <v>1757</v>
      </c>
      <c r="G818" t="str">
        <f>"00357905"</f>
        <v>00357905</v>
      </c>
      <c r="H818" t="s">
        <v>1758</v>
      </c>
      <c r="I818">
        <v>0</v>
      </c>
      <c r="J818">
        <v>0</v>
      </c>
      <c r="K818">
        <v>0</v>
      </c>
      <c r="L818">
        <v>200</v>
      </c>
      <c r="M818">
        <v>0</v>
      </c>
      <c r="N818">
        <v>30</v>
      </c>
      <c r="O818">
        <v>0</v>
      </c>
      <c r="P818">
        <v>0</v>
      </c>
      <c r="Q818">
        <v>0</v>
      </c>
      <c r="R818">
        <v>0</v>
      </c>
      <c r="S818">
        <v>0</v>
      </c>
      <c r="T818">
        <v>0</v>
      </c>
      <c r="U818">
        <v>0</v>
      </c>
      <c r="V818">
        <v>61</v>
      </c>
      <c r="W818">
        <v>427</v>
      </c>
      <c r="X818">
        <v>0</v>
      </c>
      <c r="Z818">
        <v>0</v>
      </c>
      <c r="AA818">
        <v>0</v>
      </c>
      <c r="AB818">
        <v>0</v>
      </c>
      <c r="AC818">
        <v>0</v>
      </c>
      <c r="AD818" t="s">
        <v>1759</v>
      </c>
    </row>
    <row r="819" spans="1:30" x14ac:dyDescent="0.25">
      <c r="H819" t="s">
        <v>1760</v>
      </c>
    </row>
    <row r="820" spans="1:30" x14ac:dyDescent="0.25">
      <c r="A820">
        <v>407</v>
      </c>
      <c r="B820">
        <v>4670</v>
      </c>
      <c r="C820" t="s">
        <v>1761</v>
      </c>
      <c r="D820" t="s">
        <v>283</v>
      </c>
      <c r="E820" t="s">
        <v>50</v>
      </c>
      <c r="F820" t="s">
        <v>1762</v>
      </c>
      <c r="G820" t="str">
        <f>"201406013216"</f>
        <v>201406013216</v>
      </c>
      <c r="H820" t="s">
        <v>1763</v>
      </c>
      <c r="I820">
        <v>0</v>
      </c>
      <c r="J820">
        <v>0</v>
      </c>
      <c r="K820">
        <v>0</v>
      </c>
      <c r="L820">
        <v>200</v>
      </c>
      <c r="M820">
        <v>0</v>
      </c>
      <c r="N820">
        <v>70</v>
      </c>
      <c r="O820">
        <v>0</v>
      </c>
      <c r="P820">
        <v>0</v>
      </c>
      <c r="Q820">
        <v>0</v>
      </c>
      <c r="R820">
        <v>0</v>
      </c>
      <c r="S820">
        <v>0</v>
      </c>
      <c r="T820">
        <v>0</v>
      </c>
      <c r="U820">
        <v>0</v>
      </c>
      <c r="V820">
        <v>33</v>
      </c>
      <c r="W820">
        <v>231</v>
      </c>
      <c r="X820">
        <v>0</v>
      </c>
      <c r="Z820">
        <v>0</v>
      </c>
      <c r="AA820">
        <v>0</v>
      </c>
      <c r="AB820">
        <v>0</v>
      </c>
      <c r="AC820">
        <v>0</v>
      </c>
      <c r="AD820" t="s">
        <v>1764</v>
      </c>
    </row>
    <row r="821" spans="1:30" x14ac:dyDescent="0.25">
      <c r="H821" t="s">
        <v>1765</v>
      </c>
    </row>
    <row r="822" spans="1:30" x14ac:dyDescent="0.25">
      <c r="A822">
        <v>408</v>
      </c>
      <c r="B822">
        <v>1211</v>
      </c>
      <c r="C822" t="s">
        <v>1766</v>
      </c>
      <c r="D822" t="s">
        <v>283</v>
      </c>
      <c r="E822" t="s">
        <v>28</v>
      </c>
      <c r="F822" t="s">
        <v>1767</v>
      </c>
      <c r="G822" t="str">
        <f>"00285898"</f>
        <v>00285898</v>
      </c>
      <c r="H822" t="s">
        <v>198</v>
      </c>
      <c r="I822">
        <v>0</v>
      </c>
      <c r="J822">
        <v>0</v>
      </c>
      <c r="K822">
        <v>0</v>
      </c>
      <c r="L822">
        <v>0</v>
      </c>
      <c r="M822">
        <v>0</v>
      </c>
      <c r="N822">
        <v>30</v>
      </c>
      <c r="O822">
        <v>30</v>
      </c>
      <c r="P822">
        <v>0</v>
      </c>
      <c r="Q822">
        <v>0</v>
      </c>
      <c r="R822">
        <v>0</v>
      </c>
      <c r="S822">
        <v>0</v>
      </c>
      <c r="T822">
        <v>0</v>
      </c>
      <c r="U822">
        <v>0</v>
      </c>
      <c r="V822">
        <v>84</v>
      </c>
      <c r="W822">
        <v>588</v>
      </c>
      <c r="X822">
        <v>0</v>
      </c>
      <c r="Z822">
        <v>0</v>
      </c>
      <c r="AA822">
        <v>0</v>
      </c>
      <c r="AB822">
        <v>0</v>
      </c>
      <c r="AC822">
        <v>0</v>
      </c>
      <c r="AD822" t="s">
        <v>1768</v>
      </c>
    </row>
    <row r="823" spans="1:30" x14ac:dyDescent="0.25">
      <c r="H823" t="s">
        <v>1235</v>
      </c>
    </row>
    <row r="824" spans="1:30" x14ac:dyDescent="0.25">
      <c r="A824">
        <v>409</v>
      </c>
      <c r="B824">
        <v>980</v>
      </c>
      <c r="C824" t="s">
        <v>1769</v>
      </c>
      <c r="D824" t="s">
        <v>39</v>
      </c>
      <c r="E824" t="s">
        <v>102</v>
      </c>
      <c r="F824" t="s">
        <v>1770</v>
      </c>
      <c r="G824" t="str">
        <f>"201406009788"</f>
        <v>201406009788</v>
      </c>
      <c r="H824">
        <v>759</v>
      </c>
      <c r="I824">
        <v>0</v>
      </c>
      <c r="J824">
        <v>0</v>
      </c>
      <c r="K824">
        <v>0</v>
      </c>
      <c r="L824">
        <v>0</v>
      </c>
      <c r="M824">
        <v>0</v>
      </c>
      <c r="N824">
        <v>30</v>
      </c>
      <c r="O824">
        <v>0</v>
      </c>
      <c r="P824">
        <v>0</v>
      </c>
      <c r="Q824">
        <v>0</v>
      </c>
      <c r="R824">
        <v>0</v>
      </c>
      <c r="S824">
        <v>0</v>
      </c>
      <c r="T824">
        <v>0</v>
      </c>
      <c r="U824">
        <v>0</v>
      </c>
      <c r="V824">
        <v>84</v>
      </c>
      <c r="W824">
        <v>588</v>
      </c>
      <c r="X824">
        <v>0</v>
      </c>
      <c r="Z824">
        <v>0</v>
      </c>
      <c r="AA824">
        <v>0</v>
      </c>
      <c r="AB824">
        <v>0</v>
      </c>
      <c r="AC824">
        <v>0</v>
      </c>
      <c r="AD824">
        <v>1377</v>
      </c>
    </row>
    <row r="825" spans="1:30" x14ac:dyDescent="0.25">
      <c r="H825" t="s">
        <v>1771</v>
      </c>
    </row>
    <row r="826" spans="1:30" x14ac:dyDescent="0.25">
      <c r="A826">
        <v>410</v>
      </c>
      <c r="B826">
        <v>40</v>
      </c>
      <c r="C826" t="s">
        <v>1772</v>
      </c>
      <c r="D826" t="s">
        <v>815</v>
      </c>
      <c r="E826" t="s">
        <v>102</v>
      </c>
      <c r="F826" t="s">
        <v>1773</v>
      </c>
      <c r="G826" t="str">
        <f>"00194955"</f>
        <v>00194955</v>
      </c>
      <c r="H826">
        <v>759</v>
      </c>
      <c r="I826">
        <v>0</v>
      </c>
      <c r="J826">
        <v>0</v>
      </c>
      <c r="K826">
        <v>0</v>
      </c>
      <c r="L826">
        <v>0</v>
      </c>
      <c r="M826">
        <v>0</v>
      </c>
      <c r="N826">
        <v>30</v>
      </c>
      <c r="O826">
        <v>0</v>
      </c>
      <c r="P826">
        <v>0</v>
      </c>
      <c r="Q826">
        <v>0</v>
      </c>
      <c r="R826">
        <v>0</v>
      </c>
      <c r="S826">
        <v>0</v>
      </c>
      <c r="T826">
        <v>0</v>
      </c>
      <c r="U826">
        <v>0</v>
      </c>
      <c r="V826">
        <v>84</v>
      </c>
      <c r="W826">
        <v>588</v>
      </c>
      <c r="X826">
        <v>0</v>
      </c>
      <c r="Z826">
        <v>0</v>
      </c>
      <c r="AA826">
        <v>0</v>
      </c>
      <c r="AB826">
        <v>0</v>
      </c>
      <c r="AC826">
        <v>0</v>
      </c>
      <c r="AD826">
        <v>1377</v>
      </c>
    </row>
    <row r="827" spans="1:30" x14ac:dyDescent="0.25">
      <c r="H827" t="s">
        <v>1774</v>
      </c>
    </row>
    <row r="828" spans="1:30" x14ac:dyDescent="0.25">
      <c r="A828">
        <v>411</v>
      </c>
      <c r="B828">
        <v>3138</v>
      </c>
      <c r="C828" t="s">
        <v>1775</v>
      </c>
      <c r="D828" t="s">
        <v>83</v>
      </c>
      <c r="E828" t="s">
        <v>737</v>
      </c>
      <c r="F828" t="s">
        <v>1776</v>
      </c>
      <c r="G828" t="str">
        <f>"00202893"</f>
        <v>00202893</v>
      </c>
      <c r="H828">
        <v>759</v>
      </c>
      <c r="I828">
        <v>0</v>
      </c>
      <c r="J828">
        <v>0</v>
      </c>
      <c r="K828">
        <v>0</v>
      </c>
      <c r="L828">
        <v>0</v>
      </c>
      <c r="M828">
        <v>0</v>
      </c>
      <c r="N828">
        <v>30</v>
      </c>
      <c r="O828">
        <v>0</v>
      </c>
      <c r="P828">
        <v>0</v>
      </c>
      <c r="Q828">
        <v>0</v>
      </c>
      <c r="R828">
        <v>0</v>
      </c>
      <c r="S828">
        <v>0</v>
      </c>
      <c r="T828">
        <v>0</v>
      </c>
      <c r="U828">
        <v>0</v>
      </c>
      <c r="V828">
        <v>84</v>
      </c>
      <c r="W828">
        <v>588</v>
      </c>
      <c r="X828">
        <v>0</v>
      </c>
      <c r="Z828">
        <v>0</v>
      </c>
      <c r="AA828">
        <v>0</v>
      </c>
      <c r="AB828">
        <v>0</v>
      </c>
      <c r="AC828">
        <v>0</v>
      </c>
      <c r="AD828">
        <v>1377</v>
      </c>
    </row>
    <row r="829" spans="1:30" x14ac:dyDescent="0.25">
      <c r="H829" t="s">
        <v>1445</v>
      </c>
    </row>
    <row r="830" spans="1:30" x14ac:dyDescent="0.25">
      <c r="A830">
        <v>412</v>
      </c>
      <c r="B830">
        <v>989</v>
      </c>
      <c r="C830" t="s">
        <v>1777</v>
      </c>
      <c r="D830" t="s">
        <v>76</v>
      </c>
      <c r="E830" t="s">
        <v>77</v>
      </c>
      <c r="F830" t="s">
        <v>1778</v>
      </c>
      <c r="G830" t="str">
        <f>"00147873"</f>
        <v>00147873</v>
      </c>
      <c r="H830">
        <v>759</v>
      </c>
      <c r="I830">
        <v>0</v>
      </c>
      <c r="J830">
        <v>0</v>
      </c>
      <c r="K830">
        <v>0</v>
      </c>
      <c r="L830">
        <v>0</v>
      </c>
      <c r="M830">
        <v>0</v>
      </c>
      <c r="N830">
        <v>30</v>
      </c>
      <c r="O830">
        <v>0</v>
      </c>
      <c r="P830">
        <v>0</v>
      </c>
      <c r="Q830">
        <v>0</v>
      </c>
      <c r="R830">
        <v>0</v>
      </c>
      <c r="S830">
        <v>0</v>
      </c>
      <c r="T830">
        <v>0</v>
      </c>
      <c r="U830">
        <v>0</v>
      </c>
      <c r="V830">
        <v>84</v>
      </c>
      <c r="W830">
        <v>588</v>
      </c>
      <c r="X830">
        <v>0</v>
      </c>
      <c r="Z830">
        <v>0</v>
      </c>
      <c r="AA830">
        <v>0</v>
      </c>
      <c r="AB830">
        <v>0</v>
      </c>
      <c r="AC830">
        <v>0</v>
      </c>
      <c r="AD830">
        <v>1377</v>
      </c>
    </row>
    <row r="831" spans="1:30" x14ac:dyDescent="0.25">
      <c r="H831" t="s">
        <v>1779</v>
      </c>
    </row>
    <row r="832" spans="1:30" x14ac:dyDescent="0.25">
      <c r="A832">
        <v>413</v>
      </c>
      <c r="B832">
        <v>5988</v>
      </c>
      <c r="C832" t="s">
        <v>1780</v>
      </c>
      <c r="D832" t="s">
        <v>580</v>
      </c>
      <c r="E832" t="s">
        <v>120</v>
      </c>
      <c r="F832" t="s">
        <v>1781</v>
      </c>
      <c r="G832" t="str">
        <f>"00195002"</f>
        <v>00195002</v>
      </c>
      <c r="H832">
        <v>759</v>
      </c>
      <c r="I832">
        <v>0</v>
      </c>
      <c r="J832">
        <v>0</v>
      </c>
      <c r="K832">
        <v>0</v>
      </c>
      <c r="L832">
        <v>0</v>
      </c>
      <c r="M832">
        <v>0</v>
      </c>
      <c r="N832">
        <v>30</v>
      </c>
      <c r="O832">
        <v>0</v>
      </c>
      <c r="P832">
        <v>0</v>
      </c>
      <c r="Q832">
        <v>0</v>
      </c>
      <c r="R832">
        <v>0</v>
      </c>
      <c r="S832">
        <v>0</v>
      </c>
      <c r="T832">
        <v>0</v>
      </c>
      <c r="U832">
        <v>0</v>
      </c>
      <c r="V832">
        <v>84</v>
      </c>
      <c r="W832">
        <v>588</v>
      </c>
      <c r="X832">
        <v>0</v>
      </c>
      <c r="Z832">
        <v>0</v>
      </c>
      <c r="AA832">
        <v>0</v>
      </c>
      <c r="AB832">
        <v>0</v>
      </c>
      <c r="AC832">
        <v>0</v>
      </c>
      <c r="AD832">
        <v>1377</v>
      </c>
    </row>
    <row r="833" spans="1:30" x14ac:dyDescent="0.25">
      <c r="H833" t="s">
        <v>1782</v>
      </c>
    </row>
    <row r="834" spans="1:30" x14ac:dyDescent="0.25">
      <c r="A834">
        <v>414</v>
      </c>
      <c r="B834">
        <v>2040</v>
      </c>
      <c r="C834" t="s">
        <v>1783</v>
      </c>
      <c r="D834" t="s">
        <v>106</v>
      </c>
      <c r="E834" t="s">
        <v>102</v>
      </c>
      <c r="F834" t="s">
        <v>1784</v>
      </c>
      <c r="G834" t="str">
        <f>"00324531"</f>
        <v>00324531</v>
      </c>
      <c r="H834">
        <v>759</v>
      </c>
      <c r="I834">
        <v>0</v>
      </c>
      <c r="J834">
        <v>0</v>
      </c>
      <c r="K834">
        <v>0</v>
      </c>
      <c r="L834">
        <v>0</v>
      </c>
      <c r="M834">
        <v>0</v>
      </c>
      <c r="N834">
        <v>30</v>
      </c>
      <c r="O834">
        <v>0</v>
      </c>
      <c r="P834">
        <v>0</v>
      </c>
      <c r="Q834">
        <v>0</v>
      </c>
      <c r="R834">
        <v>0</v>
      </c>
      <c r="S834">
        <v>0</v>
      </c>
      <c r="T834">
        <v>0</v>
      </c>
      <c r="U834">
        <v>0</v>
      </c>
      <c r="V834">
        <v>84</v>
      </c>
      <c r="W834">
        <v>588</v>
      </c>
      <c r="X834">
        <v>0</v>
      </c>
      <c r="Z834">
        <v>0</v>
      </c>
      <c r="AA834">
        <v>0</v>
      </c>
      <c r="AB834">
        <v>0</v>
      </c>
      <c r="AC834">
        <v>0</v>
      </c>
      <c r="AD834">
        <v>1377</v>
      </c>
    </row>
    <row r="835" spans="1:30" x14ac:dyDescent="0.25">
      <c r="H835" t="s">
        <v>1785</v>
      </c>
    </row>
    <row r="836" spans="1:30" x14ac:dyDescent="0.25">
      <c r="A836">
        <v>415</v>
      </c>
      <c r="B836">
        <v>4594</v>
      </c>
      <c r="C836" t="s">
        <v>1786</v>
      </c>
      <c r="D836" t="s">
        <v>449</v>
      </c>
      <c r="E836" t="s">
        <v>49</v>
      </c>
      <c r="F836" t="s">
        <v>1787</v>
      </c>
      <c r="G836" t="str">
        <f>"201005000090"</f>
        <v>201005000090</v>
      </c>
      <c r="H836">
        <v>759</v>
      </c>
      <c r="I836">
        <v>0</v>
      </c>
      <c r="J836">
        <v>0</v>
      </c>
      <c r="K836">
        <v>0</v>
      </c>
      <c r="L836">
        <v>0</v>
      </c>
      <c r="M836">
        <v>0</v>
      </c>
      <c r="N836">
        <v>30</v>
      </c>
      <c r="O836">
        <v>0</v>
      </c>
      <c r="P836">
        <v>0</v>
      </c>
      <c r="Q836">
        <v>0</v>
      </c>
      <c r="R836">
        <v>0</v>
      </c>
      <c r="S836">
        <v>0</v>
      </c>
      <c r="T836">
        <v>0</v>
      </c>
      <c r="U836">
        <v>0</v>
      </c>
      <c r="V836">
        <v>84</v>
      </c>
      <c r="W836">
        <v>588</v>
      </c>
      <c r="X836">
        <v>0</v>
      </c>
      <c r="Z836">
        <v>0</v>
      </c>
      <c r="AA836">
        <v>0</v>
      </c>
      <c r="AB836">
        <v>0</v>
      </c>
      <c r="AC836">
        <v>0</v>
      </c>
      <c r="AD836">
        <v>1377</v>
      </c>
    </row>
    <row r="837" spans="1:30" x14ac:dyDescent="0.25">
      <c r="H837" t="s">
        <v>1788</v>
      </c>
    </row>
    <row r="838" spans="1:30" x14ac:dyDescent="0.25">
      <c r="A838">
        <v>416</v>
      </c>
      <c r="B838">
        <v>532</v>
      </c>
      <c r="C838" t="s">
        <v>1789</v>
      </c>
      <c r="D838" t="s">
        <v>615</v>
      </c>
      <c r="E838" t="s">
        <v>120</v>
      </c>
      <c r="F838" t="s">
        <v>1790</v>
      </c>
      <c r="G838" t="str">
        <f>"201511032504"</f>
        <v>201511032504</v>
      </c>
      <c r="H838" t="s">
        <v>1791</v>
      </c>
      <c r="I838">
        <v>0</v>
      </c>
      <c r="J838">
        <v>0</v>
      </c>
      <c r="K838">
        <v>0</v>
      </c>
      <c r="L838">
        <v>200</v>
      </c>
      <c r="M838">
        <v>0</v>
      </c>
      <c r="N838">
        <v>0</v>
      </c>
      <c r="O838">
        <v>0</v>
      </c>
      <c r="P838">
        <v>0</v>
      </c>
      <c r="Q838">
        <v>0</v>
      </c>
      <c r="R838">
        <v>0</v>
      </c>
      <c r="S838">
        <v>0</v>
      </c>
      <c r="T838">
        <v>0</v>
      </c>
      <c r="U838">
        <v>0</v>
      </c>
      <c r="V838">
        <v>62</v>
      </c>
      <c r="W838">
        <v>434</v>
      </c>
      <c r="X838">
        <v>0</v>
      </c>
      <c r="Z838">
        <v>0</v>
      </c>
      <c r="AA838">
        <v>0</v>
      </c>
      <c r="AB838">
        <v>0</v>
      </c>
      <c r="AC838">
        <v>0</v>
      </c>
      <c r="AD838" t="s">
        <v>1792</v>
      </c>
    </row>
    <row r="839" spans="1:30" x14ac:dyDescent="0.25">
      <c r="H839" t="s">
        <v>1793</v>
      </c>
    </row>
    <row r="840" spans="1:30" x14ac:dyDescent="0.25">
      <c r="A840">
        <v>417</v>
      </c>
      <c r="B840">
        <v>4712</v>
      </c>
      <c r="C840" t="s">
        <v>1794</v>
      </c>
      <c r="D840" t="s">
        <v>180</v>
      </c>
      <c r="E840" t="s">
        <v>28</v>
      </c>
      <c r="F840" t="s">
        <v>1795</v>
      </c>
      <c r="G840" t="str">
        <f>"200712001397"</f>
        <v>200712001397</v>
      </c>
      <c r="H840" t="s">
        <v>1796</v>
      </c>
      <c r="I840">
        <v>0</v>
      </c>
      <c r="J840">
        <v>0</v>
      </c>
      <c r="K840">
        <v>0</v>
      </c>
      <c r="L840">
        <v>0</v>
      </c>
      <c r="M840">
        <v>0</v>
      </c>
      <c r="N840">
        <v>70</v>
      </c>
      <c r="O840">
        <v>30</v>
      </c>
      <c r="P840">
        <v>0</v>
      </c>
      <c r="Q840">
        <v>0</v>
      </c>
      <c r="R840">
        <v>0</v>
      </c>
      <c r="S840">
        <v>0</v>
      </c>
      <c r="T840">
        <v>0</v>
      </c>
      <c r="U840">
        <v>0</v>
      </c>
      <c r="V840">
        <v>84</v>
      </c>
      <c r="W840">
        <v>588</v>
      </c>
      <c r="X840">
        <v>0</v>
      </c>
      <c r="Z840">
        <v>0</v>
      </c>
      <c r="AA840">
        <v>0</v>
      </c>
      <c r="AB840">
        <v>0</v>
      </c>
      <c r="AC840">
        <v>0</v>
      </c>
      <c r="AD840" t="s">
        <v>1797</v>
      </c>
    </row>
    <row r="841" spans="1:30" x14ac:dyDescent="0.25">
      <c r="H841" t="s">
        <v>1798</v>
      </c>
    </row>
    <row r="842" spans="1:30" x14ac:dyDescent="0.25">
      <c r="A842">
        <v>418</v>
      </c>
      <c r="B842">
        <v>2892</v>
      </c>
      <c r="C842" t="s">
        <v>1799</v>
      </c>
      <c r="D842" t="s">
        <v>937</v>
      </c>
      <c r="E842" t="s">
        <v>120</v>
      </c>
      <c r="F842" t="s">
        <v>1800</v>
      </c>
      <c r="G842" t="str">
        <f>"201402002700"</f>
        <v>201402002700</v>
      </c>
      <c r="H842">
        <v>737</v>
      </c>
      <c r="I842">
        <v>0</v>
      </c>
      <c r="J842">
        <v>0</v>
      </c>
      <c r="K842">
        <v>0</v>
      </c>
      <c r="L842">
        <v>0</v>
      </c>
      <c r="M842">
        <v>0</v>
      </c>
      <c r="N842">
        <v>50</v>
      </c>
      <c r="O842">
        <v>0</v>
      </c>
      <c r="P842">
        <v>0</v>
      </c>
      <c r="Q842">
        <v>0</v>
      </c>
      <c r="R842">
        <v>0</v>
      </c>
      <c r="S842">
        <v>0</v>
      </c>
      <c r="T842">
        <v>0</v>
      </c>
      <c r="U842">
        <v>0</v>
      </c>
      <c r="V842">
        <v>84</v>
      </c>
      <c r="W842">
        <v>588</v>
      </c>
      <c r="X842">
        <v>0</v>
      </c>
      <c r="Z842">
        <v>0</v>
      </c>
      <c r="AA842">
        <v>0</v>
      </c>
      <c r="AB842">
        <v>0</v>
      </c>
      <c r="AC842">
        <v>0</v>
      </c>
      <c r="AD842">
        <v>1375</v>
      </c>
    </row>
    <row r="843" spans="1:30" x14ac:dyDescent="0.25">
      <c r="H843" t="s">
        <v>1801</v>
      </c>
    </row>
    <row r="844" spans="1:30" x14ac:dyDescent="0.25">
      <c r="A844">
        <v>419</v>
      </c>
      <c r="B844">
        <v>4460</v>
      </c>
      <c r="C844" t="s">
        <v>1802</v>
      </c>
      <c r="D844" t="s">
        <v>959</v>
      </c>
      <c r="E844" t="s">
        <v>1803</v>
      </c>
      <c r="F844" t="s">
        <v>1804</v>
      </c>
      <c r="G844" t="str">
        <f>"00023166"</f>
        <v>00023166</v>
      </c>
      <c r="H844">
        <v>660</v>
      </c>
      <c r="I844">
        <v>0</v>
      </c>
      <c r="J844">
        <v>0</v>
      </c>
      <c r="K844">
        <v>0</v>
      </c>
      <c r="L844">
        <v>200</v>
      </c>
      <c r="M844">
        <v>30</v>
      </c>
      <c r="N844">
        <v>0</v>
      </c>
      <c r="O844">
        <v>0</v>
      </c>
      <c r="P844">
        <v>0</v>
      </c>
      <c r="Q844">
        <v>0</v>
      </c>
      <c r="R844">
        <v>0</v>
      </c>
      <c r="S844">
        <v>0</v>
      </c>
      <c r="T844">
        <v>0</v>
      </c>
      <c r="U844">
        <v>0</v>
      </c>
      <c r="V844">
        <v>11</v>
      </c>
      <c r="W844">
        <v>77</v>
      </c>
      <c r="X844">
        <v>0</v>
      </c>
      <c r="Z844">
        <v>0</v>
      </c>
      <c r="AA844">
        <v>0</v>
      </c>
      <c r="AB844">
        <v>24</v>
      </c>
      <c r="AC844">
        <v>408</v>
      </c>
      <c r="AD844">
        <v>1375</v>
      </c>
    </row>
    <row r="845" spans="1:30" x14ac:dyDescent="0.25">
      <c r="H845" t="s">
        <v>153</v>
      </c>
    </row>
    <row r="846" spans="1:30" x14ac:dyDescent="0.25">
      <c r="A846">
        <v>420</v>
      </c>
      <c r="B846">
        <v>1933</v>
      </c>
      <c r="C846" t="s">
        <v>1805</v>
      </c>
      <c r="D846" t="s">
        <v>32</v>
      </c>
      <c r="E846" t="s">
        <v>49</v>
      </c>
      <c r="F846" t="s">
        <v>1806</v>
      </c>
      <c r="G846" t="str">
        <f>"00164237"</f>
        <v>00164237</v>
      </c>
      <c r="H846">
        <v>726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30</v>
      </c>
      <c r="O846">
        <v>30</v>
      </c>
      <c r="P846">
        <v>0</v>
      </c>
      <c r="Q846">
        <v>0</v>
      </c>
      <c r="R846">
        <v>0</v>
      </c>
      <c r="S846">
        <v>0</v>
      </c>
      <c r="T846">
        <v>0</v>
      </c>
      <c r="U846">
        <v>0</v>
      </c>
      <c r="V846">
        <v>84</v>
      </c>
      <c r="W846">
        <v>588</v>
      </c>
      <c r="X846">
        <v>0</v>
      </c>
      <c r="Z846">
        <v>0</v>
      </c>
      <c r="AA846">
        <v>0</v>
      </c>
      <c r="AB846">
        <v>0</v>
      </c>
      <c r="AC846">
        <v>0</v>
      </c>
      <c r="AD846">
        <v>1374</v>
      </c>
    </row>
    <row r="847" spans="1:30" x14ac:dyDescent="0.25">
      <c r="H847" t="s">
        <v>1298</v>
      </c>
    </row>
    <row r="848" spans="1:30" x14ac:dyDescent="0.25">
      <c r="A848">
        <v>421</v>
      </c>
      <c r="B848">
        <v>892</v>
      </c>
      <c r="C848" t="s">
        <v>655</v>
      </c>
      <c r="D848" t="s">
        <v>120</v>
      </c>
      <c r="E848" t="s">
        <v>49</v>
      </c>
      <c r="F848" t="s">
        <v>1807</v>
      </c>
      <c r="G848" t="str">
        <f>"201511023232"</f>
        <v>201511023232</v>
      </c>
      <c r="H848" t="s">
        <v>66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50</v>
      </c>
      <c r="O848">
        <v>0</v>
      </c>
      <c r="P848">
        <v>0</v>
      </c>
      <c r="Q848">
        <v>0</v>
      </c>
      <c r="R848">
        <v>0</v>
      </c>
      <c r="S848">
        <v>0</v>
      </c>
      <c r="T848">
        <v>0</v>
      </c>
      <c r="U848">
        <v>0</v>
      </c>
      <c r="V848">
        <v>84</v>
      </c>
      <c r="W848">
        <v>588</v>
      </c>
      <c r="X848">
        <v>0</v>
      </c>
      <c r="Z848">
        <v>0</v>
      </c>
      <c r="AA848">
        <v>0</v>
      </c>
      <c r="AB848">
        <v>0</v>
      </c>
      <c r="AC848">
        <v>0</v>
      </c>
      <c r="AD848" t="s">
        <v>1808</v>
      </c>
    </row>
    <row r="849" spans="1:30" x14ac:dyDescent="0.25">
      <c r="H849" t="s">
        <v>1809</v>
      </c>
    </row>
    <row r="850" spans="1:30" x14ac:dyDescent="0.25">
      <c r="A850">
        <v>422</v>
      </c>
      <c r="B850">
        <v>4983</v>
      </c>
      <c r="C850" t="s">
        <v>1810</v>
      </c>
      <c r="D850" t="s">
        <v>106</v>
      </c>
      <c r="E850" t="s">
        <v>1084</v>
      </c>
      <c r="F850" t="s">
        <v>1811</v>
      </c>
      <c r="G850" t="str">
        <f>"00242010"</f>
        <v>00242010</v>
      </c>
      <c r="H850">
        <v>715</v>
      </c>
      <c r="I850">
        <v>0</v>
      </c>
      <c r="J850">
        <v>0</v>
      </c>
      <c r="K850">
        <v>0</v>
      </c>
      <c r="L850">
        <v>0</v>
      </c>
      <c r="M850">
        <v>0</v>
      </c>
      <c r="N850">
        <v>70</v>
      </c>
      <c r="O850">
        <v>0</v>
      </c>
      <c r="P850">
        <v>0</v>
      </c>
      <c r="Q850">
        <v>0</v>
      </c>
      <c r="R850">
        <v>0</v>
      </c>
      <c r="S850">
        <v>0</v>
      </c>
      <c r="T850">
        <v>0</v>
      </c>
      <c r="U850">
        <v>0</v>
      </c>
      <c r="V850">
        <v>84</v>
      </c>
      <c r="W850">
        <v>588</v>
      </c>
      <c r="X850">
        <v>0</v>
      </c>
      <c r="Z850">
        <v>0</v>
      </c>
      <c r="AA850">
        <v>0</v>
      </c>
      <c r="AB850">
        <v>0</v>
      </c>
      <c r="AC850">
        <v>0</v>
      </c>
      <c r="AD850">
        <v>1373</v>
      </c>
    </row>
    <row r="851" spans="1:30" x14ac:dyDescent="0.25">
      <c r="H851" t="s">
        <v>1812</v>
      </c>
    </row>
    <row r="852" spans="1:30" x14ac:dyDescent="0.25">
      <c r="A852">
        <v>423</v>
      </c>
      <c r="B852">
        <v>4353</v>
      </c>
      <c r="C852" t="s">
        <v>1813</v>
      </c>
      <c r="D852" t="s">
        <v>191</v>
      </c>
      <c r="E852" t="s">
        <v>120</v>
      </c>
      <c r="F852" t="s">
        <v>1814</v>
      </c>
      <c r="G852" t="str">
        <f>"00147778"</f>
        <v>00147778</v>
      </c>
      <c r="H852" t="s">
        <v>882</v>
      </c>
      <c r="I852">
        <v>0</v>
      </c>
      <c r="J852">
        <v>0</v>
      </c>
      <c r="K852">
        <v>0</v>
      </c>
      <c r="L852">
        <v>0</v>
      </c>
      <c r="M852">
        <v>0</v>
      </c>
      <c r="N852">
        <v>50</v>
      </c>
      <c r="O852">
        <v>0</v>
      </c>
      <c r="P852">
        <v>0</v>
      </c>
      <c r="Q852">
        <v>0</v>
      </c>
      <c r="R852">
        <v>0</v>
      </c>
      <c r="S852">
        <v>0</v>
      </c>
      <c r="T852">
        <v>0</v>
      </c>
      <c r="U852">
        <v>0</v>
      </c>
      <c r="V852">
        <v>78</v>
      </c>
      <c r="W852">
        <v>546</v>
      </c>
      <c r="X852">
        <v>0</v>
      </c>
      <c r="Z852">
        <v>0</v>
      </c>
      <c r="AA852">
        <v>0</v>
      </c>
      <c r="AB852">
        <v>0</v>
      </c>
      <c r="AC852">
        <v>0</v>
      </c>
      <c r="AD852" t="s">
        <v>1815</v>
      </c>
    </row>
    <row r="853" spans="1:30" x14ac:dyDescent="0.25">
      <c r="H853" t="s">
        <v>1816</v>
      </c>
    </row>
    <row r="854" spans="1:30" x14ac:dyDescent="0.25">
      <c r="A854">
        <v>424</v>
      </c>
      <c r="B854">
        <v>3969</v>
      </c>
      <c r="C854" t="s">
        <v>282</v>
      </c>
      <c r="D854" t="s">
        <v>180</v>
      </c>
      <c r="E854" t="s">
        <v>102</v>
      </c>
      <c r="F854" t="s">
        <v>1817</v>
      </c>
      <c r="G854" t="str">
        <f>"00086894"</f>
        <v>00086894</v>
      </c>
      <c r="H854" t="s">
        <v>238</v>
      </c>
      <c r="I854">
        <v>150</v>
      </c>
      <c r="J854">
        <v>0</v>
      </c>
      <c r="K854">
        <v>0</v>
      </c>
      <c r="L854">
        <v>0</v>
      </c>
      <c r="M854">
        <v>0</v>
      </c>
      <c r="N854">
        <v>30</v>
      </c>
      <c r="O854">
        <v>0</v>
      </c>
      <c r="P854">
        <v>0</v>
      </c>
      <c r="Q854">
        <v>0</v>
      </c>
      <c r="R854">
        <v>0</v>
      </c>
      <c r="S854">
        <v>0</v>
      </c>
      <c r="T854">
        <v>0</v>
      </c>
      <c r="U854">
        <v>0</v>
      </c>
      <c r="V854">
        <v>47</v>
      </c>
      <c r="W854">
        <v>329</v>
      </c>
      <c r="X854">
        <v>0</v>
      </c>
      <c r="Z854">
        <v>0</v>
      </c>
      <c r="AA854">
        <v>0</v>
      </c>
      <c r="AB854">
        <v>0</v>
      </c>
      <c r="AC854">
        <v>0</v>
      </c>
      <c r="AD854" t="s">
        <v>1818</v>
      </c>
    </row>
    <row r="855" spans="1:30" x14ac:dyDescent="0.25">
      <c r="H855" t="s">
        <v>1819</v>
      </c>
    </row>
    <row r="856" spans="1:30" x14ac:dyDescent="0.25">
      <c r="A856">
        <v>425</v>
      </c>
      <c r="B856">
        <v>2496</v>
      </c>
      <c r="C856" t="s">
        <v>1820</v>
      </c>
      <c r="D856" t="s">
        <v>95</v>
      </c>
      <c r="E856" t="s">
        <v>49</v>
      </c>
      <c r="F856" t="s">
        <v>1821</v>
      </c>
      <c r="G856" t="str">
        <f>"00327152"</f>
        <v>00327152</v>
      </c>
      <c r="H856" t="s">
        <v>1822</v>
      </c>
      <c r="I856">
        <v>0</v>
      </c>
      <c r="J856">
        <v>0</v>
      </c>
      <c r="K856">
        <v>0</v>
      </c>
      <c r="L856">
        <v>200</v>
      </c>
      <c r="M856">
        <v>0</v>
      </c>
      <c r="N856">
        <v>30</v>
      </c>
      <c r="O856">
        <v>0</v>
      </c>
      <c r="P856">
        <v>70</v>
      </c>
      <c r="Q856">
        <v>0</v>
      </c>
      <c r="R856">
        <v>0</v>
      </c>
      <c r="S856">
        <v>0</v>
      </c>
      <c r="T856">
        <v>0</v>
      </c>
      <c r="U856">
        <v>0</v>
      </c>
      <c r="V856">
        <v>35</v>
      </c>
      <c r="W856">
        <v>245</v>
      </c>
      <c r="X856">
        <v>0</v>
      </c>
      <c r="Z856">
        <v>0</v>
      </c>
      <c r="AA856">
        <v>0</v>
      </c>
      <c r="AB856">
        <v>0</v>
      </c>
      <c r="AC856">
        <v>0</v>
      </c>
      <c r="AD856" t="s">
        <v>1823</v>
      </c>
    </row>
    <row r="857" spans="1:30" x14ac:dyDescent="0.25">
      <c r="H857" t="s">
        <v>1824</v>
      </c>
    </row>
    <row r="858" spans="1:30" x14ac:dyDescent="0.25">
      <c r="A858">
        <v>426</v>
      </c>
      <c r="B858">
        <v>5510</v>
      </c>
      <c r="C858" t="s">
        <v>1825</v>
      </c>
      <c r="D858" t="s">
        <v>218</v>
      </c>
      <c r="E858" t="s">
        <v>389</v>
      </c>
      <c r="F858" t="s">
        <v>1826</v>
      </c>
      <c r="G858" t="str">
        <f>"00126100"</f>
        <v>00126100</v>
      </c>
      <c r="H858" t="s">
        <v>311</v>
      </c>
      <c r="I858">
        <v>0</v>
      </c>
      <c r="J858">
        <v>0</v>
      </c>
      <c r="K858">
        <v>0</v>
      </c>
      <c r="L858">
        <v>0</v>
      </c>
      <c r="M858">
        <v>0</v>
      </c>
      <c r="N858">
        <v>0</v>
      </c>
      <c r="O858">
        <v>0</v>
      </c>
      <c r="P858">
        <v>0</v>
      </c>
      <c r="Q858">
        <v>0</v>
      </c>
      <c r="R858">
        <v>0</v>
      </c>
      <c r="S858">
        <v>0</v>
      </c>
      <c r="T858">
        <v>0</v>
      </c>
      <c r="U858">
        <v>0</v>
      </c>
      <c r="V858">
        <v>84</v>
      </c>
      <c r="W858">
        <v>588</v>
      </c>
      <c r="X858">
        <v>0</v>
      </c>
      <c r="Z858">
        <v>0</v>
      </c>
      <c r="AA858">
        <v>0</v>
      </c>
      <c r="AB858">
        <v>0</v>
      </c>
      <c r="AC858">
        <v>0</v>
      </c>
      <c r="AD858" t="s">
        <v>1827</v>
      </c>
    </row>
    <row r="859" spans="1:30" x14ac:dyDescent="0.25">
      <c r="H859" t="s">
        <v>1828</v>
      </c>
    </row>
    <row r="860" spans="1:30" x14ac:dyDescent="0.25">
      <c r="A860">
        <v>427</v>
      </c>
      <c r="B860">
        <v>422</v>
      </c>
      <c r="C860" t="s">
        <v>1829</v>
      </c>
      <c r="D860" t="s">
        <v>453</v>
      </c>
      <c r="E860" t="s">
        <v>176</v>
      </c>
      <c r="F860" t="s">
        <v>1830</v>
      </c>
      <c r="G860" t="str">
        <f>"200802003747"</f>
        <v>200802003747</v>
      </c>
      <c r="H860">
        <v>737</v>
      </c>
      <c r="I860">
        <v>0</v>
      </c>
      <c r="J860">
        <v>0</v>
      </c>
      <c r="K860">
        <v>0</v>
      </c>
      <c r="L860">
        <v>0</v>
      </c>
      <c r="M860">
        <v>0</v>
      </c>
      <c r="N860">
        <v>50</v>
      </c>
      <c r="O860">
        <v>0</v>
      </c>
      <c r="P860">
        <v>0</v>
      </c>
      <c r="Q860">
        <v>30</v>
      </c>
      <c r="R860">
        <v>0</v>
      </c>
      <c r="S860">
        <v>0</v>
      </c>
      <c r="T860">
        <v>0</v>
      </c>
      <c r="U860">
        <v>0</v>
      </c>
      <c r="V860">
        <v>79</v>
      </c>
      <c r="W860">
        <v>553</v>
      </c>
      <c r="X860">
        <v>0</v>
      </c>
      <c r="Z860">
        <v>0</v>
      </c>
      <c r="AA860">
        <v>0</v>
      </c>
      <c r="AB860">
        <v>0</v>
      </c>
      <c r="AC860">
        <v>0</v>
      </c>
      <c r="AD860">
        <v>1370</v>
      </c>
    </row>
    <row r="861" spans="1:30" x14ac:dyDescent="0.25">
      <c r="H861" t="s">
        <v>1831</v>
      </c>
    </row>
    <row r="862" spans="1:30" x14ac:dyDescent="0.25">
      <c r="A862">
        <v>428</v>
      </c>
      <c r="B862">
        <v>5680</v>
      </c>
      <c r="C862" t="s">
        <v>1832</v>
      </c>
      <c r="D862" t="s">
        <v>142</v>
      </c>
      <c r="E862" t="s">
        <v>254</v>
      </c>
      <c r="F862" t="s">
        <v>1833</v>
      </c>
      <c r="G862" t="str">
        <f>"00215264"</f>
        <v>00215264</v>
      </c>
      <c r="H862" t="s">
        <v>591</v>
      </c>
      <c r="I862">
        <v>0</v>
      </c>
      <c r="J862">
        <v>0</v>
      </c>
      <c r="K862">
        <v>0</v>
      </c>
      <c r="L862">
        <v>0</v>
      </c>
      <c r="M862">
        <v>0</v>
      </c>
      <c r="N862">
        <v>70</v>
      </c>
      <c r="O862">
        <v>0</v>
      </c>
      <c r="P862">
        <v>0</v>
      </c>
      <c r="Q862">
        <v>0</v>
      </c>
      <c r="R862">
        <v>0</v>
      </c>
      <c r="S862">
        <v>0</v>
      </c>
      <c r="T862">
        <v>0</v>
      </c>
      <c r="U862">
        <v>0</v>
      </c>
      <c r="V862">
        <v>84</v>
      </c>
      <c r="W862">
        <v>588</v>
      </c>
      <c r="X862">
        <v>0</v>
      </c>
      <c r="Z862">
        <v>0</v>
      </c>
      <c r="AA862">
        <v>0</v>
      </c>
      <c r="AB862">
        <v>0</v>
      </c>
      <c r="AC862">
        <v>0</v>
      </c>
      <c r="AD862" t="s">
        <v>1834</v>
      </c>
    </row>
    <row r="863" spans="1:30" x14ac:dyDescent="0.25">
      <c r="H863" t="s">
        <v>1835</v>
      </c>
    </row>
    <row r="864" spans="1:30" x14ac:dyDescent="0.25">
      <c r="A864">
        <v>429</v>
      </c>
      <c r="B864">
        <v>5349</v>
      </c>
      <c r="C864" t="s">
        <v>1836</v>
      </c>
      <c r="D864" t="s">
        <v>959</v>
      </c>
      <c r="E864" t="s">
        <v>64</v>
      </c>
      <c r="F864" t="s">
        <v>1837</v>
      </c>
      <c r="G864" t="str">
        <f>"00344261"</f>
        <v>00344261</v>
      </c>
      <c r="H864" t="s">
        <v>1838</v>
      </c>
      <c r="I864">
        <v>0</v>
      </c>
      <c r="J864">
        <v>0</v>
      </c>
      <c r="K864">
        <v>0</v>
      </c>
      <c r="L864">
        <v>0</v>
      </c>
      <c r="M864">
        <v>0</v>
      </c>
      <c r="N864">
        <v>30</v>
      </c>
      <c r="O864">
        <v>0</v>
      </c>
      <c r="P864">
        <v>0</v>
      </c>
      <c r="Q864">
        <v>0</v>
      </c>
      <c r="R864">
        <v>0</v>
      </c>
      <c r="S864">
        <v>0</v>
      </c>
      <c r="T864">
        <v>0</v>
      </c>
      <c r="U864">
        <v>0</v>
      </c>
      <c r="V864">
        <v>84</v>
      </c>
      <c r="W864">
        <v>588</v>
      </c>
      <c r="X864">
        <v>0</v>
      </c>
      <c r="Z864">
        <v>2</v>
      </c>
      <c r="AA864">
        <v>0</v>
      </c>
      <c r="AB864">
        <v>0</v>
      </c>
      <c r="AC864">
        <v>0</v>
      </c>
      <c r="AD864" t="s">
        <v>1839</v>
      </c>
    </row>
    <row r="865" spans="1:30" x14ac:dyDescent="0.25">
      <c r="H865" t="s">
        <v>1840</v>
      </c>
    </row>
    <row r="866" spans="1:30" x14ac:dyDescent="0.25">
      <c r="A866">
        <v>430</v>
      </c>
      <c r="B866">
        <v>6006</v>
      </c>
      <c r="C866" t="s">
        <v>1841</v>
      </c>
      <c r="D866" t="s">
        <v>213</v>
      </c>
      <c r="E866" t="s">
        <v>120</v>
      </c>
      <c r="F866" t="s">
        <v>1842</v>
      </c>
      <c r="G866" t="str">
        <f>"201511029623"</f>
        <v>201511029623</v>
      </c>
      <c r="H866">
        <v>781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0</v>
      </c>
      <c r="O866">
        <v>0</v>
      </c>
      <c r="P866">
        <v>0</v>
      </c>
      <c r="Q866">
        <v>0</v>
      </c>
      <c r="R866">
        <v>0</v>
      </c>
      <c r="S866">
        <v>0</v>
      </c>
      <c r="T866">
        <v>0</v>
      </c>
      <c r="U866">
        <v>0</v>
      </c>
      <c r="V866">
        <v>84</v>
      </c>
      <c r="W866">
        <v>588</v>
      </c>
      <c r="X866">
        <v>0</v>
      </c>
      <c r="Z866">
        <v>0</v>
      </c>
      <c r="AA866">
        <v>0</v>
      </c>
      <c r="AB866">
        <v>0</v>
      </c>
      <c r="AC866">
        <v>0</v>
      </c>
      <c r="AD866">
        <v>1369</v>
      </c>
    </row>
    <row r="867" spans="1:30" x14ac:dyDescent="0.25">
      <c r="H867" t="s">
        <v>1843</v>
      </c>
    </row>
    <row r="868" spans="1:30" x14ac:dyDescent="0.25">
      <c r="A868">
        <v>431</v>
      </c>
      <c r="B868">
        <v>2023</v>
      </c>
      <c r="C868" t="s">
        <v>1844</v>
      </c>
      <c r="D868" t="s">
        <v>102</v>
      </c>
      <c r="E868" t="s">
        <v>120</v>
      </c>
      <c r="F868" t="s">
        <v>1845</v>
      </c>
      <c r="G868" t="str">
        <f>"00195608"</f>
        <v>00195608</v>
      </c>
      <c r="H868" t="s">
        <v>1846</v>
      </c>
      <c r="I868">
        <v>0</v>
      </c>
      <c r="J868">
        <v>0</v>
      </c>
      <c r="K868">
        <v>0</v>
      </c>
      <c r="L868">
        <v>200</v>
      </c>
      <c r="M868">
        <v>0</v>
      </c>
      <c r="N868">
        <v>30</v>
      </c>
      <c r="O868">
        <v>0</v>
      </c>
      <c r="P868">
        <v>0</v>
      </c>
      <c r="Q868">
        <v>0</v>
      </c>
      <c r="R868">
        <v>0</v>
      </c>
      <c r="S868">
        <v>0</v>
      </c>
      <c r="T868">
        <v>0</v>
      </c>
      <c r="U868">
        <v>0</v>
      </c>
      <c r="V868">
        <v>45</v>
      </c>
      <c r="W868">
        <v>315</v>
      </c>
      <c r="X868">
        <v>0</v>
      </c>
      <c r="Z868">
        <v>0</v>
      </c>
      <c r="AA868">
        <v>0</v>
      </c>
      <c r="AB868">
        <v>10</v>
      </c>
      <c r="AC868">
        <v>170</v>
      </c>
      <c r="AD868" t="s">
        <v>1847</v>
      </c>
    </row>
    <row r="869" spans="1:30" x14ac:dyDescent="0.25">
      <c r="H869" t="s">
        <v>1848</v>
      </c>
    </row>
    <row r="870" spans="1:30" x14ac:dyDescent="0.25">
      <c r="A870">
        <v>432</v>
      </c>
      <c r="B870">
        <v>1014</v>
      </c>
      <c r="C870" t="s">
        <v>1849</v>
      </c>
      <c r="D870" t="s">
        <v>1850</v>
      </c>
      <c r="E870" t="s">
        <v>230</v>
      </c>
      <c r="F870" t="s">
        <v>1851</v>
      </c>
      <c r="G870" t="str">
        <f>"00192455"</f>
        <v>00192455</v>
      </c>
      <c r="H870" t="s">
        <v>1852</v>
      </c>
      <c r="I870">
        <v>0</v>
      </c>
      <c r="J870">
        <v>0</v>
      </c>
      <c r="K870">
        <v>0</v>
      </c>
      <c r="L870">
        <v>200</v>
      </c>
      <c r="M870">
        <v>0</v>
      </c>
      <c r="N870">
        <v>30</v>
      </c>
      <c r="O870">
        <v>0</v>
      </c>
      <c r="P870">
        <v>0</v>
      </c>
      <c r="Q870">
        <v>0</v>
      </c>
      <c r="R870">
        <v>0</v>
      </c>
      <c r="S870">
        <v>0</v>
      </c>
      <c r="T870">
        <v>0</v>
      </c>
      <c r="U870">
        <v>0</v>
      </c>
      <c r="V870">
        <v>13</v>
      </c>
      <c r="W870">
        <v>91</v>
      </c>
      <c r="X870">
        <v>0</v>
      </c>
      <c r="Z870">
        <v>0</v>
      </c>
      <c r="AA870">
        <v>0</v>
      </c>
      <c r="AB870">
        <v>0</v>
      </c>
      <c r="AC870">
        <v>0</v>
      </c>
      <c r="AD870" t="s">
        <v>1853</v>
      </c>
    </row>
    <row r="871" spans="1:30" x14ac:dyDescent="0.25">
      <c r="H871" t="s">
        <v>1854</v>
      </c>
    </row>
    <row r="872" spans="1:30" x14ac:dyDescent="0.25">
      <c r="A872">
        <v>433</v>
      </c>
      <c r="B872">
        <v>1910</v>
      </c>
      <c r="C872" t="s">
        <v>251</v>
      </c>
      <c r="D872" t="s">
        <v>218</v>
      </c>
      <c r="E872" t="s">
        <v>28</v>
      </c>
      <c r="F872" t="s">
        <v>1855</v>
      </c>
      <c r="G872" t="str">
        <f>"200901000597"</f>
        <v>200901000597</v>
      </c>
      <c r="H872">
        <v>748</v>
      </c>
      <c r="I872">
        <v>0</v>
      </c>
      <c r="J872">
        <v>0</v>
      </c>
      <c r="K872">
        <v>0</v>
      </c>
      <c r="L872">
        <v>0</v>
      </c>
      <c r="M872">
        <v>0</v>
      </c>
      <c r="N872">
        <v>30</v>
      </c>
      <c r="O872">
        <v>0</v>
      </c>
      <c r="P872">
        <v>0</v>
      </c>
      <c r="Q872">
        <v>0</v>
      </c>
      <c r="R872">
        <v>0</v>
      </c>
      <c r="S872">
        <v>0</v>
      </c>
      <c r="T872">
        <v>0</v>
      </c>
      <c r="U872">
        <v>0</v>
      </c>
      <c r="V872">
        <v>84</v>
      </c>
      <c r="W872">
        <v>588</v>
      </c>
      <c r="X872">
        <v>0</v>
      </c>
      <c r="Z872">
        <v>0</v>
      </c>
      <c r="AA872">
        <v>0</v>
      </c>
      <c r="AB872">
        <v>0</v>
      </c>
      <c r="AC872">
        <v>0</v>
      </c>
      <c r="AD872">
        <v>1366</v>
      </c>
    </row>
    <row r="873" spans="1:30" x14ac:dyDescent="0.25">
      <c r="H873" t="s">
        <v>1856</v>
      </c>
    </row>
    <row r="874" spans="1:30" x14ac:dyDescent="0.25">
      <c r="A874">
        <v>434</v>
      </c>
      <c r="B874">
        <v>1272</v>
      </c>
      <c r="C874" t="s">
        <v>1857</v>
      </c>
      <c r="D874" t="s">
        <v>218</v>
      </c>
      <c r="E874" t="s">
        <v>102</v>
      </c>
      <c r="F874" t="s">
        <v>1858</v>
      </c>
      <c r="G874" t="str">
        <f>"200801001862"</f>
        <v>200801001862</v>
      </c>
      <c r="H874">
        <v>748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30</v>
      </c>
      <c r="O874">
        <v>0</v>
      </c>
      <c r="P874">
        <v>0</v>
      </c>
      <c r="Q874">
        <v>0</v>
      </c>
      <c r="R874">
        <v>0</v>
      </c>
      <c r="S874">
        <v>0</v>
      </c>
      <c r="T874">
        <v>0</v>
      </c>
      <c r="U874">
        <v>0</v>
      </c>
      <c r="V874">
        <v>84</v>
      </c>
      <c r="W874">
        <v>588</v>
      </c>
      <c r="X874">
        <v>0</v>
      </c>
      <c r="Z874">
        <v>2</v>
      </c>
      <c r="AA874">
        <v>0</v>
      </c>
      <c r="AB874">
        <v>0</v>
      </c>
      <c r="AC874">
        <v>0</v>
      </c>
      <c r="AD874">
        <v>1366</v>
      </c>
    </row>
    <row r="875" spans="1:30" x14ac:dyDescent="0.25">
      <c r="H875" t="s">
        <v>1859</v>
      </c>
    </row>
    <row r="876" spans="1:30" x14ac:dyDescent="0.25">
      <c r="A876">
        <v>435</v>
      </c>
      <c r="B876">
        <v>2650</v>
      </c>
      <c r="C876" t="s">
        <v>1860</v>
      </c>
      <c r="D876" t="s">
        <v>167</v>
      </c>
      <c r="E876" t="s">
        <v>743</v>
      </c>
      <c r="F876" t="s">
        <v>1861</v>
      </c>
      <c r="G876" t="str">
        <f>"201405000493"</f>
        <v>201405000493</v>
      </c>
      <c r="H876">
        <v>748</v>
      </c>
      <c r="I876">
        <v>0</v>
      </c>
      <c r="J876">
        <v>0</v>
      </c>
      <c r="K876">
        <v>0</v>
      </c>
      <c r="L876">
        <v>0</v>
      </c>
      <c r="M876">
        <v>0</v>
      </c>
      <c r="N876">
        <v>30</v>
      </c>
      <c r="O876">
        <v>0</v>
      </c>
      <c r="P876">
        <v>0</v>
      </c>
      <c r="Q876">
        <v>0</v>
      </c>
      <c r="R876">
        <v>0</v>
      </c>
      <c r="S876">
        <v>0</v>
      </c>
      <c r="T876">
        <v>0</v>
      </c>
      <c r="U876">
        <v>0</v>
      </c>
      <c r="V876">
        <v>84</v>
      </c>
      <c r="W876">
        <v>588</v>
      </c>
      <c r="X876">
        <v>0</v>
      </c>
      <c r="Z876">
        <v>1</v>
      </c>
      <c r="AA876">
        <v>0</v>
      </c>
      <c r="AB876">
        <v>0</v>
      </c>
      <c r="AC876">
        <v>0</v>
      </c>
      <c r="AD876">
        <v>1366</v>
      </c>
    </row>
    <row r="877" spans="1:30" x14ac:dyDescent="0.25">
      <c r="H877" t="s">
        <v>1862</v>
      </c>
    </row>
    <row r="878" spans="1:30" x14ac:dyDescent="0.25">
      <c r="A878">
        <v>436</v>
      </c>
      <c r="B878">
        <v>3096</v>
      </c>
      <c r="C878" t="s">
        <v>1863</v>
      </c>
      <c r="D878" t="s">
        <v>629</v>
      </c>
      <c r="E878" t="s">
        <v>32</v>
      </c>
      <c r="F878" t="s">
        <v>1864</v>
      </c>
      <c r="G878" t="str">
        <f>"200802003243"</f>
        <v>200802003243</v>
      </c>
      <c r="H878">
        <v>748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30</v>
      </c>
      <c r="O878">
        <v>0</v>
      </c>
      <c r="P878">
        <v>0</v>
      </c>
      <c r="Q878">
        <v>0</v>
      </c>
      <c r="R878">
        <v>0</v>
      </c>
      <c r="S878">
        <v>0</v>
      </c>
      <c r="T878">
        <v>0</v>
      </c>
      <c r="U878">
        <v>0</v>
      </c>
      <c r="V878">
        <v>84</v>
      </c>
      <c r="W878">
        <v>588</v>
      </c>
      <c r="X878">
        <v>0</v>
      </c>
      <c r="Z878">
        <v>2</v>
      </c>
      <c r="AA878">
        <v>0</v>
      </c>
      <c r="AB878">
        <v>0</v>
      </c>
      <c r="AC878">
        <v>0</v>
      </c>
      <c r="AD878">
        <v>1366</v>
      </c>
    </row>
    <row r="879" spans="1:30" x14ac:dyDescent="0.25">
      <c r="H879" t="s">
        <v>1865</v>
      </c>
    </row>
    <row r="880" spans="1:30" x14ac:dyDescent="0.25">
      <c r="A880">
        <v>437</v>
      </c>
      <c r="B880">
        <v>5775</v>
      </c>
      <c r="C880" t="s">
        <v>1866</v>
      </c>
      <c r="D880" t="s">
        <v>213</v>
      </c>
      <c r="E880" t="s">
        <v>32</v>
      </c>
      <c r="F880" t="s">
        <v>1867</v>
      </c>
      <c r="G880" t="str">
        <f>"201511034476"</f>
        <v>201511034476</v>
      </c>
      <c r="H880" t="s">
        <v>1868</v>
      </c>
      <c r="I880">
        <v>0</v>
      </c>
      <c r="J880">
        <v>0</v>
      </c>
      <c r="K880">
        <v>0</v>
      </c>
      <c r="L880">
        <v>0</v>
      </c>
      <c r="M880">
        <v>0</v>
      </c>
      <c r="N880">
        <v>30</v>
      </c>
      <c r="O880">
        <v>0</v>
      </c>
      <c r="P880">
        <v>0</v>
      </c>
      <c r="Q880">
        <v>0</v>
      </c>
      <c r="R880">
        <v>0</v>
      </c>
      <c r="S880">
        <v>0</v>
      </c>
      <c r="T880">
        <v>0</v>
      </c>
      <c r="U880">
        <v>0</v>
      </c>
      <c r="V880">
        <v>84</v>
      </c>
      <c r="W880">
        <v>588</v>
      </c>
      <c r="X880">
        <v>0</v>
      </c>
      <c r="Z880">
        <v>2</v>
      </c>
      <c r="AA880">
        <v>0</v>
      </c>
      <c r="AB880">
        <v>0</v>
      </c>
      <c r="AC880">
        <v>0</v>
      </c>
      <c r="AD880" t="s">
        <v>1869</v>
      </c>
    </row>
    <row r="881" spans="1:30" x14ac:dyDescent="0.25">
      <c r="H881" t="s">
        <v>1870</v>
      </c>
    </row>
    <row r="882" spans="1:30" x14ac:dyDescent="0.25">
      <c r="A882">
        <v>438</v>
      </c>
      <c r="B882">
        <v>5090</v>
      </c>
      <c r="C882" t="s">
        <v>1871</v>
      </c>
      <c r="D882" t="s">
        <v>56</v>
      </c>
      <c r="E882" t="s">
        <v>57</v>
      </c>
      <c r="F882" t="s">
        <v>1872</v>
      </c>
      <c r="G882" t="str">
        <f>"201511037303"</f>
        <v>201511037303</v>
      </c>
      <c r="H882" t="s">
        <v>882</v>
      </c>
      <c r="I882">
        <v>0</v>
      </c>
      <c r="J882">
        <v>0</v>
      </c>
      <c r="K882">
        <v>0</v>
      </c>
      <c r="L882">
        <v>0</v>
      </c>
      <c r="M882">
        <v>0</v>
      </c>
      <c r="N882">
        <v>0</v>
      </c>
      <c r="O882">
        <v>0</v>
      </c>
      <c r="P882">
        <v>0</v>
      </c>
      <c r="Q882">
        <v>0</v>
      </c>
      <c r="R882">
        <v>0</v>
      </c>
      <c r="S882">
        <v>0</v>
      </c>
      <c r="T882">
        <v>0</v>
      </c>
      <c r="U882">
        <v>0</v>
      </c>
      <c r="V882">
        <v>84</v>
      </c>
      <c r="W882">
        <v>588</v>
      </c>
      <c r="X882">
        <v>0</v>
      </c>
      <c r="Z882">
        <v>0</v>
      </c>
      <c r="AA882">
        <v>0</v>
      </c>
      <c r="AB882">
        <v>0</v>
      </c>
      <c r="AC882">
        <v>0</v>
      </c>
      <c r="AD882" t="s">
        <v>1873</v>
      </c>
    </row>
    <row r="883" spans="1:30" x14ac:dyDescent="0.25">
      <c r="H883" t="s">
        <v>1874</v>
      </c>
    </row>
    <row r="884" spans="1:30" x14ac:dyDescent="0.25">
      <c r="A884">
        <v>439</v>
      </c>
      <c r="B884">
        <v>3456</v>
      </c>
      <c r="C884" t="s">
        <v>1875</v>
      </c>
      <c r="D884" t="s">
        <v>83</v>
      </c>
      <c r="E884" t="s">
        <v>963</v>
      </c>
      <c r="F884" t="s">
        <v>1876</v>
      </c>
      <c r="G884" t="str">
        <f>"00363501"</f>
        <v>00363501</v>
      </c>
      <c r="H884">
        <v>726</v>
      </c>
      <c r="I884">
        <v>0</v>
      </c>
      <c r="J884">
        <v>0</v>
      </c>
      <c r="K884">
        <v>0</v>
      </c>
      <c r="L884">
        <v>0</v>
      </c>
      <c r="M884">
        <v>0</v>
      </c>
      <c r="N884">
        <v>50</v>
      </c>
      <c r="O884">
        <v>0</v>
      </c>
      <c r="P884">
        <v>0</v>
      </c>
      <c r="Q884">
        <v>0</v>
      </c>
      <c r="R884">
        <v>0</v>
      </c>
      <c r="S884">
        <v>0</v>
      </c>
      <c r="T884">
        <v>0</v>
      </c>
      <c r="U884">
        <v>0</v>
      </c>
      <c r="V884">
        <v>84</v>
      </c>
      <c r="W884">
        <v>588</v>
      </c>
      <c r="X884">
        <v>0</v>
      </c>
      <c r="Z884">
        <v>0</v>
      </c>
      <c r="AA884">
        <v>0</v>
      </c>
      <c r="AB884">
        <v>0</v>
      </c>
      <c r="AC884">
        <v>0</v>
      </c>
      <c r="AD884">
        <v>1364</v>
      </c>
    </row>
    <row r="885" spans="1:30" x14ac:dyDescent="0.25">
      <c r="H885" t="s">
        <v>1877</v>
      </c>
    </row>
    <row r="886" spans="1:30" x14ac:dyDescent="0.25">
      <c r="A886">
        <v>440</v>
      </c>
      <c r="B886">
        <v>5927</v>
      </c>
      <c r="C886" t="s">
        <v>1878</v>
      </c>
      <c r="D886" t="s">
        <v>1879</v>
      </c>
      <c r="E886" t="s">
        <v>32</v>
      </c>
      <c r="F886" t="s">
        <v>1880</v>
      </c>
      <c r="G886" t="str">
        <f>"00151798"</f>
        <v>00151798</v>
      </c>
      <c r="H886">
        <v>715</v>
      </c>
      <c r="I886">
        <v>0</v>
      </c>
      <c r="J886">
        <v>0</v>
      </c>
      <c r="K886">
        <v>0</v>
      </c>
      <c r="L886">
        <v>0</v>
      </c>
      <c r="M886">
        <v>0</v>
      </c>
      <c r="N886">
        <v>30</v>
      </c>
      <c r="O886">
        <v>0</v>
      </c>
      <c r="P886">
        <v>30</v>
      </c>
      <c r="Q886">
        <v>0</v>
      </c>
      <c r="R886">
        <v>0</v>
      </c>
      <c r="S886">
        <v>0</v>
      </c>
      <c r="T886">
        <v>0</v>
      </c>
      <c r="U886">
        <v>0</v>
      </c>
      <c r="V886">
        <v>84</v>
      </c>
      <c r="W886">
        <v>588</v>
      </c>
      <c r="X886">
        <v>0</v>
      </c>
      <c r="Z886">
        <v>1</v>
      </c>
      <c r="AA886">
        <v>0</v>
      </c>
      <c r="AB886">
        <v>0</v>
      </c>
      <c r="AC886">
        <v>0</v>
      </c>
      <c r="AD886">
        <v>1363</v>
      </c>
    </row>
    <row r="887" spans="1:30" x14ac:dyDescent="0.25">
      <c r="H887" t="s">
        <v>1881</v>
      </c>
    </row>
    <row r="888" spans="1:30" x14ac:dyDescent="0.25">
      <c r="A888">
        <v>441</v>
      </c>
      <c r="B888">
        <v>4095</v>
      </c>
      <c r="C888" t="s">
        <v>1882</v>
      </c>
      <c r="D888" t="s">
        <v>449</v>
      </c>
      <c r="E888" t="s">
        <v>64</v>
      </c>
      <c r="F888" t="s">
        <v>1883</v>
      </c>
      <c r="G888" t="str">
        <f>"00141616"</f>
        <v>00141616</v>
      </c>
      <c r="H888" t="s">
        <v>1884</v>
      </c>
      <c r="I888">
        <v>0</v>
      </c>
      <c r="J888">
        <v>0</v>
      </c>
      <c r="K888">
        <v>0</v>
      </c>
      <c r="L888">
        <v>0</v>
      </c>
      <c r="M888">
        <v>0</v>
      </c>
      <c r="N888">
        <v>30</v>
      </c>
      <c r="O888">
        <v>0</v>
      </c>
      <c r="P888">
        <v>0</v>
      </c>
      <c r="Q888">
        <v>0</v>
      </c>
      <c r="R888">
        <v>0</v>
      </c>
      <c r="S888">
        <v>0</v>
      </c>
      <c r="T888">
        <v>0</v>
      </c>
      <c r="U888">
        <v>0</v>
      </c>
      <c r="V888">
        <v>84</v>
      </c>
      <c r="W888">
        <v>588</v>
      </c>
      <c r="X888">
        <v>0</v>
      </c>
      <c r="Z888">
        <v>0</v>
      </c>
      <c r="AA888">
        <v>0</v>
      </c>
      <c r="AB888">
        <v>0</v>
      </c>
      <c r="AC888">
        <v>0</v>
      </c>
      <c r="AD888" t="s">
        <v>1885</v>
      </c>
    </row>
    <row r="889" spans="1:30" x14ac:dyDescent="0.25">
      <c r="H889" t="s">
        <v>1886</v>
      </c>
    </row>
    <row r="890" spans="1:30" x14ac:dyDescent="0.25">
      <c r="A890">
        <v>442</v>
      </c>
      <c r="B890">
        <v>3348</v>
      </c>
      <c r="C890" t="s">
        <v>1887</v>
      </c>
      <c r="D890" t="s">
        <v>1888</v>
      </c>
      <c r="E890" t="s">
        <v>167</v>
      </c>
      <c r="F890" t="s">
        <v>1889</v>
      </c>
      <c r="G890" t="str">
        <f>"201405002226"</f>
        <v>201405002226</v>
      </c>
      <c r="H890" t="s">
        <v>1368</v>
      </c>
      <c r="I890">
        <v>0</v>
      </c>
      <c r="J890">
        <v>0</v>
      </c>
      <c r="K890">
        <v>0</v>
      </c>
      <c r="L890">
        <v>0</v>
      </c>
      <c r="M890">
        <v>0</v>
      </c>
      <c r="N890">
        <v>70</v>
      </c>
      <c r="O890">
        <v>0</v>
      </c>
      <c r="P890">
        <v>0</v>
      </c>
      <c r="Q890">
        <v>0</v>
      </c>
      <c r="R890">
        <v>0</v>
      </c>
      <c r="S890">
        <v>0</v>
      </c>
      <c r="T890">
        <v>0</v>
      </c>
      <c r="U890">
        <v>0</v>
      </c>
      <c r="V890">
        <v>84</v>
      </c>
      <c r="W890">
        <v>588</v>
      </c>
      <c r="X890">
        <v>0</v>
      </c>
      <c r="Z890">
        <v>0</v>
      </c>
      <c r="AA890">
        <v>0</v>
      </c>
      <c r="AB890">
        <v>0</v>
      </c>
      <c r="AC890">
        <v>0</v>
      </c>
      <c r="AD890" t="s">
        <v>1890</v>
      </c>
    </row>
    <row r="891" spans="1:30" x14ac:dyDescent="0.25">
      <c r="H891" t="s">
        <v>1891</v>
      </c>
    </row>
    <row r="892" spans="1:30" x14ac:dyDescent="0.25">
      <c r="A892">
        <v>443</v>
      </c>
      <c r="B892">
        <v>5550</v>
      </c>
      <c r="C892" t="s">
        <v>1892</v>
      </c>
      <c r="D892" t="s">
        <v>1893</v>
      </c>
      <c r="E892" t="s">
        <v>181</v>
      </c>
      <c r="F892" t="s">
        <v>1894</v>
      </c>
      <c r="G892" t="str">
        <f>"00361412"</f>
        <v>00361412</v>
      </c>
      <c r="H892" t="s">
        <v>1301</v>
      </c>
      <c r="I892">
        <v>0</v>
      </c>
      <c r="J892">
        <v>0</v>
      </c>
      <c r="K892">
        <v>0</v>
      </c>
      <c r="L892">
        <v>0</v>
      </c>
      <c r="M892">
        <v>0</v>
      </c>
      <c r="N892">
        <v>30</v>
      </c>
      <c r="O892">
        <v>0</v>
      </c>
      <c r="P892">
        <v>0</v>
      </c>
      <c r="Q892">
        <v>0</v>
      </c>
      <c r="R892">
        <v>0</v>
      </c>
      <c r="S892">
        <v>0</v>
      </c>
      <c r="T892">
        <v>0</v>
      </c>
      <c r="U892">
        <v>0</v>
      </c>
      <c r="V892">
        <v>84</v>
      </c>
      <c r="W892">
        <v>588</v>
      </c>
      <c r="X892">
        <v>0</v>
      </c>
      <c r="Z892">
        <v>0</v>
      </c>
      <c r="AA892">
        <v>0</v>
      </c>
      <c r="AB892">
        <v>0</v>
      </c>
      <c r="AC892">
        <v>0</v>
      </c>
      <c r="AD892" t="s">
        <v>1895</v>
      </c>
    </row>
    <row r="893" spans="1:30" x14ac:dyDescent="0.25">
      <c r="H893" t="s">
        <v>1896</v>
      </c>
    </row>
    <row r="894" spans="1:30" x14ac:dyDescent="0.25">
      <c r="A894">
        <v>444</v>
      </c>
      <c r="B894">
        <v>5874</v>
      </c>
      <c r="C894" t="s">
        <v>1897</v>
      </c>
      <c r="D894" t="s">
        <v>1898</v>
      </c>
      <c r="E894" t="s">
        <v>49</v>
      </c>
      <c r="F894" t="s">
        <v>1899</v>
      </c>
      <c r="G894" t="str">
        <f>"00158685"</f>
        <v>00158685</v>
      </c>
      <c r="H894">
        <v>770</v>
      </c>
      <c r="I894">
        <v>0</v>
      </c>
      <c r="J894">
        <v>0</v>
      </c>
      <c r="K894">
        <v>0</v>
      </c>
      <c r="L894">
        <v>0</v>
      </c>
      <c r="M894">
        <v>0</v>
      </c>
      <c r="N894">
        <v>0</v>
      </c>
      <c r="O894">
        <v>0</v>
      </c>
      <c r="P894">
        <v>0</v>
      </c>
      <c r="Q894">
        <v>0</v>
      </c>
      <c r="R894">
        <v>0</v>
      </c>
      <c r="S894">
        <v>0</v>
      </c>
      <c r="T894">
        <v>0</v>
      </c>
      <c r="U894">
        <v>0</v>
      </c>
      <c r="V894">
        <v>84</v>
      </c>
      <c r="W894">
        <v>588</v>
      </c>
      <c r="X894">
        <v>0</v>
      </c>
      <c r="Z894">
        <v>0</v>
      </c>
      <c r="AA894">
        <v>0</v>
      </c>
      <c r="AB894">
        <v>0</v>
      </c>
      <c r="AC894">
        <v>0</v>
      </c>
      <c r="AD894">
        <v>1358</v>
      </c>
    </row>
    <row r="895" spans="1:30" x14ac:dyDescent="0.25">
      <c r="H895" t="s">
        <v>1900</v>
      </c>
    </row>
    <row r="896" spans="1:30" x14ac:dyDescent="0.25">
      <c r="A896">
        <v>445</v>
      </c>
      <c r="B896">
        <v>73</v>
      </c>
      <c r="C896" t="s">
        <v>1901</v>
      </c>
      <c r="D896" t="s">
        <v>535</v>
      </c>
      <c r="E896" t="s">
        <v>120</v>
      </c>
      <c r="F896" t="s">
        <v>1902</v>
      </c>
      <c r="G896" t="str">
        <f>"200905000495"</f>
        <v>200905000495</v>
      </c>
      <c r="H896">
        <v>770</v>
      </c>
      <c r="I896">
        <v>0</v>
      </c>
      <c r="J896">
        <v>0</v>
      </c>
      <c r="K896">
        <v>0</v>
      </c>
      <c r="L896">
        <v>0</v>
      </c>
      <c r="M896">
        <v>0</v>
      </c>
      <c r="N896">
        <v>0</v>
      </c>
      <c r="O896">
        <v>0</v>
      </c>
      <c r="P896">
        <v>0</v>
      </c>
      <c r="Q896">
        <v>0</v>
      </c>
      <c r="R896">
        <v>0</v>
      </c>
      <c r="S896">
        <v>0</v>
      </c>
      <c r="T896">
        <v>0</v>
      </c>
      <c r="U896">
        <v>0</v>
      </c>
      <c r="V896">
        <v>84</v>
      </c>
      <c r="W896">
        <v>588</v>
      </c>
      <c r="X896">
        <v>0</v>
      </c>
      <c r="Z896">
        <v>2</v>
      </c>
      <c r="AA896">
        <v>0</v>
      </c>
      <c r="AB896">
        <v>0</v>
      </c>
      <c r="AC896">
        <v>0</v>
      </c>
      <c r="AD896">
        <v>1358</v>
      </c>
    </row>
    <row r="897" spans="1:30" x14ac:dyDescent="0.25">
      <c r="H897" t="s">
        <v>1903</v>
      </c>
    </row>
    <row r="898" spans="1:30" x14ac:dyDescent="0.25">
      <c r="A898">
        <v>446</v>
      </c>
      <c r="B898">
        <v>1463</v>
      </c>
      <c r="C898" t="s">
        <v>1904</v>
      </c>
      <c r="D898" t="s">
        <v>76</v>
      </c>
      <c r="E898" t="s">
        <v>167</v>
      </c>
      <c r="F898" t="s">
        <v>1905</v>
      </c>
      <c r="G898" t="str">
        <f>"00265098"</f>
        <v>00265098</v>
      </c>
      <c r="H898">
        <v>770</v>
      </c>
      <c r="I898">
        <v>0</v>
      </c>
      <c r="J898">
        <v>0</v>
      </c>
      <c r="K898">
        <v>0</v>
      </c>
      <c r="L898">
        <v>0</v>
      </c>
      <c r="M898">
        <v>0</v>
      </c>
      <c r="N898">
        <v>0</v>
      </c>
      <c r="O898">
        <v>0</v>
      </c>
      <c r="P898">
        <v>0</v>
      </c>
      <c r="Q898">
        <v>0</v>
      </c>
      <c r="R898">
        <v>0</v>
      </c>
      <c r="S898">
        <v>0</v>
      </c>
      <c r="T898">
        <v>0</v>
      </c>
      <c r="U898">
        <v>0</v>
      </c>
      <c r="V898">
        <v>84</v>
      </c>
      <c r="W898">
        <v>588</v>
      </c>
      <c r="X898">
        <v>0</v>
      </c>
      <c r="Z898">
        <v>0</v>
      </c>
      <c r="AA898">
        <v>0</v>
      </c>
      <c r="AB898">
        <v>0</v>
      </c>
      <c r="AC898">
        <v>0</v>
      </c>
      <c r="AD898">
        <v>1358</v>
      </c>
    </row>
    <row r="899" spans="1:30" x14ac:dyDescent="0.25">
      <c r="H899" t="s">
        <v>1906</v>
      </c>
    </row>
    <row r="900" spans="1:30" x14ac:dyDescent="0.25">
      <c r="A900">
        <v>447</v>
      </c>
      <c r="B900">
        <v>6235</v>
      </c>
      <c r="C900" t="s">
        <v>1907</v>
      </c>
      <c r="D900" t="s">
        <v>490</v>
      </c>
      <c r="E900" t="s">
        <v>28</v>
      </c>
      <c r="F900" t="s">
        <v>1908</v>
      </c>
      <c r="G900" t="str">
        <f>"201412002045"</f>
        <v>201412002045</v>
      </c>
      <c r="H900">
        <v>770</v>
      </c>
      <c r="I900">
        <v>0</v>
      </c>
      <c r="J900">
        <v>0</v>
      </c>
      <c r="K900">
        <v>0</v>
      </c>
      <c r="L900">
        <v>0</v>
      </c>
      <c r="M900">
        <v>0</v>
      </c>
      <c r="N900">
        <v>0</v>
      </c>
      <c r="O900">
        <v>0</v>
      </c>
      <c r="P900">
        <v>0</v>
      </c>
      <c r="Q900">
        <v>0</v>
      </c>
      <c r="R900">
        <v>0</v>
      </c>
      <c r="S900">
        <v>0</v>
      </c>
      <c r="T900">
        <v>0</v>
      </c>
      <c r="U900">
        <v>0</v>
      </c>
      <c r="V900">
        <v>84</v>
      </c>
      <c r="W900">
        <v>588</v>
      </c>
      <c r="X900">
        <v>0</v>
      </c>
      <c r="Z900">
        <v>1</v>
      </c>
      <c r="AA900">
        <v>0</v>
      </c>
      <c r="AB900">
        <v>0</v>
      </c>
      <c r="AC900">
        <v>0</v>
      </c>
      <c r="AD900">
        <v>1358</v>
      </c>
    </row>
    <row r="901" spans="1:30" x14ac:dyDescent="0.25">
      <c r="H901" t="s">
        <v>1909</v>
      </c>
    </row>
    <row r="902" spans="1:30" x14ac:dyDescent="0.25">
      <c r="A902">
        <v>448</v>
      </c>
      <c r="B902">
        <v>968</v>
      </c>
      <c r="C902" t="s">
        <v>302</v>
      </c>
      <c r="D902" t="s">
        <v>306</v>
      </c>
      <c r="E902" t="s">
        <v>255</v>
      </c>
      <c r="F902" t="s">
        <v>1910</v>
      </c>
      <c r="G902" t="str">
        <f>"00268017"</f>
        <v>00268017</v>
      </c>
      <c r="H902" t="s">
        <v>730</v>
      </c>
      <c r="I902">
        <v>0</v>
      </c>
      <c r="J902">
        <v>0</v>
      </c>
      <c r="K902">
        <v>0</v>
      </c>
      <c r="L902">
        <v>0</v>
      </c>
      <c r="M902">
        <v>0</v>
      </c>
      <c r="N902">
        <v>30</v>
      </c>
      <c r="O902">
        <v>0</v>
      </c>
      <c r="P902">
        <v>30</v>
      </c>
      <c r="Q902">
        <v>0</v>
      </c>
      <c r="R902">
        <v>0</v>
      </c>
      <c r="S902">
        <v>0</v>
      </c>
      <c r="T902">
        <v>0</v>
      </c>
      <c r="U902">
        <v>0</v>
      </c>
      <c r="V902">
        <v>28</v>
      </c>
      <c r="W902">
        <v>196</v>
      </c>
      <c r="X902">
        <v>0</v>
      </c>
      <c r="Z902">
        <v>0</v>
      </c>
      <c r="AA902">
        <v>0</v>
      </c>
      <c r="AB902">
        <v>20</v>
      </c>
      <c r="AC902">
        <v>340</v>
      </c>
      <c r="AD902" t="s">
        <v>1911</v>
      </c>
    </row>
    <row r="903" spans="1:30" x14ac:dyDescent="0.25">
      <c r="H903" t="s">
        <v>1912</v>
      </c>
    </row>
    <row r="904" spans="1:30" x14ac:dyDescent="0.25">
      <c r="A904">
        <v>449</v>
      </c>
      <c r="B904">
        <v>2640</v>
      </c>
      <c r="C904" t="s">
        <v>1913</v>
      </c>
      <c r="D904" t="s">
        <v>445</v>
      </c>
      <c r="E904" t="s">
        <v>859</v>
      </c>
      <c r="F904" t="s">
        <v>1914</v>
      </c>
      <c r="G904" t="str">
        <f>"201511034053"</f>
        <v>201511034053</v>
      </c>
      <c r="H904" t="s">
        <v>1915</v>
      </c>
      <c r="I904">
        <v>0</v>
      </c>
      <c r="J904">
        <v>0</v>
      </c>
      <c r="K904">
        <v>0</v>
      </c>
      <c r="L904">
        <v>0</v>
      </c>
      <c r="M904">
        <v>0</v>
      </c>
      <c r="N904">
        <v>30</v>
      </c>
      <c r="O904">
        <v>0</v>
      </c>
      <c r="P904">
        <v>0</v>
      </c>
      <c r="Q904">
        <v>0</v>
      </c>
      <c r="R904">
        <v>0</v>
      </c>
      <c r="S904">
        <v>0</v>
      </c>
      <c r="T904">
        <v>0</v>
      </c>
      <c r="U904">
        <v>0</v>
      </c>
      <c r="V904">
        <v>84</v>
      </c>
      <c r="W904">
        <v>588</v>
      </c>
      <c r="X904">
        <v>0</v>
      </c>
      <c r="Z904">
        <v>0</v>
      </c>
      <c r="AA904">
        <v>0</v>
      </c>
      <c r="AB904">
        <v>0</v>
      </c>
      <c r="AC904">
        <v>0</v>
      </c>
      <c r="AD904" t="s">
        <v>1911</v>
      </c>
    </row>
    <row r="905" spans="1:30" x14ac:dyDescent="0.25">
      <c r="H905" t="s">
        <v>1916</v>
      </c>
    </row>
    <row r="906" spans="1:30" x14ac:dyDescent="0.25">
      <c r="A906">
        <v>450</v>
      </c>
      <c r="B906">
        <v>4723</v>
      </c>
      <c r="C906" t="s">
        <v>1917</v>
      </c>
      <c r="D906" t="s">
        <v>28</v>
      </c>
      <c r="E906" t="s">
        <v>347</v>
      </c>
      <c r="F906" t="s">
        <v>1918</v>
      </c>
      <c r="G906" t="str">
        <f>"00152868"</f>
        <v>00152868</v>
      </c>
      <c r="H906" t="s">
        <v>774</v>
      </c>
      <c r="I906">
        <v>0</v>
      </c>
      <c r="J906">
        <v>0</v>
      </c>
      <c r="K906">
        <v>0</v>
      </c>
      <c r="L906">
        <v>0</v>
      </c>
      <c r="M906">
        <v>0</v>
      </c>
      <c r="N906">
        <v>0</v>
      </c>
      <c r="O906">
        <v>0</v>
      </c>
      <c r="P906">
        <v>0</v>
      </c>
      <c r="Q906">
        <v>0</v>
      </c>
      <c r="R906">
        <v>0</v>
      </c>
      <c r="S906">
        <v>0</v>
      </c>
      <c r="T906">
        <v>0</v>
      </c>
      <c r="U906">
        <v>0</v>
      </c>
      <c r="V906">
        <v>84</v>
      </c>
      <c r="W906">
        <v>588</v>
      </c>
      <c r="X906">
        <v>0</v>
      </c>
      <c r="Z906">
        <v>0</v>
      </c>
      <c r="AA906">
        <v>0</v>
      </c>
      <c r="AB906">
        <v>0</v>
      </c>
      <c r="AC906">
        <v>0</v>
      </c>
      <c r="AD906" t="s">
        <v>1919</v>
      </c>
    </row>
    <row r="907" spans="1:30" x14ac:dyDescent="0.25">
      <c r="H907" t="s">
        <v>1920</v>
      </c>
    </row>
    <row r="908" spans="1:30" x14ac:dyDescent="0.25">
      <c r="A908">
        <v>451</v>
      </c>
      <c r="B908">
        <v>2535</v>
      </c>
      <c r="C908" t="s">
        <v>1921</v>
      </c>
      <c r="D908" t="s">
        <v>76</v>
      </c>
      <c r="E908" t="s">
        <v>49</v>
      </c>
      <c r="F908" t="s">
        <v>1922</v>
      </c>
      <c r="G908" t="str">
        <f>"201406006556"</f>
        <v>201406006556</v>
      </c>
      <c r="H908" t="s">
        <v>232</v>
      </c>
      <c r="I908">
        <v>0</v>
      </c>
      <c r="J908">
        <v>0</v>
      </c>
      <c r="K908">
        <v>0</v>
      </c>
      <c r="L908">
        <v>0</v>
      </c>
      <c r="M908">
        <v>0</v>
      </c>
      <c r="N908">
        <v>30</v>
      </c>
      <c r="O908">
        <v>0</v>
      </c>
      <c r="P908">
        <v>0</v>
      </c>
      <c r="Q908">
        <v>0</v>
      </c>
      <c r="R908">
        <v>0</v>
      </c>
      <c r="S908">
        <v>0</v>
      </c>
      <c r="T908">
        <v>0</v>
      </c>
      <c r="U908">
        <v>0</v>
      </c>
      <c r="V908">
        <v>79</v>
      </c>
      <c r="W908">
        <v>553</v>
      </c>
      <c r="X908">
        <v>0</v>
      </c>
      <c r="Z908">
        <v>0</v>
      </c>
      <c r="AA908">
        <v>0</v>
      </c>
      <c r="AB908">
        <v>0</v>
      </c>
      <c r="AC908">
        <v>0</v>
      </c>
      <c r="AD908" t="s">
        <v>1923</v>
      </c>
    </row>
    <row r="909" spans="1:30" x14ac:dyDescent="0.25">
      <c r="H909" t="s">
        <v>1924</v>
      </c>
    </row>
    <row r="910" spans="1:30" x14ac:dyDescent="0.25">
      <c r="A910">
        <v>452</v>
      </c>
      <c r="B910">
        <v>5188</v>
      </c>
      <c r="C910" t="s">
        <v>1925</v>
      </c>
      <c r="D910" t="s">
        <v>1540</v>
      </c>
      <c r="E910" t="s">
        <v>120</v>
      </c>
      <c r="F910" t="s">
        <v>1926</v>
      </c>
      <c r="G910" t="str">
        <f>"00200649"</f>
        <v>00200649</v>
      </c>
      <c r="H910" t="s">
        <v>1796</v>
      </c>
      <c r="I910">
        <v>0</v>
      </c>
      <c r="J910">
        <v>0</v>
      </c>
      <c r="K910">
        <v>0</v>
      </c>
      <c r="L910">
        <v>0</v>
      </c>
      <c r="M910">
        <v>0</v>
      </c>
      <c r="N910">
        <v>0</v>
      </c>
      <c r="O910">
        <v>0</v>
      </c>
      <c r="P910">
        <v>0</v>
      </c>
      <c r="Q910">
        <v>0</v>
      </c>
      <c r="R910">
        <v>0</v>
      </c>
      <c r="S910">
        <v>0</v>
      </c>
      <c r="T910">
        <v>0</v>
      </c>
      <c r="U910">
        <v>0</v>
      </c>
      <c r="V910">
        <v>76</v>
      </c>
      <c r="W910">
        <v>532</v>
      </c>
      <c r="X910">
        <v>0</v>
      </c>
      <c r="Z910">
        <v>0</v>
      </c>
      <c r="AA910">
        <v>0</v>
      </c>
      <c r="AB910">
        <v>8</v>
      </c>
      <c r="AC910">
        <v>136</v>
      </c>
      <c r="AD910" t="s">
        <v>1927</v>
      </c>
    </row>
    <row r="911" spans="1:30" x14ac:dyDescent="0.25">
      <c r="H911" t="s">
        <v>1928</v>
      </c>
    </row>
    <row r="912" spans="1:30" x14ac:dyDescent="0.25">
      <c r="A912">
        <v>453</v>
      </c>
      <c r="B912">
        <v>5888</v>
      </c>
      <c r="C912" t="s">
        <v>1929</v>
      </c>
      <c r="D912" t="s">
        <v>180</v>
      </c>
      <c r="E912" t="s">
        <v>28</v>
      </c>
      <c r="F912" t="s">
        <v>1930</v>
      </c>
      <c r="G912" t="str">
        <f>"00335135"</f>
        <v>00335135</v>
      </c>
      <c r="H912" t="s">
        <v>1549</v>
      </c>
      <c r="I912">
        <v>0</v>
      </c>
      <c r="J912">
        <v>0</v>
      </c>
      <c r="K912">
        <v>0</v>
      </c>
      <c r="L912">
        <v>0</v>
      </c>
      <c r="M912">
        <v>0</v>
      </c>
      <c r="N912">
        <v>70</v>
      </c>
      <c r="O912">
        <v>0</v>
      </c>
      <c r="P912">
        <v>0</v>
      </c>
      <c r="Q912">
        <v>0</v>
      </c>
      <c r="R912">
        <v>0</v>
      </c>
      <c r="S912">
        <v>0</v>
      </c>
      <c r="T912">
        <v>0</v>
      </c>
      <c r="U912">
        <v>0</v>
      </c>
      <c r="V912">
        <v>84</v>
      </c>
      <c r="W912">
        <v>588</v>
      </c>
      <c r="X912">
        <v>0</v>
      </c>
      <c r="Z912">
        <v>0</v>
      </c>
      <c r="AA912">
        <v>0</v>
      </c>
      <c r="AB912">
        <v>0</v>
      </c>
      <c r="AC912">
        <v>0</v>
      </c>
      <c r="AD912" t="s">
        <v>1931</v>
      </c>
    </row>
    <row r="913" spans="1:30" x14ac:dyDescent="0.25">
      <c r="H913" t="s">
        <v>1932</v>
      </c>
    </row>
    <row r="914" spans="1:30" x14ac:dyDescent="0.25">
      <c r="A914">
        <v>454</v>
      </c>
      <c r="B914">
        <v>4295</v>
      </c>
      <c r="C914" t="s">
        <v>1933</v>
      </c>
      <c r="D914" t="s">
        <v>218</v>
      </c>
      <c r="E914" t="s">
        <v>32</v>
      </c>
      <c r="F914" t="s">
        <v>1934</v>
      </c>
      <c r="G914" t="str">
        <f>"201511005892"</f>
        <v>201511005892</v>
      </c>
      <c r="H914">
        <v>737</v>
      </c>
      <c r="I914">
        <v>0</v>
      </c>
      <c r="J914">
        <v>0</v>
      </c>
      <c r="K914">
        <v>0</v>
      </c>
      <c r="L914">
        <v>0</v>
      </c>
      <c r="M914">
        <v>0</v>
      </c>
      <c r="N914">
        <v>30</v>
      </c>
      <c r="O914">
        <v>0</v>
      </c>
      <c r="P914">
        <v>0</v>
      </c>
      <c r="Q914">
        <v>0</v>
      </c>
      <c r="R914">
        <v>0</v>
      </c>
      <c r="S914">
        <v>0</v>
      </c>
      <c r="T914">
        <v>0</v>
      </c>
      <c r="U914">
        <v>0</v>
      </c>
      <c r="V914">
        <v>84</v>
      </c>
      <c r="W914">
        <v>588</v>
      </c>
      <c r="X914">
        <v>0</v>
      </c>
      <c r="Z914">
        <v>0</v>
      </c>
      <c r="AA914">
        <v>0</v>
      </c>
      <c r="AB914">
        <v>0</v>
      </c>
      <c r="AC914">
        <v>0</v>
      </c>
      <c r="AD914">
        <v>1355</v>
      </c>
    </row>
    <row r="915" spans="1:30" x14ac:dyDescent="0.25">
      <c r="H915" t="s">
        <v>1935</v>
      </c>
    </row>
    <row r="916" spans="1:30" x14ac:dyDescent="0.25">
      <c r="A916">
        <v>455</v>
      </c>
      <c r="B916">
        <v>5402</v>
      </c>
      <c r="C916" t="s">
        <v>1936</v>
      </c>
      <c r="D916" t="s">
        <v>615</v>
      </c>
      <c r="E916" t="s">
        <v>77</v>
      </c>
      <c r="F916" t="s">
        <v>1937</v>
      </c>
      <c r="G916" t="str">
        <f>"00169536"</f>
        <v>00169536</v>
      </c>
      <c r="H916">
        <v>737</v>
      </c>
      <c r="I916">
        <v>0</v>
      </c>
      <c r="J916">
        <v>0</v>
      </c>
      <c r="K916">
        <v>0</v>
      </c>
      <c r="L916">
        <v>0</v>
      </c>
      <c r="M916">
        <v>0</v>
      </c>
      <c r="N916">
        <v>30</v>
      </c>
      <c r="O916">
        <v>0</v>
      </c>
      <c r="P916">
        <v>0</v>
      </c>
      <c r="Q916">
        <v>0</v>
      </c>
      <c r="R916">
        <v>0</v>
      </c>
      <c r="S916">
        <v>0</v>
      </c>
      <c r="T916">
        <v>0</v>
      </c>
      <c r="U916">
        <v>0</v>
      </c>
      <c r="V916">
        <v>84</v>
      </c>
      <c r="W916">
        <v>588</v>
      </c>
      <c r="X916">
        <v>0</v>
      </c>
      <c r="Z916">
        <v>0</v>
      </c>
      <c r="AA916">
        <v>0</v>
      </c>
      <c r="AB916">
        <v>0</v>
      </c>
      <c r="AC916">
        <v>0</v>
      </c>
      <c r="AD916">
        <v>1355</v>
      </c>
    </row>
    <row r="917" spans="1:30" x14ac:dyDescent="0.25">
      <c r="H917" t="s">
        <v>1938</v>
      </c>
    </row>
    <row r="918" spans="1:30" x14ac:dyDescent="0.25">
      <c r="A918">
        <v>456</v>
      </c>
      <c r="B918">
        <v>2903</v>
      </c>
      <c r="C918" t="s">
        <v>1939</v>
      </c>
      <c r="D918" t="s">
        <v>120</v>
      </c>
      <c r="E918" t="s">
        <v>28</v>
      </c>
      <c r="F918" t="s">
        <v>1940</v>
      </c>
      <c r="G918" t="str">
        <f>"201405000558"</f>
        <v>201405000558</v>
      </c>
      <c r="H918">
        <v>737</v>
      </c>
      <c r="I918">
        <v>0</v>
      </c>
      <c r="J918">
        <v>0</v>
      </c>
      <c r="K918">
        <v>0</v>
      </c>
      <c r="L918">
        <v>0</v>
      </c>
      <c r="M918">
        <v>0</v>
      </c>
      <c r="N918">
        <v>30</v>
      </c>
      <c r="O918">
        <v>0</v>
      </c>
      <c r="P918">
        <v>0</v>
      </c>
      <c r="Q918">
        <v>0</v>
      </c>
      <c r="R918">
        <v>0</v>
      </c>
      <c r="S918">
        <v>0</v>
      </c>
      <c r="T918">
        <v>0</v>
      </c>
      <c r="U918">
        <v>0</v>
      </c>
      <c r="V918">
        <v>84</v>
      </c>
      <c r="W918">
        <v>588</v>
      </c>
      <c r="X918">
        <v>0</v>
      </c>
      <c r="Z918">
        <v>0</v>
      </c>
      <c r="AA918">
        <v>0</v>
      </c>
      <c r="AB918">
        <v>0</v>
      </c>
      <c r="AC918">
        <v>0</v>
      </c>
      <c r="AD918">
        <v>1355</v>
      </c>
    </row>
    <row r="919" spans="1:30" x14ac:dyDescent="0.25">
      <c r="H919" t="s">
        <v>1941</v>
      </c>
    </row>
    <row r="920" spans="1:30" x14ac:dyDescent="0.25">
      <c r="A920">
        <v>457</v>
      </c>
      <c r="B920">
        <v>2345</v>
      </c>
      <c r="C920" t="s">
        <v>1942</v>
      </c>
      <c r="D920" t="s">
        <v>444</v>
      </c>
      <c r="E920" t="s">
        <v>49</v>
      </c>
      <c r="F920" t="s">
        <v>1943</v>
      </c>
      <c r="G920" t="str">
        <f>"201406013156"</f>
        <v>201406013156</v>
      </c>
      <c r="H920">
        <v>737</v>
      </c>
      <c r="I920">
        <v>0</v>
      </c>
      <c r="J920">
        <v>0</v>
      </c>
      <c r="K920">
        <v>0</v>
      </c>
      <c r="L920">
        <v>0</v>
      </c>
      <c r="M920">
        <v>0</v>
      </c>
      <c r="N920">
        <v>30</v>
      </c>
      <c r="O920">
        <v>0</v>
      </c>
      <c r="P920">
        <v>0</v>
      </c>
      <c r="Q920">
        <v>0</v>
      </c>
      <c r="R920">
        <v>0</v>
      </c>
      <c r="S920">
        <v>0</v>
      </c>
      <c r="T920">
        <v>0</v>
      </c>
      <c r="U920">
        <v>0</v>
      </c>
      <c r="V920">
        <v>84</v>
      </c>
      <c r="W920">
        <v>588</v>
      </c>
      <c r="X920">
        <v>0</v>
      </c>
      <c r="Z920">
        <v>0</v>
      </c>
      <c r="AA920">
        <v>0</v>
      </c>
      <c r="AB920">
        <v>0</v>
      </c>
      <c r="AC920">
        <v>0</v>
      </c>
      <c r="AD920">
        <v>1355</v>
      </c>
    </row>
    <row r="921" spans="1:30" x14ac:dyDescent="0.25">
      <c r="H921" t="s">
        <v>1944</v>
      </c>
    </row>
    <row r="922" spans="1:30" x14ac:dyDescent="0.25">
      <c r="A922">
        <v>458</v>
      </c>
      <c r="B922">
        <v>3530</v>
      </c>
      <c r="C922" t="s">
        <v>1945</v>
      </c>
      <c r="D922" t="s">
        <v>142</v>
      </c>
      <c r="E922" t="s">
        <v>49</v>
      </c>
      <c r="F922" t="s">
        <v>1946</v>
      </c>
      <c r="G922" t="str">
        <f>"201511025382"</f>
        <v>201511025382</v>
      </c>
      <c r="H922">
        <v>737</v>
      </c>
      <c r="I922">
        <v>0</v>
      </c>
      <c r="J922">
        <v>0</v>
      </c>
      <c r="K922">
        <v>0</v>
      </c>
      <c r="L922">
        <v>0</v>
      </c>
      <c r="M922">
        <v>0</v>
      </c>
      <c r="N922">
        <v>30</v>
      </c>
      <c r="O922">
        <v>0</v>
      </c>
      <c r="P922">
        <v>0</v>
      </c>
      <c r="Q922">
        <v>0</v>
      </c>
      <c r="R922">
        <v>0</v>
      </c>
      <c r="S922">
        <v>0</v>
      </c>
      <c r="T922">
        <v>0</v>
      </c>
      <c r="U922">
        <v>0</v>
      </c>
      <c r="V922">
        <v>84</v>
      </c>
      <c r="W922">
        <v>588</v>
      </c>
      <c r="X922">
        <v>0</v>
      </c>
      <c r="Z922">
        <v>0</v>
      </c>
      <c r="AA922">
        <v>0</v>
      </c>
      <c r="AB922">
        <v>0</v>
      </c>
      <c r="AC922">
        <v>0</v>
      </c>
      <c r="AD922">
        <v>1355</v>
      </c>
    </row>
    <row r="923" spans="1:30" x14ac:dyDescent="0.25">
      <c r="H923" t="s">
        <v>1947</v>
      </c>
    </row>
    <row r="924" spans="1:30" x14ac:dyDescent="0.25">
      <c r="A924">
        <v>459</v>
      </c>
      <c r="B924">
        <v>4899</v>
      </c>
      <c r="C924" t="s">
        <v>808</v>
      </c>
      <c r="D924" t="s">
        <v>1948</v>
      </c>
      <c r="E924" t="s">
        <v>107</v>
      </c>
      <c r="F924" t="s">
        <v>1949</v>
      </c>
      <c r="G924" t="str">
        <f>"00345953"</f>
        <v>00345953</v>
      </c>
      <c r="H924">
        <v>737</v>
      </c>
      <c r="I924">
        <v>0</v>
      </c>
      <c r="J924">
        <v>0</v>
      </c>
      <c r="K924">
        <v>0</v>
      </c>
      <c r="L924">
        <v>0</v>
      </c>
      <c r="M924">
        <v>0</v>
      </c>
      <c r="N924">
        <v>30</v>
      </c>
      <c r="O924">
        <v>0</v>
      </c>
      <c r="P924">
        <v>0</v>
      </c>
      <c r="Q924">
        <v>0</v>
      </c>
      <c r="R924">
        <v>0</v>
      </c>
      <c r="S924">
        <v>0</v>
      </c>
      <c r="T924">
        <v>0</v>
      </c>
      <c r="U924">
        <v>0</v>
      </c>
      <c r="V924">
        <v>84</v>
      </c>
      <c r="W924">
        <v>588</v>
      </c>
      <c r="X924">
        <v>0</v>
      </c>
      <c r="Z924">
        <v>0</v>
      </c>
      <c r="AA924">
        <v>0</v>
      </c>
      <c r="AB924">
        <v>0</v>
      </c>
      <c r="AC924">
        <v>0</v>
      </c>
      <c r="AD924">
        <v>1355</v>
      </c>
    </row>
    <row r="925" spans="1:30" x14ac:dyDescent="0.25">
      <c r="H925" t="s">
        <v>1950</v>
      </c>
    </row>
    <row r="926" spans="1:30" x14ac:dyDescent="0.25">
      <c r="A926">
        <v>460</v>
      </c>
      <c r="B926">
        <v>859</v>
      </c>
      <c r="C926" t="s">
        <v>1951</v>
      </c>
      <c r="D926" t="s">
        <v>306</v>
      </c>
      <c r="E926" t="s">
        <v>107</v>
      </c>
      <c r="F926" t="s">
        <v>1952</v>
      </c>
      <c r="G926" t="str">
        <f>"200801006542"</f>
        <v>200801006542</v>
      </c>
      <c r="H926" t="s">
        <v>1255</v>
      </c>
      <c r="I926">
        <v>0</v>
      </c>
      <c r="J926">
        <v>0</v>
      </c>
      <c r="K926">
        <v>0</v>
      </c>
      <c r="L926">
        <v>0</v>
      </c>
      <c r="M926">
        <v>0</v>
      </c>
      <c r="N926">
        <v>30</v>
      </c>
      <c r="O926">
        <v>0</v>
      </c>
      <c r="P926">
        <v>0</v>
      </c>
      <c r="Q926">
        <v>30</v>
      </c>
      <c r="R926">
        <v>0</v>
      </c>
      <c r="S926">
        <v>0</v>
      </c>
      <c r="T926">
        <v>0</v>
      </c>
      <c r="U926">
        <v>0</v>
      </c>
      <c r="V926">
        <v>71</v>
      </c>
      <c r="W926">
        <v>497</v>
      </c>
      <c r="X926">
        <v>0</v>
      </c>
      <c r="Z926">
        <v>0</v>
      </c>
      <c r="AA926">
        <v>0</v>
      </c>
      <c r="AB926">
        <v>0</v>
      </c>
      <c r="AC926">
        <v>0</v>
      </c>
      <c r="AD926" t="s">
        <v>1953</v>
      </c>
    </row>
    <row r="927" spans="1:30" x14ac:dyDescent="0.25">
      <c r="H927" t="s">
        <v>1954</v>
      </c>
    </row>
    <row r="928" spans="1:30" x14ac:dyDescent="0.25">
      <c r="A928">
        <v>461</v>
      </c>
      <c r="B928">
        <v>4082</v>
      </c>
      <c r="C928" t="s">
        <v>1955</v>
      </c>
      <c r="D928" t="s">
        <v>64</v>
      </c>
      <c r="E928" t="s">
        <v>102</v>
      </c>
      <c r="F928" t="s">
        <v>1956</v>
      </c>
      <c r="G928" t="str">
        <f>"201412002603"</f>
        <v>201412002603</v>
      </c>
      <c r="H928">
        <v>715</v>
      </c>
      <c r="I928">
        <v>0</v>
      </c>
      <c r="J928">
        <v>0</v>
      </c>
      <c r="K928">
        <v>0</v>
      </c>
      <c r="L928">
        <v>0</v>
      </c>
      <c r="M928">
        <v>0</v>
      </c>
      <c r="N928">
        <v>50</v>
      </c>
      <c r="O928">
        <v>0</v>
      </c>
      <c r="P928">
        <v>0</v>
      </c>
      <c r="Q928">
        <v>0</v>
      </c>
      <c r="R928">
        <v>0</v>
      </c>
      <c r="S928">
        <v>0</v>
      </c>
      <c r="T928">
        <v>0</v>
      </c>
      <c r="U928">
        <v>0</v>
      </c>
      <c r="V928">
        <v>84</v>
      </c>
      <c r="W928">
        <v>588</v>
      </c>
      <c r="X928">
        <v>0</v>
      </c>
      <c r="Z928">
        <v>0</v>
      </c>
      <c r="AA928">
        <v>0</v>
      </c>
      <c r="AB928">
        <v>0</v>
      </c>
      <c r="AC928">
        <v>0</v>
      </c>
      <c r="AD928">
        <v>1353</v>
      </c>
    </row>
    <row r="929" spans="1:30" x14ac:dyDescent="0.25">
      <c r="H929" t="s">
        <v>1957</v>
      </c>
    </row>
    <row r="930" spans="1:30" x14ac:dyDescent="0.25">
      <c r="A930">
        <v>462</v>
      </c>
      <c r="B930">
        <v>389</v>
      </c>
      <c r="C930" t="s">
        <v>62</v>
      </c>
      <c r="D930" t="s">
        <v>598</v>
      </c>
      <c r="E930" t="s">
        <v>49</v>
      </c>
      <c r="F930" t="s">
        <v>1958</v>
      </c>
      <c r="G930" t="str">
        <f>"00201672"</f>
        <v>00201672</v>
      </c>
      <c r="H930" t="s">
        <v>1163</v>
      </c>
      <c r="I930">
        <v>0</v>
      </c>
      <c r="J930">
        <v>0</v>
      </c>
      <c r="K930">
        <v>0</v>
      </c>
      <c r="L930">
        <v>0</v>
      </c>
      <c r="M930">
        <v>0</v>
      </c>
      <c r="N930">
        <v>30</v>
      </c>
      <c r="O930">
        <v>0</v>
      </c>
      <c r="P930">
        <v>0</v>
      </c>
      <c r="Q930">
        <v>0</v>
      </c>
      <c r="R930">
        <v>0</v>
      </c>
      <c r="S930">
        <v>0</v>
      </c>
      <c r="T930">
        <v>0</v>
      </c>
      <c r="U930">
        <v>0</v>
      </c>
      <c r="V930">
        <v>84</v>
      </c>
      <c r="W930">
        <v>588</v>
      </c>
      <c r="X930">
        <v>0</v>
      </c>
      <c r="Z930">
        <v>0</v>
      </c>
      <c r="AA930">
        <v>0</v>
      </c>
      <c r="AB930">
        <v>0</v>
      </c>
      <c r="AC930">
        <v>0</v>
      </c>
      <c r="AD930" t="s">
        <v>1959</v>
      </c>
    </row>
    <row r="931" spans="1:30" x14ac:dyDescent="0.25">
      <c r="H931" t="s">
        <v>1960</v>
      </c>
    </row>
    <row r="932" spans="1:30" x14ac:dyDescent="0.25">
      <c r="A932">
        <v>463</v>
      </c>
      <c r="B932">
        <v>1005</v>
      </c>
      <c r="C932" t="s">
        <v>1961</v>
      </c>
      <c r="D932" t="s">
        <v>39</v>
      </c>
      <c r="E932" t="s">
        <v>120</v>
      </c>
      <c r="F932" t="s">
        <v>1962</v>
      </c>
      <c r="G932" t="str">
        <f>"00030164"</f>
        <v>00030164</v>
      </c>
      <c r="H932" t="s">
        <v>1163</v>
      </c>
      <c r="I932">
        <v>0</v>
      </c>
      <c r="J932">
        <v>0</v>
      </c>
      <c r="K932">
        <v>0</v>
      </c>
      <c r="L932">
        <v>0</v>
      </c>
      <c r="M932">
        <v>0</v>
      </c>
      <c r="N932">
        <v>30</v>
      </c>
      <c r="O932">
        <v>0</v>
      </c>
      <c r="P932">
        <v>0</v>
      </c>
      <c r="Q932">
        <v>0</v>
      </c>
      <c r="R932">
        <v>0</v>
      </c>
      <c r="S932">
        <v>0</v>
      </c>
      <c r="T932">
        <v>0</v>
      </c>
      <c r="U932">
        <v>0</v>
      </c>
      <c r="V932">
        <v>84</v>
      </c>
      <c r="W932">
        <v>588</v>
      </c>
      <c r="X932">
        <v>0</v>
      </c>
      <c r="Z932">
        <v>0</v>
      </c>
      <c r="AA932">
        <v>0</v>
      </c>
      <c r="AB932">
        <v>0</v>
      </c>
      <c r="AC932">
        <v>0</v>
      </c>
      <c r="AD932" t="s">
        <v>1959</v>
      </c>
    </row>
    <row r="933" spans="1:30" x14ac:dyDescent="0.25">
      <c r="H933" t="s">
        <v>1963</v>
      </c>
    </row>
    <row r="934" spans="1:30" x14ac:dyDescent="0.25">
      <c r="A934">
        <v>464</v>
      </c>
      <c r="B934">
        <v>884</v>
      </c>
      <c r="C934" t="s">
        <v>1964</v>
      </c>
      <c r="D934" t="s">
        <v>185</v>
      </c>
      <c r="E934" t="s">
        <v>120</v>
      </c>
      <c r="F934" t="s">
        <v>1965</v>
      </c>
      <c r="G934" t="str">
        <f>"201511017408"</f>
        <v>201511017408</v>
      </c>
      <c r="H934" t="s">
        <v>349</v>
      </c>
      <c r="I934">
        <v>0</v>
      </c>
      <c r="J934">
        <v>0</v>
      </c>
      <c r="K934">
        <v>0</v>
      </c>
      <c r="L934">
        <v>0</v>
      </c>
      <c r="M934">
        <v>0</v>
      </c>
      <c r="N934">
        <v>0</v>
      </c>
      <c r="O934">
        <v>0</v>
      </c>
      <c r="P934">
        <v>0</v>
      </c>
      <c r="Q934">
        <v>0</v>
      </c>
      <c r="R934">
        <v>0</v>
      </c>
      <c r="S934">
        <v>0</v>
      </c>
      <c r="T934">
        <v>0</v>
      </c>
      <c r="U934">
        <v>0</v>
      </c>
      <c r="V934">
        <v>84</v>
      </c>
      <c r="W934">
        <v>588</v>
      </c>
      <c r="X934">
        <v>0</v>
      </c>
      <c r="Z934">
        <v>0</v>
      </c>
      <c r="AA934">
        <v>0</v>
      </c>
      <c r="AB934">
        <v>0</v>
      </c>
      <c r="AC934">
        <v>0</v>
      </c>
      <c r="AD934" t="s">
        <v>1966</v>
      </c>
    </row>
    <row r="935" spans="1:30" x14ac:dyDescent="0.25">
      <c r="H935" t="s">
        <v>1967</v>
      </c>
    </row>
    <row r="936" spans="1:30" x14ac:dyDescent="0.25">
      <c r="A936">
        <v>465</v>
      </c>
      <c r="B936">
        <v>2566</v>
      </c>
      <c r="C936" t="s">
        <v>1968</v>
      </c>
      <c r="D936" t="s">
        <v>39</v>
      </c>
      <c r="E936" t="s">
        <v>76</v>
      </c>
      <c r="F936" t="s">
        <v>1969</v>
      </c>
      <c r="G936" t="str">
        <f>"00323872"</f>
        <v>00323872</v>
      </c>
      <c r="H936" t="s">
        <v>349</v>
      </c>
      <c r="I936">
        <v>0</v>
      </c>
      <c r="J936">
        <v>0</v>
      </c>
      <c r="K936">
        <v>0</v>
      </c>
      <c r="L936">
        <v>0</v>
      </c>
      <c r="M936">
        <v>0</v>
      </c>
      <c r="N936">
        <v>0</v>
      </c>
      <c r="O936">
        <v>0</v>
      </c>
      <c r="P936">
        <v>0</v>
      </c>
      <c r="Q936">
        <v>0</v>
      </c>
      <c r="R936">
        <v>0</v>
      </c>
      <c r="S936">
        <v>0</v>
      </c>
      <c r="T936">
        <v>0</v>
      </c>
      <c r="U936">
        <v>0</v>
      </c>
      <c r="V936">
        <v>84</v>
      </c>
      <c r="W936">
        <v>588</v>
      </c>
      <c r="X936">
        <v>0</v>
      </c>
      <c r="Z936">
        <v>0</v>
      </c>
      <c r="AA936">
        <v>0</v>
      </c>
      <c r="AB936">
        <v>0</v>
      </c>
      <c r="AC936">
        <v>0</v>
      </c>
      <c r="AD936" t="s">
        <v>1966</v>
      </c>
    </row>
    <row r="937" spans="1:30" x14ac:dyDescent="0.25">
      <c r="H937" t="s">
        <v>1970</v>
      </c>
    </row>
    <row r="938" spans="1:30" x14ac:dyDescent="0.25">
      <c r="A938">
        <v>466</v>
      </c>
      <c r="B938">
        <v>1881</v>
      </c>
      <c r="C938" t="s">
        <v>1971</v>
      </c>
      <c r="D938" t="s">
        <v>1972</v>
      </c>
      <c r="E938" t="s">
        <v>389</v>
      </c>
      <c r="F938" t="s">
        <v>1973</v>
      </c>
      <c r="G938" t="str">
        <f>"201502002820"</f>
        <v>201502002820</v>
      </c>
      <c r="H938" t="s">
        <v>476</v>
      </c>
      <c r="I938">
        <v>0</v>
      </c>
      <c r="J938">
        <v>0</v>
      </c>
      <c r="K938">
        <v>0</v>
      </c>
      <c r="L938">
        <v>0</v>
      </c>
      <c r="M938">
        <v>0</v>
      </c>
      <c r="N938">
        <v>30</v>
      </c>
      <c r="O938">
        <v>0</v>
      </c>
      <c r="P938">
        <v>0</v>
      </c>
      <c r="Q938">
        <v>0</v>
      </c>
      <c r="R938">
        <v>0</v>
      </c>
      <c r="S938">
        <v>0</v>
      </c>
      <c r="T938">
        <v>0</v>
      </c>
      <c r="U938">
        <v>0</v>
      </c>
      <c r="V938">
        <v>84</v>
      </c>
      <c r="W938">
        <v>588</v>
      </c>
      <c r="X938">
        <v>0</v>
      </c>
      <c r="Z938">
        <v>0</v>
      </c>
      <c r="AA938">
        <v>0</v>
      </c>
      <c r="AB938">
        <v>0</v>
      </c>
      <c r="AC938">
        <v>0</v>
      </c>
      <c r="AD938" t="s">
        <v>1974</v>
      </c>
    </row>
    <row r="939" spans="1:30" x14ac:dyDescent="0.25">
      <c r="H939" t="s">
        <v>1975</v>
      </c>
    </row>
    <row r="940" spans="1:30" x14ac:dyDescent="0.25">
      <c r="A940">
        <v>467</v>
      </c>
      <c r="B940">
        <v>6151</v>
      </c>
      <c r="C940" t="s">
        <v>1976</v>
      </c>
      <c r="D940" t="s">
        <v>102</v>
      </c>
      <c r="E940" t="s">
        <v>84</v>
      </c>
      <c r="F940" t="s">
        <v>1977</v>
      </c>
      <c r="G940" t="str">
        <f>"200802005130"</f>
        <v>200802005130</v>
      </c>
      <c r="H940" t="s">
        <v>1978</v>
      </c>
      <c r="I940">
        <v>0</v>
      </c>
      <c r="J940">
        <v>0</v>
      </c>
      <c r="K940">
        <v>0</v>
      </c>
      <c r="L940">
        <v>0</v>
      </c>
      <c r="M940">
        <v>0</v>
      </c>
      <c r="N940">
        <v>30</v>
      </c>
      <c r="O940">
        <v>0</v>
      </c>
      <c r="P940">
        <v>0</v>
      </c>
      <c r="Q940">
        <v>0</v>
      </c>
      <c r="R940">
        <v>0</v>
      </c>
      <c r="S940">
        <v>0</v>
      </c>
      <c r="T940">
        <v>0</v>
      </c>
      <c r="U940">
        <v>0</v>
      </c>
      <c r="V940">
        <v>67</v>
      </c>
      <c r="W940">
        <v>469</v>
      </c>
      <c r="X940">
        <v>0</v>
      </c>
      <c r="Z940">
        <v>0</v>
      </c>
      <c r="AA940">
        <v>0</v>
      </c>
      <c r="AB940">
        <v>0</v>
      </c>
      <c r="AC940">
        <v>0</v>
      </c>
      <c r="AD940" t="s">
        <v>1979</v>
      </c>
    </row>
    <row r="941" spans="1:30" x14ac:dyDescent="0.25">
      <c r="H941" t="s">
        <v>1980</v>
      </c>
    </row>
    <row r="942" spans="1:30" x14ac:dyDescent="0.25">
      <c r="A942">
        <v>468</v>
      </c>
      <c r="B942">
        <v>2803</v>
      </c>
      <c r="C942" t="s">
        <v>1981</v>
      </c>
      <c r="D942" t="s">
        <v>865</v>
      </c>
      <c r="E942" t="s">
        <v>77</v>
      </c>
      <c r="F942" t="s">
        <v>1982</v>
      </c>
      <c r="G942" t="str">
        <f>"200712003088"</f>
        <v>200712003088</v>
      </c>
      <c r="H942">
        <v>693</v>
      </c>
      <c r="I942">
        <v>0</v>
      </c>
      <c r="J942">
        <v>0</v>
      </c>
      <c r="K942">
        <v>0</v>
      </c>
      <c r="L942">
        <v>0</v>
      </c>
      <c r="M942">
        <v>0</v>
      </c>
      <c r="N942">
        <v>70</v>
      </c>
      <c r="O942">
        <v>0</v>
      </c>
      <c r="P942">
        <v>0</v>
      </c>
      <c r="Q942">
        <v>0</v>
      </c>
      <c r="R942">
        <v>0</v>
      </c>
      <c r="S942">
        <v>0</v>
      </c>
      <c r="T942">
        <v>0</v>
      </c>
      <c r="U942">
        <v>0</v>
      </c>
      <c r="V942">
        <v>84</v>
      </c>
      <c r="W942">
        <v>588</v>
      </c>
      <c r="X942">
        <v>0</v>
      </c>
      <c r="Z942">
        <v>0</v>
      </c>
      <c r="AA942">
        <v>0</v>
      </c>
      <c r="AB942">
        <v>0</v>
      </c>
      <c r="AC942">
        <v>0</v>
      </c>
      <c r="AD942">
        <v>1351</v>
      </c>
    </row>
    <row r="943" spans="1:30" x14ac:dyDescent="0.25">
      <c r="H943" t="s">
        <v>1983</v>
      </c>
    </row>
    <row r="944" spans="1:30" x14ac:dyDescent="0.25">
      <c r="A944">
        <v>469</v>
      </c>
      <c r="B944">
        <v>1679</v>
      </c>
      <c r="C944" t="s">
        <v>1984</v>
      </c>
      <c r="D944" t="s">
        <v>120</v>
      </c>
      <c r="E944" t="s">
        <v>28</v>
      </c>
      <c r="F944" t="s">
        <v>1985</v>
      </c>
      <c r="G944" t="str">
        <f>"00110608"</f>
        <v>00110608</v>
      </c>
      <c r="H944" t="s">
        <v>1986</v>
      </c>
      <c r="I944">
        <v>0</v>
      </c>
      <c r="J944">
        <v>0</v>
      </c>
      <c r="K944">
        <v>0</v>
      </c>
      <c r="L944">
        <v>0</v>
      </c>
      <c r="M944">
        <v>0</v>
      </c>
      <c r="N944">
        <v>30</v>
      </c>
      <c r="O944">
        <v>0</v>
      </c>
      <c r="P944">
        <v>0</v>
      </c>
      <c r="Q944">
        <v>0</v>
      </c>
      <c r="R944">
        <v>0</v>
      </c>
      <c r="S944">
        <v>0</v>
      </c>
      <c r="T944">
        <v>0</v>
      </c>
      <c r="U944">
        <v>0</v>
      </c>
      <c r="V944">
        <v>76</v>
      </c>
      <c r="W944">
        <v>532</v>
      </c>
      <c r="X944">
        <v>0</v>
      </c>
      <c r="Z944">
        <v>0</v>
      </c>
      <c r="AA944">
        <v>0</v>
      </c>
      <c r="AB944">
        <v>8</v>
      </c>
      <c r="AC944">
        <v>136</v>
      </c>
      <c r="AD944" t="s">
        <v>1987</v>
      </c>
    </row>
    <row r="945" spans="1:30" x14ac:dyDescent="0.25">
      <c r="H945" t="s">
        <v>1988</v>
      </c>
    </row>
    <row r="946" spans="1:30" x14ac:dyDescent="0.25">
      <c r="A946">
        <v>470</v>
      </c>
      <c r="B946">
        <v>2441</v>
      </c>
      <c r="C946" t="s">
        <v>1989</v>
      </c>
      <c r="D946" t="s">
        <v>44</v>
      </c>
      <c r="E946" t="s">
        <v>167</v>
      </c>
      <c r="F946" t="s">
        <v>1990</v>
      </c>
      <c r="G946" t="str">
        <f>"200901000679"</f>
        <v>200901000679</v>
      </c>
      <c r="H946" t="s">
        <v>1915</v>
      </c>
      <c r="I946">
        <v>0</v>
      </c>
      <c r="J946">
        <v>0</v>
      </c>
      <c r="K946">
        <v>0</v>
      </c>
      <c r="L946">
        <v>0</v>
      </c>
      <c r="M946">
        <v>0</v>
      </c>
      <c r="N946">
        <v>50</v>
      </c>
      <c r="O946">
        <v>0</v>
      </c>
      <c r="P946">
        <v>0</v>
      </c>
      <c r="Q946">
        <v>0</v>
      </c>
      <c r="R946">
        <v>0</v>
      </c>
      <c r="S946">
        <v>0</v>
      </c>
      <c r="T946">
        <v>0</v>
      </c>
      <c r="U946">
        <v>0</v>
      </c>
      <c r="V946">
        <v>80</v>
      </c>
      <c r="W946">
        <v>560</v>
      </c>
      <c r="X946">
        <v>0</v>
      </c>
      <c r="Z946">
        <v>0</v>
      </c>
      <c r="AA946">
        <v>0</v>
      </c>
      <c r="AB946">
        <v>0</v>
      </c>
      <c r="AC946">
        <v>0</v>
      </c>
      <c r="AD946" t="s">
        <v>1991</v>
      </c>
    </row>
    <row r="947" spans="1:30" x14ac:dyDescent="0.25">
      <c r="H947" t="s">
        <v>1992</v>
      </c>
    </row>
    <row r="948" spans="1:30" x14ac:dyDescent="0.25">
      <c r="A948">
        <v>471</v>
      </c>
      <c r="B948">
        <v>4438</v>
      </c>
      <c r="C948" t="s">
        <v>1657</v>
      </c>
      <c r="D948" t="s">
        <v>859</v>
      </c>
      <c r="E948" t="s">
        <v>49</v>
      </c>
      <c r="F948" t="s">
        <v>1993</v>
      </c>
      <c r="G948" t="str">
        <f>"201401001910"</f>
        <v>201401001910</v>
      </c>
      <c r="H948" t="s">
        <v>900</v>
      </c>
      <c r="I948">
        <v>0</v>
      </c>
      <c r="J948">
        <v>0</v>
      </c>
      <c r="K948">
        <v>0</v>
      </c>
      <c r="L948">
        <v>200</v>
      </c>
      <c r="M948">
        <v>0</v>
      </c>
      <c r="N948">
        <v>70</v>
      </c>
      <c r="O948">
        <v>30</v>
      </c>
      <c r="P948">
        <v>0</v>
      </c>
      <c r="Q948">
        <v>0</v>
      </c>
      <c r="R948">
        <v>0</v>
      </c>
      <c r="S948">
        <v>0</v>
      </c>
      <c r="T948">
        <v>0</v>
      </c>
      <c r="U948">
        <v>0</v>
      </c>
      <c r="V948">
        <v>50</v>
      </c>
      <c r="W948">
        <v>350</v>
      </c>
      <c r="X948">
        <v>0</v>
      </c>
      <c r="Z948">
        <v>0</v>
      </c>
      <c r="AA948">
        <v>0</v>
      </c>
      <c r="AB948">
        <v>0</v>
      </c>
      <c r="AC948">
        <v>0</v>
      </c>
      <c r="AD948" t="s">
        <v>1994</v>
      </c>
    </row>
    <row r="949" spans="1:30" x14ac:dyDescent="0.25">
      <c r="H949" t="s">
        <v>1995</v>
      </c>
    </row>
    <row r="950" spans="1:30" x14ac:dyDescent="0.25">
      <c r="A950">
        <v>472</v>
      </c>
      <c r="B950">
        <v>1082</v>
      </c>
      <c r="C950" t="s">
        <v>1996</v>
      </c>
      <c r="D950" t="s">
        <v>39</v>
      </c>
      <c r="E950" t="s">
        <v>120</v>
      </c>
      <c r="F950" t="s">
        <v>1997</v>
      </c>
      <c r="G950" t="str">
        <f>"00308105"</f>
        <v>00308105</v>
      </c>
      <c r="H950" t="s">
        <v>1465</v>
      </c>
      <c r="I950">
        <v>0</v>
      </c>
      <c r="J950">
        <v>0</v>
      </c>
      <c r="K950">
        <v>0</v>
      </c>
      <c r="L950">
        <v>0</v>
      </c>
      <c r="M950">
        <v>0</v>
      </c>
      <c r="N950">
        <v>30</v>
      </c>
      <c r="O950">
        <v>0</v>
      </c>
      <c r="P950">
        <v>0</v>
      </c>
      <c r="Q950">
        <v>0</v>
      </c>
      <c r="R950">
        <v>0</v>
      </c>
      <c r="S950">
        <v>0</v>
      </c>
      <c r="T950">
        <v>0</v>
      </c>
      <c r="U950">
        <v>0</v>
      </c>
      <c r="V950">
        <v>84</v>
      </c>
      <c r="W950">
        <v>588</v>
      </c>
      <c r="X950">
        <v>0</v>
      </c>
      <c r="Z950">
        <v>0</v>
      </c>
      <c r="AA950">
        <v>0</v>
      </c>
      <c r="AB950">
        <v>0</v>
      </c>
      <c r="AC950">
        <v>0</v>
      </c>
      <c r="AD950" t="s">
        <v>1998</v>
      </c>
    </row>
    <row r="951" spans="1:30" x14ac:dyDescent="0.25">
      <c r="H951" t="s">
        <v>1999</v>
      </c>
    </row>
    <row r="952" spans="1:30" x14ac:dyDescent="0.25">
      <c r="A952">
        <v>473</v>
      </c>
      <c r="B952">
        <v>1402</v>
      </c>
      <c r="C952" t="s">
        <v>2000</v>
      </c>
      <c r="D952" t="s">
        <v>28</v>
      </c>
      <c r="E952" t="s">
        <v>49</v>
      </c>
      <c r="F952" t="s">
        <v>2001</v>
      </c>
      <c r="G952" t="str">
        <f>"201001000442"</f>
        <v>201001000442</v>
      </c>
      <c r="H952" t="s">
        <v>532</v>
      </c>
      <c r="I952">
        <v>0</v>
      </c>
      <c r="J952">
        <v>0</v>
      </c>
      <c r="K952">
        <v>0</v>
      </c>
      <c r="L952">
        <v>0</v>
      </c>
      <c r="M952">
        <v>0</v>
      </c>
      <c r="N952">
        <v>0</v>
      </c>
      <c r="O952">
        <v>0</v>
      </c>
      <c r="P952">
        <v>0</v>
      </c>
      <c r="Q952">
        <v>0</v>
      </c>
      <c r="R952">
        <v>0</v>
      </c>
      <c r="S952">
        <v>0</v>
      </c>
      <c r="T952">
        <v>0</v>
      </c>
      <c r="U952">
        <v>0</v>
      </c>
      <c r="V952">
        <v>84</v>
      </c>
      <c r="W952">
        <v>588</v>
      </c>
      <c r="X952">
        <v>0</v>
      </c>
      <c r="Z952">
        <v>0</v>
      </c>
      <c r="AA952">
        <v>0</v>
      </c>
      <c r="AB952">
        <v>0</v>
      </c>
      <c r="AC952">
        <v>0</v>
      </c>
      <c r="AD952" t="s">
        <v>2002</v>
      </c>
    </row>
    <row r="953" spans="1:30" x14ac:dyDescent="0.25">
      <c r="H953" t="s">
        <v>2003</v>
      </c>
    </row>
    <row r="954" spans="1:30" x14ac:dyDescent="0.25">
      <c r="A954">
        <v>474</v>
      </c>
      <c r="B954">
        <v>4061</v>
      </c>
      <c r="C954" t="s">
        <v>2004</v>
      </c>
      <c r="D954" t="s">
        <v>106</v>
      </c>
      <c r="E954" t="s">
        <v>102</v>
      </c>
      <c r="F954" t="s">
        <v>2005</v>
      </c>
      <c r="G954" t="str">
        <f>"200805000833"</f>
        <v>200805000833</v>
      </c>
      <c r="H954" t="s">
        <v>2006</v>
      </c>
      <c r="I954">
        <v>0</v>
      </c>
      <c r="J954">
        <v>0</v>
      </c>
      <c r="K954">
        <v>0</v>
      </c>
      <c r="L954">
        <v>0</v>
      </c>
      <c r="M954">
        <v>0</v>
      </c>
      <c r="N954">
        <v>50</v>
      </c>
      <c r="O954">
        <v>0</v>
      </c>
      <c r="P954">
        <v>0</v>
      </c>
      <c r="Q954">
        <v>0</v>
      </c>
      <c r="R954">
        <v>0</v>
      </c>
      <c r="S954">
        <v>0</v>
      </c>
      <c r="T954">
        <v>0</v>
      </c>
      <c r="U954">
        <v>0</v>
      </c>
      <c r="V954">
        <v>43</v>
      </c>
      <c r="W954">
        <v>301</v>
      </c>
      <c r="X954">
        <v>0</v>
      </c>
      <c r="Z954">
        <v>0</v>
      </c>
      <c r="AA954">
        <v>0</v>
      </c>
      <c r="AB954">
        <v>11</v>
      </c>
      <c r="AC954">
        <v>187</v>
      </c>
      <c r="AD954" t="s">
        <v>2007</v>
      </c>
    </row>
    <row r="955" spans="1:30" x14ac:dyDescent="0.25">
      <c r="H955" t="s">
        <v>2008</v>
      </c>
    </row>
    <row r="956" spans="1:30" x14ac:dyDescent="0.25">
      <c r="A956">
        <v>475</v>
      </c>
      <c r="B956">
        <v>4858</v>
      </c>
      <c r="C956" t="s">
        <v>2009</v>
      </c>
      <c r="D956" t="s">
        <v>788</v>
      </c>
      <c r="E956" t="s">
        <v>28</v>
      </c>
      <c r="F956" t="s">
        <v>2010</v>
      </c>
      <c r="G956" t="str">
        <f>"00185275"</f>
        <v>00185275</v>
      </c>
      <c r="H956" t="s">
        <v>198</v>
      </c>
      <c r="I956">
        <v>0</v>
      </c>
      <c r="J956">
        <v>0</v>
      </c>
      <c r="K956">
        <v>0</v>
      </c>
      <c r="L956">
        <v>0</v>
      </c>
      <c r="M956">
        <v>0</v>
      </c>
      <c r="N956">
        <v>30</v>
      </c>
      <c r="O956">
        <v>0</v>
      </c>
      <c r="P956">
        <v>0</v>
      </c>
      <c r="Q956">
        <v>0</v>
      </c>
      <c r="R956">
        <v>0</v>
      </c>
      <c r="S956">
        <v>0</v>
      </c>
      <c r="T956">
        <v>0</v>
      </c>
      <c r="U956">
        <v>0</v>
      </c>
      <c r="V956">
        <v>84</v>
      </c>
      <c r="W956">
        <v>588</v>
      </c>
      <c r="X956">
        <v>0</v>
      </c>
      <c r="Z956">
        <v>0</v>
      </c>
      <c r="AA956">
        <v>0</v>
      </c>
      <c r="AB956">
        <v>0</v>
      </c>
      <c r="AC956">
        <v>0</v>
      </c>
      <c r="AD956" t="s">
        <v>2011</v>
      </c>
    </row>
    <row r="957" spans="1:30" x14ac:dyDescent="0.25">
      <c r="H957" t="s">
        <v>2012</v>
      </c>
    </row>
    <row r="958" spans="1:30" x14ac:dyDescent="0.25">
      <c r="A958">
        <v>476</v>
      </c>
      <c r="B958">
        <v>385</v>
      </c>
      <c r="C958" t="s">
        <v>2013</v>
      </c>
      <c r="D958" t="s">
        <v>120</v>
      </c>
      <c r="E958" t="s">
        <v>309</v>
      </c>
      <c r="F958" t="s">
        <v>2014</v>
      </c>
      <c r="G958" t="str">
        <f>"00239047"</f>
        <v>00239047</v>
      </c>
      <c r="H958">
        <v>759</v>
      </c>
      <c r="I958">
        <v>0</v>
      </c>
      <c r="J958">
        <v>0</v>
      </c>
      <c r="K958">
        <v>0</v>
      </c>
      <c r="L958">
        <v>0</v>
      </c>
      <c r="M958">
        <v>0</v>
      </c>
      <c r="N958">
        <v>0</v>
      </c>
      <c r="O958">
        <v>0</v>
      </c>
      <c r="P958">
        <v>0</v>
      </c>
      <c r="Q958">
        <v>0</v>
      </c>
      <c r="R958">
        <v>0</v>
      </c>
      <c r="S958">
        <v>0</v>
      </c>
      <c r="T958">
        <v>0</v>
      </c>
      <c r="U958">
        <v>0</v>
      </c>
      <c r="V958">
        <v>84</v>
      </c>
      <c r="W958">
        <v>588</v>
      </c>
      <c r="X958">
        <v>0</v>
      </c>
      <c r="Z958">
        <v>2</v>
      </c>
      <c r="AA958">
        <v>0</v>
      </c>
      <c r="AB958">
        <v>0</v>
      </c>
      <c r="AC958">
        <v>0</v>
      </c>
      <c r="AD958">
        <v>1347</v>
      </c>
    </row>
    <row r="959" spans="1:30" x14ac:dyDescent="0.25">
      <c r="H959" t="s">
        <v>2015</v>
      </c>
    </row>
    <row r="960" spans="1:30" x14ac:dyDescent="0.25">
      <c r="A960">
        <v>477</v>
      </c>
      <c r="B960">
        <v>393</v>
      </c>
      <c r="C960" t="s">
        <v>2016</v>
      </c>
      <c r="D960" t="s">
        <v>218</v>
      </c>
      <c r="E960" t="s">
        <v>28</v>
      </c>
      <c r="F960" t="s">
        <v>2017</v>
      </c>
      <c r="G960" t="str">
        <f>"201412005326"</f>
        <v>201412005326</v>
      </c>
      <c r="H960" t="s">
        <v>1250</v>
      </c>
      <c r="I960">
        <v>0</v>
      </c>
      <c r="J960">
        <v>0</v>
      </c>
      <c r="K960">
        <v>0</v>
      </c>
      <c r="L960">
        <v>200</v>
      </c>
      <c r="M960">
        <v>0</v>
      </c>
      <c r="N960">
        <v>70</v>
      </c>
      <c r="O960">
        <v>0</v>
      </c>
      <c r="P960">
        <v>0</v>
      </c>
      <c r="Q960">
        <v>0</v>
      </c>
      <c r="R960">
        <v>0</v>
      </c>
      <c r="S960">
        <v>0</v>
      </c>
      <c r="T960">
        <v>0</v>
      </c>
      <c r="U960">
        <v>0</v>
      </c>
      <c r="V960">
        <v>34</v>
      </c>
      <c r="W960">
        <v>238</v>
      </c>
      <c r="X960">
        <v>0</v>
      </c>
      <c r="Z960">
        <v>0</v>
      </c>
      <c r="AA960">
        <v>0</v>
      </c>
      <c r="AB960">
        <v>0</v>
      </c>
      <c r="AC960">
        <v>0</v>
      </c>
      <c r="AD960" t="s">
        <v>2018</v>
      </c>
    </row>
    <row r="961" spans="1:30" x14ac:dyDescent="0.25">
      <c r="H961" t="s">
        <v>2019</v>
      </c>
    </row>
    <row r="962" spans="1:30" x14ac:dyDescent="0.25">
      <c r="A962">
        <v>478</v>
      </c>
      <c r="B962">
        <v>3760</v>
      </c>
      <c r="C962" t="s">
        <v>2020</v>
      </c>
      <c r="D962" t="s">
        <v>425</v>
      </c>
      <c r="E962" t="s">
        <v>167</v>
      </c>
      <c r="F962" t="s">
        <v>2021</v>
      </c>
      <c r="G962" t="str">
        <f>"200802007282"</f>
        <v>200802007282</v>
      </c>
      <c r="H962" t="s">
        <v>375</v>
      </c>
      <c r="I962">
        <v>0</v>
      </c>
      <c r="J962">
        <v>0</v>
      </c>
      <c r="K962">
        <v>0</v>
      </c>
      <c r="L962">
        <v>0</v>
      </c>
      <c r="M962">
        <v>0</v>
      </c>
      <c r="N962">
        <v>30</v>
      </c>
      <c r="O962">
        <v>0</v>
      </c>
      <c r="P962">
        <v>0</v>
      </c>
      <c r="Q962">
        <v>0</v>
      </c>
      <c r="R962">
        <v>0</v>
      </c>
      <c r="S962">
        <v>0</v>
      </c>
      <c r="T962">
        <v>0</v>
      </c>
      <c r="U962">
        <v>0</v>
      </c>
      <c r="V962">
        <v>84</v>
      </c>
      <c r="W962">
        <v>588</v>
      </c>
      <c r="X962">
        <v>0</v>
      </c>
      <c r="Z962">
        <v>0</v>
      </c>
      <c r="AA962">
        <v>0</v>
      </c>
      <c r="AB962">
        <v>0</v>
      </c>
      <c r="AC962">
        <v>0</v>
      </c>
      <c r="AD962" t="s">
        <v>2018</v>
      </c>
    </row>
    <row r="963" spans="1:30" x14ac:dyDescent="0.25">
      <c r="H963" t="s">
        <v>2022</v>
      </c>
    </row>
    <row r="964" spans="1:30" x14ac:dyDescent="0.25">
      <c r="A964">
        <v>479</v>
      </c>
      <c r="B964">
        <v>5144</v>
      </c>
      <c r="C964" t="s">
        <v>2023</v>
      </c>
      <c r="D964" t="s">
        <v>2024</v>
      </c>
      <c r="E964" t="s">
        <v>1710</v>
      </c>
      <c r="F964" t="s">
        <v>2025</v>
      </c>
      <c r="G964" t="str">
        <f>"00225552"</f>
        <v>00225552</v>
      </c>
      <c r="H964" t="s">
        <v>2026</v>
      </c>
      <c r="I964">
        <v>0</v>
      </c>
      <c r="J964">
        <v>0</v>
      </c>
      <c r="K964">
        <v>0</v>
      </c>
      <c r="L964">
        <v>0</v>
      </c>
      <c r="M964">
        <v>0</v>
      </c>
      <c r="N964">
        <v>0</v>
      </c>
      <c r="O964">
        <v>0</v>
      </c>
      <c r="P964">
        <v>0</v>
      </c>
      <c r="Q964">
        <v>0</v>
      </c>
      <c r="R964">
        <v>0</v>
      </c>
      <c r="S964">
        <v>0</v>
      </c>
      <c r="T964">
        <v>0</v>
      </c>
      <c r="U964">
        <v>0</v>
      </c>
      <c r="V964">
        <v>84</v>
      </c>
      <c r="W964">
        <v>588</v>
      </c>
      <c r="X964">
        <v>0</v>
      </c>
      <c r="Z964">
        <v>0</v>
      </c>
      <c r="AA964">
        <v>0</v>
      </c>
      <c r="AB964">
        <v>0</v>
      </c>
      <c r="AC964">
        <v>0</v>
      </c>
      <c r="AD964" t="s">
        <v>2027</v>
      </c>
    </row>
    <row r="965" spans="1:30" x14ac:dyDescent="0.25">
      <c r="H965" t="s">
        <v>2028</v>
      </c>
    </row>
    <row r="966" spans="1:30" x14ac:dyDescent="0.25">
      <c r="A966">
        <v>480</v>
      </c>
      <c r="B966">
        <v>2705</v>
      </c>
      <c r="C966" t="s">
        <v>2029</v>
      </c>
      <c r="D966" t="s">
        <v>180</v>
      </c>
      <c r="E966" t="s">
        <v>2030</v>
      </c>
      <c r="F966" t="s">
        <v>2031</v>
      </c>
      <c r="G966" t="str">
        <f>"00201055"</f>
        <v>00201055</v>
      </c>
      <c r="H966">
        <v>781</v>
      </c>
      <c r="I966">
        <v>0</v>
      </c>
      <c r="J966">
        <v>0</v>
      </c>
      <c r="K966">
        <v>0</v>
      </c>
      <c r="L966">
        <v>0</v>
      </c>
      <c r="M966">
        <v>0</v>
      </c>
      <c r="N966">
        <v>0</v>
      </c>
      <c r="O966">
        <v>0</v>
      </c>
      <c r="P966">
        <v>30</v>
      </c>
      <c r="Q966">
        <v>0</v>
      </c>
      <c r="R966">
        <v>0</v>
      </c>
      <c r="S966">
        <v>0</v>
      </c>
      <c r="T966">
        <v>0</v>
      </c>
      <c r="U966">
        <v>0</v>
      </c>
      <c r="V966">
        <v>18</v>
      </c>
      <c r="W966">
        <v>126</v>
      </c>
      <c r="X966">
        <v>0</v>
      </c>
      <c r="Z966">
        <v>0</v>
      </c>
      <c r="AA966">
        <v>0</v>
      </c>
      <c r="AB966">
        <v>24</v>
      </c>
      <c r="AC966">
        <v>408</v>
      </c>
      <c r="AD966">
        <v>1345</v>
      </c>
    </row>
    <row r="967" spans="1:30" x14ac:dyDescent="0.25">
      <c r="H967" t="s">
        <v>2032</v>
      </c>
    </row>
    <row r="968" spans="1:30" x14ac:dyDescent="0.25">
      <c r="A968">
        <v>481</v>
      </c>
      <c r="B968">
        <v>4121</v>
      </c>
      <c r="C968" t="s">
        <v>2033</v>
      </c>
      <c r="D968" t="s">
        <v>2034</v>
      </c>
      <c r="E968" t="s">
        <v>120</v>
      </c>
      <c r="F968" t="s">
        <v>2035</v>
      </c>
      <c r="G968" t="str">
        <f>"00358174"</f>
        <v>00358174</v>
      </c>
      <c r="H968" t="s">
        <v>2036</v>
      </c>
      <c r="I968">
        <v>0</v>
      </c>
      <c r="J968">
        <v>0</v>
      </c>
      <c r="K968">
        <v>0</v>
      </c>
      <c r="L968">
        <v>0</v>
      </c>
      <c r="M968">
        <v>0</v>
      </c>
      <c r="N968">
        <v>30</v>
      </c>
      <c r="O968">
        <v>0</v>
      </c>
      <c r="P968">
        <v>0</v>
      </c>
      <c r="Q968">
        <v>0</v>
      </c>
      <c r="R968">
        <v>0</v>
      </c>
      <c r="S968">
        <v>0</v>
      </c>
      <c r="T968">
        <v>0</v>
      </c>
      <c r="U968">
        <v>0</v>
      </c>
      <c r="V968">
        <v>36</v>
      </c>
      <c r="W968">
        <v>252</v>
      </c>
      <c r="X968">
        <v>0</v>
      </c>
      <c r="Z968">
        <v>0</v>
      </c>
      <c r="AA968">
        <v>0</v>
      </c>
      <c r="AB968">
        <v>24</v>
      </c>
      <c r="AC968">
        <v>408</v>
      </c>
      <c r="AD968" t="s">
        <v>2037</v>
      </c>
    </row>
    <row r="969" spans="1:30" x14ac:dyDescent="0.25">
      <c r="H969" t="s">
        <v>2038</v>
      </c>
    </row>
    <row r="970" spans="1:30" x14ac:dyDescent="0.25">
      <c r="A970">
        <v>482</v>
      </c>
      <c r="B970">
        <v>2836</v>
      </c>
      <c r="C970" t="s">
        <v>2039</v>
      </c>
      <c r="D970" t="s">
        <v>1893</v>
      </c>
      <c r="E970" t="s">
        <v>141</v>
      </c>
      <c r="F970" t="s">
        <v>2040</v>
      </c>
      <c r="G970" t="str">
        <f>"00118057"</f>
        <v>00118057</v>
      </c>
      <c r="H970">
        <v>726</v>
      </c>
      <c r="I970">
        <v>0</v>
      </c>
      <c r="J970">
        <v>0</v>
      </c>
      <c r="K970">
        <v>0</v>
      </c>
      <c r="L970">
        <v>0</v>
      </c>
      <c r="M970">
        <v>0</v>
      </c>
      <c r="N970">
        <v>30</v>
      </c>
      <c r="O970">
        <v>0</v>
      </c>
      <c r="P970">
        <v>0</v>
      </c>
      <c r="Q970">
        <v>0</v>
      </c>
      <c r="R970">
        <v>0</v>
      </c>
      <c r="S970">
        <v>0</v>
      </c>
      <c r="T970">
        <v>0</v>
      </c>
      <c r="U970">
        <v>0</v>
      </c>
      <c r="V970">
        <v>84</v>
      </c>
      <c r="W970">
        <v>588</v>
      </c>
      <c r="X970">
        <v>0</v>
      </c>
      <c r="Z970">
        <v>0</v>
      </c>
      <c r="AA970">
        <v>0</v>
      </c>
      <c r="AB970">
        <v>0</v>
      </c>
      <c r="AC970">
        <v>0</v>
      </c>
      <c r="AD970">
        <v>1344</v>
      </c>
    </row>
    <row r="971" spans="1:30" x14ac:dyDescent="0.25">
      <c r="H971" t="s">
        <v>2041</v>
      </c>
    </row>
    <row r="972" spans="1:30" x14ac:dyDescent="0.25">
      <c r="A972">
        <v>483</v>
      </c>
      <c r="B972">
        <v>6081</v>
      </c>
      <c r="C972" t="s">
        <v>2042</v>
      </c>
      <c r="D972" t="s">
        <v>181</v>
      </c>
      <c r="E972" t="s">
        <v>28</v>
      </c>
      <c r="F972" t="s">
        <v>2043</v>
      </c>
      <c r="G972" t="str">
        <f>"00194807"</f>
        <v>00194807</v>
      </c>
      <c r="H972">
        <v>726</v>
      </c>
      <c r="I972">
        <v>0</v>
      </c>
      <c r="J972">
        <v>0</v>
      </c>
      <c r="K972">
        <v>0</v>
      </c>
      <c r="L972">
        <v>0</v>
      </c>
      <c r="M972">
        <v>0</v>
      </c>
      <c r="N972">
        <v>30</v>
      </c>
      <c r="O972">
        <v>0</v>
      </c>
      <c r="P972">
        <v>0</v>
      </c>
      <c r="Q972">
        <v>0</v>
      </c>
      <c r="R972">
        <v>0</v>
      </c>
      <c r="S972">
        <v>0</v>
      </c>
      <c r="T972">
        <v>0</v>
      </c>
      <c r="U972">
        <v>0</v>
      </c>
      <c r="V972">
        <v>84</v>
      </c>
      <c r="W972">
        <v>588</v>
      </c>
      <c r="X972">
        <v>0</v>
      </c>
      <c r="Z972">
        <v>2</v>
      </c>
      <c r="AA972">
        <v>0</v>
      </c>
      <c r="AB972">
        <v>0</v>
      </c>
      <c r="AC972">
        <v>0</v>
      </c>
      <c r="AD972">
        <v>1344</v>
      </c>
    </row>
    <row r="973" spans="1:30" x14ac:dyDescent="0.25">
      <c r="H973" t="s">
        <v>2044</v>
      </c>
    </row>
    <row r="974" spans="1:30" x14ac:dyDescent="0.25">
      <c r="A974">
        <v>484</v>
      </c>
      <c r="B974">
        <v>3552</v>
      </c>
      <c r="C974" t="s">
        <v>2045</v>
      </c>
      <c r="D974" t="s">
        <v>32</v>
      </c>
      <c r="E974" t="s">
        <v>50</v>
      </c>
      <c r="F974" t="s">
        <v>2046</v>
      </c>
      <c r="G974" t="str">
        <f>"200801010760"</f>
        <v>200801010760</v>
      </c>
      <c r="H974">
        <v>726</v>
      </c>
      <c r="I974">
        <v>0</v>
      </c>
      <c r="J974">
        <v>0</v>
      </c>
      <c r="K974">
        <v>0</v>
      </c>
      <c r="L974">
        <v>0</v>
      </c>
      <c r="M974">
        <v>0</v>
      </c>
      <c r="N974">
        <v>30</v>
      </c>
      <c r="O974">
        <v>0</v>
      </c>
      <c r="P974">
        <v>0</v>
      </c>
      <c r="Q974">
        <v>0</v>
      </c>
      <c r="R974">
        <v>0</v>
      </c>
      <c r="S974">
        <v>0</v>
      </c>
      <c r="T974">
        <v>0</v>
      </c>
      <c r="U974">
        <v>0</v>
      </c>
      <c r="V974">
        <v>84</v>
      </c>
      <c r="W974">
        <v>588</v>
      </c>
      <c r="X974">
        <v>0</v>
      </c>
      <c r="Z974">
        <v>0</v>
      </c>
      <c r="AA974">
        <v>0</v>
      </c>
      <c r="AB974">
        <v>0</v>
      </c>
      <c r="AC974">
        <v>0</v>
      </c>
      <c r="AD974">
        <v>1344</v>
      </c>
    </row>
    <row r="975" spans="1:30" x14ac:dyDescent="0.25">
      <c r="H975" t="s">
        <v>2047</v>
      </c>
    </row>
    <row r="976" spans="1:30" x14ac:dyDescent="0.25">
      <c r="A976">
        <v>485</v>
      </c>
      <c r="B976">
        <v>5566</v>
      </c>
      <c r="C976" t="s">
        <v>2048</v>
      </c>
      <c r="D976" t="s">
        <v>772</v>
      </c>
      <c r="E976" t="s">
        <v>181</v>
      </c>
      <c r="F976" t="s">
        <v>2049</v>
      </c>
      <c r="G976" t="str">
        <f>"201511020740"</f>
        <v>201511020740</v>
      </c>
      <c r="H976">
        <v>726</v>
      </c>
      <c r="I976">
        <v>0</v>
      </c>
      <c r="J976">
        <v>0</v>
      </c>
      <c r="K976">
        <v>0</v>
      </c>
      <c r="L976">
        <v>0</v>
      </c>
      <c r="M976">
        <v>0</v>
      </c>
      <c r="N976">
        <v>30</v>
      </c>
      <c r="O976">
        <v>0</v>
      </c>
      <c r="P976">
        <v>0</v>
      </c>
      <c r="Q976">
        <v>0</v>
      </c>
      <c r="R976">
        <v>0</v>
      </c>
      <c r="S976">
        <v>0</v>
      </c>
      <c r="T976">
        <v>0</v>
      </c>
      <c r="U976">
        <v>0</v>
      </c>
      <c r="V976">
        <v>84</v>
      </c>
      <c r="W976">
        <v>588</v>
      </c>
      <c r="X976">
        <v>0</v>
      </c>
      <c r="Z976">
        <v>0</v>
      </c>
      <c r="AA976">
        <v>0</v>
      </c>
      <c r="AB976">
        <v>0</v>
      </c>
      <c r="AC976">
        <v>0</v>
      </c>
      <c r="AD976">
        <v>1344</v>
      </c>
    </row>
    <row r="977" spans="1:30" x14ac:dyDescent="0.25">
      <c r="H977" t="s">
        <v>2050</v>
      </c>
    </row>
    <row r="978" spans="1:30" x14ac:dyDescent="0.25">
      <c r="A978">
        <v>486</v>
      </c>
      <c r="B978">
        <v>5434</v>
      </c>
      <c r="C978" t="s">
        <v>2051</v>
      </c>
      <c r="D978" t="s">
        <v>445</v>
      </c>
      <c r="E978" t="s">
        <v>254</v>
      </c>
      <c r="F978" t="s">
        <v>2052</v>
      </c>
      <c r="G978" t="str">
        <f>"00291397"</f>
        <v>00291397</v>
      </c>
      <c r="H978">
        <v>726</v>
      </c>
      <c r="I978">
        <v>0</v>
      </c>
      <c r="J978">
        <v>0</v>
      </c>
      <c r="K978">
        <v>0</v>
      </c>
      <c r="L978">
        <v>0</v>
      </c>
      <c r="M978">
        <v>0</v>
      </c>
      <c r="N978">
        <v>30</v>
      </c>
      <c r="O978">
        <v>0</v>
      </c>
      <c r="P978">
        <v>0</v>
      </c>
      <c r="Q978">
        <v>0</v>
      </c>
      <c r="R978">
        <v>0</v>
      </c>
      <c r="S978">
        <v>0</v>
      </c>
      <c r="T978">
        <v>0</v>
      </c>
      <c r="U978">
        <v>0</v>
      </c>
      <c r="V978">
        <v>84</v>
      </c>
      <c r="W978">
        <v>588</v>
      </c>
      <c r="X978">
        <v>0</v>
      </c>
      <c r="Z978">
        <v>0</v>
      </c>
      <c r="AA978">
        <v>0</v>
      </c>
      <c r="AB978">
        <v>0</v>
      </c>
      <c r="AC978">
        <v>0</v>
      </c>
      <c r="AD978">
        <v>1344</v>
      </c>
    </row>
    <row r="979" spans="1:30" x14ac:dyDescent="0.25">
      <c r="H979" t="s">
        <v>2053</v>
      </c>
    </row>
    <row r="980" spans="1:30" x14ac:dyDescent="0.25">
      <c r="A980">
        <v>487</v>
      </c>
      <c r="B980">
        <v>5829</v>
      </c>
      <c r="C980" t="s">
        <v>2054</v>
      </c>
      <c r="D980" t="s">
        <v>49</v>
      </c>
      <c r="E980" t="s">
        <v>102</v>
      </c>
      <c r="F980" t="s">
        <v>2055</v>
      </c>
      <c r="G980" t="str">
        <f>"00359840"</f>
        <v>00359840</v>
      </c>
      <c r="H980">
        <v>726</v>
      </c>
      <c r="I980">
        <v>0</v>
      </c>
      <c r="J980">
        <v>0</v>
      </c>
      <c r="K980">
        <v>0</v>
      </c>
      <c r="L980">
        <v>0</v>
      </c>
      <c r="M980">
        <v>0</v>
      </c>
      <c r="N980">
        <v>30</v>
      </c>
      <c r="O980">
        <v>0</v>
      </c>
      <c r="P980">
        <v>0</v>
      </c>
      <c r="Q980">
        <v>0</v>
      </c>
      <c r="R980">
        <v>0</v>
      </c>
      <c r="S980">
        <v>0</v>
      </c>
      <c r="T980">
        <v>0</v>
      </c>
      <c r="U980">
        <v>0</v>
      </c>
      <c r="V980">
        <v>84</v>
      </c>
      <c r="W980">
        <v>588</v>
      </c>
      <c r="X980">
        <v>0</v>
      </c>
      <c r="Z980">
        <v>0</v>
      </c>
      <c r="AA980">
        <v>0</v>
      </c>
      <c r="AB980">
        <v>0</v>
      </c>
      <c r="AC980">
        <v>0</v>
      </c>
      <c r="AD980">
        <v>1344</v>
      </c>
    </row>
    <row r="981" spans="1:30" x14ac:dyDescent="0.25">
      <c r="H981" t="s">
        <v>2056</v>
      </c>
    </row>
    <row r="982" spans="1:30" x14ac:dyDescent="0.25">
      <c r="A982">
        <v>488</v>
      </c>
      <c r="B982">
        <v>905</v>
      </c>
      <c r="C982" t="s">
        <v>2057</v>
      </c>
      <c r="D982" t="s">
        <v>580</v>
      </c>
      <c r="E982" t="s">
        <v>756</v>
      </c>
      <c r="F982" t="s">
        <v>2058</v>
      </c>
      <c r="G982" t="str">
        <f>"200808000099"</f>
        <v>200808000099</v>
      </c>
      <c r="H982">
        <v>726</v>
      </c>
      <c r="I982">
        <v>0</v>
      </c>
      <c r="J982">
        <v>0</v>
      </c>
      <c r="K982">
        <v>0</v>
      </c>
      <c r="L982">
        <v>0</v>
      </c>
      <c r="M982">
        <v>0</v>
      </c>
      <c r="N982">
        <v>30</v>
      </c>
      <c r="O982">
        <v>0</v>
      </c>
      <c r="P982">
        <v>0</v>
      </c>
      <c r="Q982">
        <v>0</v>
      </c>
      <c r="R982">
        <v>0</v>
      </c>
      <c r="S982">
        <v>0</v>
      </c>
      <c r="T982">
        <v>0</v>
      </c>
      <c r="U982">
        <v>0</v>
      </c>
      <c r="V982">
        <v>84</v>
      </c>
      <c r="W982">
        <v>588</v>
      </c>
      <c r="X982">
        <v>0</v>
      </c>
      <c r="Z982">
        <v>0</v>
      </c>
      <c r="AA982">
        <v>0</v>
      </c>
      <c r="AB982">
        <v>0</v>
      </c>
      <c r="AC982">
        <v>0</v>
      </c>
      <c r="AD982">
        <v>1344</v>
      </c>
    </row>
    <row r="983" spans="1:30" x14ac:dyDescent="0.25">
      <c r="H983" t="s">
        <v>2059</v>
      </c>
    </row>
    <row r="984" spans="1:30" x14ac:dyDescent="0.25">
      <c r="A984">
        <v>489</v>
      </c>
      <c r="B984">
        <v>1707</v>
      </c>
      <c r="C984" t="s">
        <v>2060</v>
      </c>
      <c r="D984" t="s">
        <v>283</v>
      </c>
      <c r="E984" t="s">
        <v>28</v>
      </c>
      <c r="F984" t="s">
        <v>2061</v>
      </c>
      <c r="G984" t="str">
        <f>"201406015095"</f>
        <v>201406015095</v>
      </c>
      <c r="H984" t="s">
        <v>2062</v>
      </c>
      <c r="I984">
        <v>0</v>
      </c>
      <c r="J984">
        <v>0</v>
      </c>
      <c r="K984">
        <v>0</v>
      </c>
      <c r="L984">
        <v>0</v>
      </c>
      <c r="M984">
        <v>0</v>
      </c>
      <c r="N984">
        <v>30</v>
      </c>
      <c r="O984">
        <v>0</v>
      </c>
      <c r="P984">
        <v>0</v>
      </c>
      <c r="Q984">
        <v>0</v>
      </c>
      <c r="R984">
        <v>0</v>
      </c>
      <c r="S984">
        <v>0</v>
      </c>
      <c r="T984">
        <v>0</v>
      </c>
      <c r="U984">
        <v>0</v>
      </c>
      <c r="V984">
        <v>64</v>
      </c>
      <c r="W984">
        <v>448</v>
      </c>
      <c r="X984">
        <v>0</v>
      </c>
      <c r="Z984">
        <v>2</v>
      </c>
      <c r="AA984">
        <v>0</v>
      </c>
      <c r="AB984">
        <v>0</v>
      </c>
      <c r="AC984">
        <v>0</v>
      </c>
      <c r="AD984" t="s">
        <v>2063</v>
      </c>
    </row>
    <row r="985" spans="1:30" x14ac:dyDescent="0.25">
      <c r="H985" t="s">
        <v>2064</v>
      </c>
    </row>
    <row r="986" spans="1:30" x14ac:dyDescent="0.25">
      <c r="A986">
        <v>490</v>
      </c>
      <c r="B986">
        <v>3288</v>
      </c>
      <c r="C986" t="s">
        <v>2065</v>
      </c>
      <c r="D986" t="s">
        <v>83</v>
      </c>
      <c r="E986" t="s">
        <v>102</v>
      </c>
      <c r="F986" t="s">
        <v>2066</v>
      </c>
      <c r="G986" t="str">
        <f>"00195592"</f>
        <v>00195592</v>
      </c>
      <c r="H986" t="s">
        <v>2067</v>
      </c>
      <c r="I986">
        <v>0</v>
      </c>
      <c r="J986">
        <v>0</v>
      </c>
      <c r="K986">
        <v>0</v>
      </c>
      <c r="L986">
        <v>0</v>
      </c>
      <c r="M986">
        <v>0</v>
      </c>
      <c r="N986">
        <v>70</v>
      </c>
      <c r="O986">
        <v>0</v>
      </c>
      <c r="P986">
        <v>0</v>
      </c>
      <c r="Q986">
        <v>0</v>
      </c>
      <c r="R986">
        <v>0</v>
      </c>
      <c r="S986">
        <v>0</v>
      </c>
      <c r="T986">
        <v>0</v>
      </c>
      <c r="U986">
        <v>0</v>
      </c>
      <c r="V986">
        <v>74</v>
      </c>
      <c r="W986">
        <v>518</v>
      </c>
      <c r="X986">
        <v>0</v>
      </c>
      <c r="Z986">
        <v>1</v>
      </c>
      <c r="AA986">
        <v>0</v>
      </c>
      <c r="AB986">
        <v>0</v>
      </c>
      <c r="AC986">
        <v>0</v>
      </c>
      <c r="AD986" t="s">
        <v>2063</v>
      </c>
    </row>
    <row r="987" spans="1:30" x14ac:dyDescent="0.25">
      <c r="H987" t="s">
        <v>2068</v>
      </c>
    </row>
    <row r="988" spans="1:30" x14ac:dyDescent="0.25">
      <c r="A988">
        <v>491</v>
      </c>
      <c r="B988">
        <v>1633</v>
      </c>
      <c r="C988" t="s">
        <v>2069</v>
      </c>
      <c r="D988" t="s">
        <v>580</v>
      </c>
      <c r="E988" t="s">
        <v>959</v>
      </c>
      <c r="F988" t="s">
        <v>2070</v>
      </c>
      <c r="G988" t="str">
        <f>"201406013120"</f>
        <v>201406013120</v>
      </c>
      <c r="H988" t="s">
        <v>500</v>
      </c>
      <c r="I988">
        <v>0</v>
      </c>
      <c r="J988">
        <v>0</v>
      </c>
      <c r="K988">
        <v>0</v>
      </c>
      <c r="L988">
        <v>200</v>
      </c>
      <c r="M988">
        <v>0</v>
      </c>
      <c r="N988">
        <v>30</v>
      </c>
      <c r="O988">
        <v>0</v>
      </c>
      <c r="P988">
        <v>0</v>
      </c>
      <c r="Q988">
        <v>0</v>
      </c>
      <c r="R988">
        <v>0</v>
      </c>
      <c r="S988">
        <v>0</v>
      </c>
      <c r="T988">
        <v>0</v>
      </c>
      <c r="U988">
        <v>0</v>
      </c>
      <c r="V988">
        <v>30</v>
      </c>
      <c r="W988">
        <v>210</v>
      </c>
      <c r="X988">
        <v>0</v>
      </c>
      <c r="Z988">
        <v>0</v>
      </c>
      <c r="AA988">
        <v>0</v>
      </c>
      <c r="AB988">
        <v>5</v>
      </c>
      <c r="AC988">
        <v>85</v>
      </c>
      <c r="AD988" t="s">
        <v>2071</v>
      </c>
    </row>
    <row r="989" spans="1:30" x14ac:dyDescent="0.25">
      <c r="H989" t="s">
        <v>2072</v>
      </c>
    </row>
    <row r="990" spans="1:30" x14ac:dyDescent="0.25">
      <c r="A990">
        <v>492</v>
      </c>
      <c r="B990">
        <v>4444</v>
      </c>
      <c r="C990" t="s">
        <v>2073</v>
      </c>
      <c r="D990" t="s">
        <v>2074</v>
      </c>
      <c r="E990" t="s">
        <v>76</v>
      </c>
      <c r="F990" t="s">
        <v>2075</v>
      </c>
      <c r="G990" t="str">
        <f>"00361075"</f>
        <v>00361075</v>
      </c>
      <c r="H990" t="s">
        <v>215</v>
      </c>
      <c r="I990">
        <v>0</v>
      </c>
      <c r="J990">
        <v>0</v>
      </c>
      <c r="K990">
        <v>0</v>
      </c>
      <c r="L990">
        <v>0</v>
      </c>
      <c r="M990">
        <v>0</v>
      </c>
      <c r="N990">
        <v>50</v>
      </c>
      <c r="O990">
        <v>0</v>
      </c>
      <c r="P990">
        <v>0</v>
      </c>
      <c r="Q990">
        <v>0</v>
      </c>
      <c r="R990">
        <v>0</v>
      </c>
      <c r="S990">
        <v>0</v>
      </c>
      <c r="T990">
        <v>0</v>
      </c>
      <c r="U990">
        <v>0</v>
      </c>
      <c r="V990">
        <v>80</v>
      </c>
      <c r="W990">
        <v>560</v>
      </c>
      <c r="X990">
        <v>0</v>
      </c>
      <c r="Z990">
        <v>0</v>
      </c>
      <c r="AA990">
        <v>0</v>
      </c>
      <c r="AB990">
        <v>0</v>
      </c>
      <c r="AC990">
        <v>0</v>
      </c>
      <c r="AD990" t="s">
        <v>2076</v>
      </c>
    </row>
    <row r="991" spans="1:30" x14ac:dyDescent="0.25">
      <c r="H991" t="s">
        <v>2077</v>
      </c>
    </row>
    <row r="992" spans="1:30" x14ac:dyDescent="0.25">
      <c r="A992">
        <v>493</v>
      </c>
      <c r="B992">
        <v>4465</v>
      </c>
      <c r="C992" t="s">
        <v>2078</v>
      </c>
      <c r="D992" t="s">
        <v>218</v>
      </c>
      <c r="E992" t="s">
        <v>389</v>
      </c>
      <c r="F992" t="s">
        <v>2079</v>
      </c>
      <c r="G992" t="str">
        <f>"00146882"</f>
        <v>00146882</v>
      </c>
      <c r="H992" t="s">
        <v>521</v>
      </c>
      <c r="I992">
        <v>0</v>
      </c>
      <c r="J992">
        <v>0</v>
      </c>
      <c r="K992">
        <v>0</v>
      </c>
      <c r="L992">
        <v>0</v>
      </c>
      <c r="M992">
        <v>0</v>
      </c>
      <c r="N992">
        <v>30</v>
      </c>
      <c r="O992">
        <v>0</v>
      </c>
      <c r="P992">
        <v>0</v>
      </c>
      <c r="Q992">
        <v>0</v>
      </c>
      <c r="R992">
        <v>0</v>
      </c>
      <c r="S992">
        <v>0</v>
      </c>
      <c r="T992">
        <v>0</v>
      </c>
      <c r="U992">
        <v>0</v>
      </c>
      <c r="V992">
        <v>84</v>
      </c>
      <c r="W992">
        <v>588</v>
      </c>
      <c r="X992">
        <v>0</v>
      </c>
      <c r="Z992">
        <v>0</v>
      </c>
      <c r="AA992">
        <v>0</v>
      </c>
      <c r="AB992">
        <v>0</v>
      </c>
      <c r="AC992">
        <v>0</v>
      </c>
      <c r="AD992" t="s">
        <v>2080</v>
      </c>
    </row>
    <row r="993" spans="1:30" x14ac:dyDescent="0.25">
      <c r="H993" t="s">
        <v>2081</v>
      </c>
    </row>
    <row r="994" spans="1:30" x14ac:dyDescent="0.25">
      <c r="A994">
        <v>494</v>
      </c>
      <c r="B994">
        <v>5360</v>
      </c>
      <c r="C994" t="s">
        <v>2082</v>
      </c>
      <c r="D994" t="s">
        <v>180</v>
      </c>
      <c r="E994" t="s">
        <v>120</v>
      </c>
      <c r="F994" t="s">
        <v>2083</v>
      </c>
      <c r="G994" t="str">
        <f>"00358109"</f>
        <v>00358109</v>
      </c>
      <c r="H994" t="s">
        <v>521</v>
      </c>
      <c r="I994">
        <v>0</v>
      </c>
      <c r="J994">
        <v>0</v>
      </c>
      <c r="K994">
        <v>0</v>
      </c>
      <c r="L994">
        <v>0</v>
      </c>
      <c r="M994">
        <v>0</v>
      </c>
      <c r="N994">
        <v>30</v>
      </c>
      <c r="O994">
        <v>0</v>
      </c>
      <c r="P994">
        <v>0</v>
      </c>
      <c r="Q994">
        <v>0</v>
      </c>
      <c r="R994">
        <v>0</v>
      </c>
      <c r="S994">
        <v>0</v>
      </c>
      <c r="T994">
        <v>0</v>
      </c>
      <c r="U994">
        <v>0</v>
      </c>
      <c r="V994">
        <v>84</v>
      </c>
      <c r="W994">
        <v>588</v>
      </c>
      <c r="X994">
        <v>0</v>
      </c>
      <c r="Z994">
        <v>0</v>
      </c>
      <c r="AA994">
        <v>0</v>
      </c>
      <c r="AB994">
        <v>0</v>
      </c>
      <c r="AC994">
        <v>0</v>
      </c>
      <c r="AD994" t="s">
        <v>2080</v>
      </c>
    </row>
    <row r="995" spans="1:30" x14ac:dyDescent="0.25">
      <c r="H995" t="s">
        <v>1327</v>
      </c>
    </row>
    <row r="996" spans="1:30" x14ac:dyDescent="0.25">
      <c r="A996">
        <v>495</v>
      </c>
      <c r="B996">
        <v>2480</v>
      </c>
      <c r="C996" t="s">
        <v>2084</v>
      </c>
      <c r="D996" t="s">
        <v>2085</v>
      </c>
      <c r="E996" t="s">
        <v>120</v>
      </c>
      <c r="F996" t="s">
        <v>2086</v>
      </c>
      <c r="G996" t="str">
        <f>"00209158"</f>
        <v>00209158</v>
      </c>
      <c r="H996" t="s">
        <v>470</v>
      </c>
      <c r="I996">
        <v>0</v>
      </c>
      <c r="J996">
        <v>0</v>
      </c>
      <c r="K996">
        <v>0</v>
      </c>
      <c r="L996">
        <v>0</v>
      </c>
      <c r="M996">
        <v>0</v>
      </c>
      <c r="N996">
        <v>30</v>
      </c>
      <c r="O996">
        <v>0</v>
      </c>
      <c r="P996">
        <v>0</v>
      </c>
      <c r="Q996">
        <v>0</v>
      </c>
      <c r="R996">
        <v>0</v>
      </c>
      <c r="S996">
        <v>0</v>
      </c>
      <c r="T996">
        <v>0</v>
      </c>
      <c r="U996">
        <v>0</v>
      </c>
      <c r="V996">
        <v>78</v>
      </c>
      <c r="W996">
        <v>546</v>
      </c>
      <c r="X996">
        <v>0</v>
      </c>
      <c r="Z996">
        <v>0</v>
      </c>
      <c r="AA996">
        <v>0</v>
      </c>
      <c r="AB996">
        <v>0</v>
      </c>
      <c r="AC996">
        <v>0</v>
      </c>
      <c r="AD996" t="s">
        <v>2087</v>
      </c>
    </row>
    <row r="997" spans="1:30" x14ac:dyDescent="0.25">
      <c r="H997" t="s">
        <v>2088</v>
      </c>
    </row>
    <row r="998" spans="1:30" x14ac:dyDescent="0.25">
      <c r="A998">
        <v>496</v>
      </c>
      <c r="B998">
        <v>265</v>
      </c>
      <c r="C998" t="s">
        <v>2089</v>
      </c>
      <c r="D998" t="s">
        <v>95</v>
      </c>
      <c r="E998" t="s">
        <v>28</v>
      </c>
      <c r="F998" t="s">
        <v>2090</v>
      </c>
      <c r="G998" t="str">
        <f>"200802011871"</f>
        <v>200802011871</v>
      </c>
      <c r="H998" t="s">
        <v>913</v>
      </c>
      <c r="I998">
        <v>0</v>
      </c>
      <c r="J998">
        <v>0</v>
      </c>
      <c r="K998">
        <v>0</v>
      </c>
      <c r="L998">
        <v>0</v>
      </c>
      <c r="M998">
        <v>0</v>
      </c>
      <c r="N998">
        <v>30</v>
      </c>
      <c r="O998">
        <v>50</v>
      </c>
      <c r="P998">
        <v>0</v>
      </c>
      <c r="Q998">
        <v>0</v>
      </c>
      <c r="R998">
        <v>0</v>
      </c>
      <c r="S998">
        <v>0</v>
      </c>
      <c r="T998">
        <v>0</v>
      </c>
      <c r="U998">
        <v>0</v>
      </c>
      <c r="V998">
        <v>84</v>
      </c>
      <c r="W998">
        <v>588</v>
      </c>
      <c r="X998">
        <v>0</v>
      </c>
      <c r="Z998">
        <v>0</v>
      </c>
      <c r="AA998">
        <v>0</v>
      </c>
      <c r="AB998">
        <v>0</v>
      </c>
      <c r="AC998">
        <v>0</v>
      </c>
      <c r="AD998" t="s">
        <v>2091</v>
      </c>
    </row>
    <row r="999" spans="1:30" x14ac:dyDescent="0.25">
      <c r="H999" t="s">
        <v>2092</v>
      </c>
    </row>
    <row r="1000" spans="1:30" x14ac:dyDescent="0.25">
      <c r="A1000">
        <v>497</v>
      </c>
      <c r="B1000">
        <v>446</v>
      </c>
      <c r="C1000" t="s">
        <v>2093</v>
      </c>
      <c r="D1000" t="s">
        <v>1044</v>
      </c>
      <c r="E1000" t="s">
        <v>28</v>
      </c>
      <c r="F1000" t="s">
        <v>2094</v>
      </c>
      <c r="G1000" t="str">
        <f>"201511027362"</f>
        <v>201511027362</v>
      </c>
      <c r="H1000">
        <v>825</v>
      </c>
      <c r="I1000">
        <v>150</v>
      </c>
      <c r="J1000">
        <v>0</v>
      </c>
      <c r="K1000">
        <v>0</v>
      </c>
      <c r="L1000">
        <v>0</v>
      </c>
      <c r="M1000">
        <v>0</v>
      </c>
      <c r="N1000">
        <v>30</v>
      </c>
      <c r="O1000">
        <v>0</v>
      </c>
      <c r="P1000">
        <v>0</v>
      </c>
      <c r="Q1000">
        <v>0</v>
      </c>
      <c r="R1000">
        <v>0</v>
      </c>
      <c r="S1000">
        <v>0</v>
      </c>
      <c r="T1000">
        <v>0</v>
      </c>
      <c r="U1000">
        <v>0</v>
      </c>
      <c r="V1000">
        <v>48</v>
      </c>
      <c r="W1000">
        <v>336</v>
      </c>
      <c r="X1000">
        <v>0</v>
      </c>
      <c r="Z1000">
        <v>0</v>
      </c>
      <c r="AA1000">
        <v>0</v>
      </c>
      <c r="AB1000">
        <v>0</v>
      </c>
      <c r="AC1000">
        <v>0</v>
      </c>
      <c r="AD1000">
        <v>1341</v>
      </c>
    </row>
    <row r="1001" spans="1:30" x14ac:dyDescent="0.25">
      <c r="H1001" t="s">
        <v>2095</v>
      </c>
    </row>
    <row r="1002" spans="1:30" x14ac:dyDescent="0.25">
      <c r="A1002">
        <v>498</v>
      </c>
      <c r="B1002">
        <v>921</v>
      </c>
      <c r="C1002" t="s">
        <v>2096</v>
      </c>
      <c r="D1002" t="s">
        <v>815</v>
      </c>
      <c r="E1002" t="s">
        <v>32</v>
      </c>
      <c r="F1002" t="s">
        <v>2097</v>
      </c>
      <c r="G1002" t="str">
        <f>"00161417"</f>
        <v>00161417</v>
      </c>
      <c r="H1002">
        <v>693</v>
      </c>
      <c r="I1002">
        <v>0</v>
      </c>
      <c r="J1002">
        <v>0</v>
      </c>
      <c r="K1002">
        <v>0</v>
      </c>
      <c r="L1002">
        <v>0</v>
      </c>
      <c r="M1002">
        <v>0</v>
      </c>
      <c r="N1002">
        <v>30</v>
      </c>
      <c r="O1002">
        <v>30</v>
      </c>
      <c r="P1002">
        <v>0</v>
      </c>
      <c r="Q1002">
        <v>0</v>
      </c>
      <c r="R1002">
        <v>0</v>
      </c>
      <c r="S1002">
        <v>0</v>
      </c>
      <c r="T1002">
        <v>0</v>
      </c>
      <c r="U1002">
        <v>0</v>
      </c>
      <c r="V1002">
        <v>84</v>
      </c>
      <c r="W1002">
        <v>588</v>
      </c>
      <c r="X1002">
        <v>0</v>
      </c>
      <c r="Z1002">
        <v>0</v>
      </c>
      <c r="AA1002">
        <v>0</v>
      </c>
      <c r="AB1002">
        <v>0</v>
      </c>
      <c r="AC1002">
        <v>0</v>
      </c>
      <c r="AD1002">
        <v>1341</v>
      </c>
    </row>
    <row r="1003" spans="1:30" x14ac:dyDescent="0.25">
      <c r="H1003" t="s">
        <v>2098</v>
      </c>
    </row>
    <row r="1004" spans="1:30" x14ac:dyDescent="0.25">
      <c r="A1004">
        <v>499</v>
      </c>
      <c r="B1004">
        <v>3400</v>
      </c>
      <c r="C1004" t="s">
        <v>2099</v>
      </c>
      <c r="D1004" t="s">
        <v>39</v>
      </c>
      <c r="E1004" t="s">
        <v>107</v>
      </c>
      <c r="F1004" t="s">
        <v>2100</v>
      </c>
      <c r="G1004" t="str">
        <f>"00203156"</f>
        <v>00203156</v>
      </c>
      <c r="H1004">
        <v>693</v>
      </c>
      <c r="I1004">
        <v>0</v>
      </c>
      <c r="J1004">
        <v>0</v>
      </c>
      <c r="K1004">
        <v>0</v>
      </c>
      <c r="L1004">
        <v>0</v>
      </c>
      <c r="M1004">
        <v>0</v>
      </c>
      <c r="N1004">
        <v>30</v>
      </c>
      <c r="O1004">
        <v>0</v>
      </c>
      <c r="P1004">
        <v>0</v>
      </c>
      <c r="Q1004">
        <v>30</v>
      </c>
      <c r="R1004">
        <v>0</v>
      </c>
      <c r="S1004">
        <v>0</v>
      </c>
      <c r="T1004">
        <v>0</v>
      </c>
      <c r="U1004">
        <v>0</v>
      </c>
      <c r="V1004">
        <v>84</v>
      </c>
      <c r="W1004">
        <v>588</v>
      </c>
      <c r="X1004">
        <v>0</v>
      </c>
      <c r="Z1004">
        <v>0</v>
      </c>
      <c r="AA1004">
        <v>0</v>
      </c>
      <c r="AB1004">
        <v>0</v>
      </c>
      <c r="AC1004">
        <v>0</v>
      </c>
      <c r="AD1004">
        <v>1341</v>
      </c>
    </row>
    <row r="1005" spans="1:30" x14ac:dyDescent="0.25">
      <c r="H1005" t="s">
        <v>2101</v>
      </c>
    </row>
    <row r="1006" spans="1:30" x14ac:dyDescent="0.25">
      <c r="A1006">
        <v>500</v>
      </c>
      <c r="B1006">
        <v>4127</v>
      </c>
      <c r="C1006" t="s">
        <v>2102</v>
      </c>
      <c r="D1006" t="s">
        <v>84</v>
      </c>
      <c r="E1006" t="s">
        <v>2103</v>
      </c>
      <c r="F1006" t="s">
        <v>2104</v>
      </c>
      <c r="G1006" t="str">
        <f>"00089475"</f>
        <v>00089475</v>
      </c>
      <c r="H1006" t="s">
        <v>1719</v>
      </c>
      <c r="I1006">
        <v>0</v>
      </c>
      <c r="J1006">
        <v>0</v>
      </c>
      <c r="K1006">
        <v>0</v>
      </c>
      <c r="L1006">
        <v>200</v>
      </c>
      <c r="M1006">
        <v>0</v>
      </c>
      <c r="N1006">
        <v>70</v>
      </c>
      <c r="O1006">
        <v>0</v>
      </c>
      <c r="P1006">
        <v>0</v>
      </c>
      <c r="Q1006">
        <v>0</v>
      </c>
      <c r="R1006">
        <v>0</v>
      </c>
      <c r="S1006">
        <v>0</v>
      </c>
      <c r="T1006">
        <v>0</v>
      </c>
      <c r="U1006">
        <v>0</v>
      </c>
      <c r="V1006">
        <v>51</v>
      </c>
      <c r="W1006">
        <v>357</v>
      </c>
      <c r="X1006">
        <v>0</v>
      </c>
      <c r="Z1006">
        <v>0</v>
      </c>
      <c r="AA1006">
        <v>0</v>
      </c>
      <c r="AB1006">
        <v>0</v>
      </c>
      <c r="AC1006">
        <v>0</v>
      </c>
      <c r="AD1006" t="s">
        <v>2105</v>
      </c>
    </row>
    <row r="1007" spans="1:30" x14ac:dyDescent="0.25">
      <c r="H1007" t="s">
        <v>2106</v>
      </c>
    </row>
    <row r="1008" spans="1:30" x14ac:dyDescent="0.25">
      <c r="A1008">
        <v>501</v>
      </c>
      <c r="B1008">
        <v>2275</v>
      </c>
      <c r="C1008" t="s">
        <v>2107</v>
      </c>
      <c r="D1008" t="s">
        <v>83</v>
      </c>
      <c r="E1008" t="s">
        <v>102</v>
      </c>
      <c r="F1008" t="s">
        <v>2108</v>
      </c>
      <c r="G1008" t="str">
        <f>"201406003727"</f>
        <v>201406003727</v>
      </c>
      <c r="H1008" t="s">
        <v>631</v>
      </c>
      <c r="I1008">
        <v>0</v>
      </c>
      <c r="J1008">
        <v>0</v>
      </c>
      <c r="K1008">
        <v>0</v>
      </c>
      <c r="L1008">
        <v>0</v>
      </c>
      <c r="M1008">
        <v>0</v>
      </c>
      <c r="N1008">
        <v>30</v>
      </c>
      <c r="O1008">
        <v>0</v>
      </c>
      <c r="P1008">
        <v>0</v>
      </c>
      <c r="Q1008">
        <v>0</v>
      </c>
      <c r="R1008">
        <v>0</v>
      </c>
      <c r="S1008">
        <v>0</v>
      </c>
      <c r="T1008">
        <v>0</v>
      </c>
      <c r="U1008">
        <v>0</v>
      </c>
      <c r="V1008">
        <v>84</v>
      </c>
      <c r="W1008">
        <v>588</v>
      </c>
      <c r="X1008">
        <v>0</v>
      </c>
      <c r="Z1008">
        <v>0</v>
      </c>
      <c r="AA1008">
        <v>0</v>
      </c>
      <c r="AB1008">
        <v>0</v>
      </c>
      <c r="AC1008">
        <v>0</v>
      </c>
      <c r="AD1008" t="s">
        <v>2109</v>
      </c>
    </row>
    <row r="1009" spans="1:30" x14ac:dyDescent="0.25">
      <c r="H1009" t="s">
        <v>2110</v>
      </c>
    </row>
    <row r="1010" spans="1:30" x14ac:dyDescent="0.25">
      <c r="A1010">
        <v>502</v>
      </c>
      <c r="B1010">
        <v>4662</v>
      </c>
      <c r="C1010" t="s">
        <v>2111</v>
      </c>
      <c r="D1010" t="s">
        <v>1304</v>
      </c>
      <c r="E1010" t="s">
        <v>102</v>
      </c>
      <c r="F1010" t="s">
        <v>2112</v>
      </c>
      <c r="G1010" t="str">
        <f>"201406010821"</f>
        <v>201406010821</v>
      </c>
      <c r="H1010" t="s">
        <v>1758</v>
      </c>
      <c r="I1010">
        <v>0</v>
      </c>
      <c r="J1010">
        <v>0</v>
      </c>
      <c r="K1010">
        <v>0</v>
      </c>
      <c r="L1010">
        <v>0</v>
      </c>
      <c r="M1010">
        <v>0</v>
      </c>
      <c r="N1010">
        <v>30</v>
      </c>
      <c r="O1010">
        <v>0</v>
      </c>
      <c r="P1010">
        <v>0</v>
      </c>
      <c r="Q1010">
        <v>0</v>
      </c>
      <c r="R1010">
        <v>0</v>
      </c>
      <c r="S1010">
        <v>0</v>
      </c>
      <c r="T1010">
        <v>0</v>
      </c>
      <c r="U1010">
        <v>0</v>
      </c>
      <c r="V1010">
        <v>84</v>
      </c>
      <c r="W1010">
        <v>588</v>
      </c>
      <c r="X1010">
        <v>0</v>
      </c>
      <c r="Z1010">
        <v>0</v>
      </c>
      <c r="AA1010">
        <v>0</v>
      </c>
      <c r="AB1010">
        <v>0</v>
      </c>
      <c r="AC1010">
        <v>0</v>
      </c>
      <c r="AD1010" t="s">
        <v>2113</v>
      </c>
    </row>
    <row r="1011" spans="1:30" x14ac:dyDescent="0.25">
      <c r="H1011" t="s">
        <v>2114</v>
      </c>
    </row>
    <row r="1012" spans="1:30" x14ac:dyDescent="0.25">
      <c r="A1012">
        <v>503</v>
      </c>
      <c r="B1012">
        <v>3854</v>
      </c>
      <c r="C1012" t="s">
        <v>2115</v>
      </c>
      <c r="D1012" t="s">
        <v>2116</v>
      </c>
      <c r="E1012" t="s">
        <v>756</v>
      </c>
      <c r="F1012" t="s">
        <v>2117</v>
      </c>
      <c r="G1012" t="str">
        <f>"200801005782"</f>
        <v>200801005782</v>
      </c>
      <c r="H1012">
        <v>671</v>
      </c>
      <c r="I1012">
        <v>0</v>
      </c>
      <c r="J1012">
        <v>0</v>
      </c>
      <c r="K1012">
        <v>0</v>
      </c>
      <c r="L1012">
        <v>0</v>
      </c>
      <c r="M1012">
        <v>0</v>
      </c>
      <c r="N1012">
        <v>50</v>
      </c>
      <c r="O1012">
        <v>0</v>
      </c>
      <c r="P1012">
        <v>0</v>
      </c>
      <c r="Q1012">
        <v>30</v>
      </c>
      <c r="R1012">
        <v>0</v>
      </c>
      <c r="S1012">
        <v>0</v>
      </c>
      <c r="T1012">
        <v>0</v>
      </c>
      <c r="U1012">
        <v>0</v>
      </c>
      <c r="V1012">
        <v>84</v>
      </c>
      <c r="W1012">
        <v>588</v>
      </c>
      <c r="X1012">
        <v>0</v>
      </c>
      <c r="Z1012">
        <v>0</v>
      </c>
      <c r="AA1012">
        <v>0</v>
      </c>
      <c r="AB1012">
        <v>0</v>
      </c>
      <c r="AC1012">
        <v>0</v>
      </c>
      <c r="AD1012">
        <v>1339</v>
      </c>
    </row>
    <row r="1013" spans="1:30" x14ac:dyDescent="0.25">
      <c r="H1013" t="s">
        <v>2118</v>
      </c>
    </row>
    <row r="1014" spans="1:30" x14ac:dyDescent="0.25">
      <c r="A1014">
        <v>504</v>
      </c>
      <c r="B1014">
        <v>4130</v>
      </c>
      <c r="C1014" t="s">
        <v>2119</v>
      </c>
      <c r="D1014" t="s">
        <v>490</v>
      </c>
      <c r="E1014" t="s">
        <v>255</v>
      </c>
      <c r="F1014" t="s">
        <v>2120</v>
      </c>
      <c r="G1014" t="str">
        <f>"200802003170"</f>
        <v>200802003170</v>
      </c>
      <c r="H1014" t="s">
        <v>1368</v>
      </c>
      <c r="I1014">
        <v>0</v>
      </c>
      <c r="J1014">
        <v>0</v>
      </c>
      <c r="K1014">
        <v>0</v>
      </c>
      <c r="L1014">
        <v>0</v>
      </c>
      <c r="M1014">
        <v>0</v>
      </c>
      <c r="N1014">
        <v>50</v>
      </c>
      <c r="O1014">
        <v>0</v>
      </c>
      <c r="P1014">
        <v>0</v>
      </c>
      <c r="Q1014">
        <v>0</v>
      </c>
      <c r="R1014">
        <v>0</v>
      </c>
      <c r="S1014">
        <v>0</v>
      </c>
      <c r="T1014">
        <v>0</v>
      </c>
      <c r="U1014">
        <v>0</v>
      </c>
      <c r="V1014">
        <v>84</v>
      </c>
      <c r="W1014">
        <v>588</v>
      </c>
      <c r="X1014">
        <v>0</v>
      </c>
      <c r="Z1014">
        <v>2</v>
      </c>
      <c r="AA1014">
        <v>0</v>
      </c>
      <c r="AB1014">
        <v>0</v>
      </c>
      <c r="AC1014">
        <v>0</v>
      </c>
      <c r="AD1014" t="s">
        <v>2121</v>
      </c>
    </row>
    <row r="1015" spans="1:30" x14ac:dyDescent="0.25">
      <c r="H1015" t="s">
        <v>2122</v>
      </c>
    </row>
    <row r="1016" spans="1:30" x14ac:dyDescent="0.25">
      <c r="A1016">
        <v>505</v>
      </c>
      <c r="B1016">
        <v>3846</v>
      </c>
      <c r="C1016" t="s">
        <v>2123</v>
      </c>
      <c r="D1016" t="s">
        <v>102</v>
      </c>
      <c r="E1016" t="s">
        <v>756</v>
      </c>
      <c r="F1016" t="s">
        <v>2124</v>
      </c>
      <c r="G1016" t="str">
        <f>"00149005"</f>
        <v>00149005</v>
      </c>
      <c r="H1016" t="s">
        <v>137</v>
      </c>
      <c r="I1016">
        <v>0</v>
      </c>
      <c r="J1016">
        <v>0</v>
      </c>
      <c r="K1016">
        <v>0</v>
      </c>
      <c r="L1016">
        <v>0</v>
      </c>
      <c r="M1016">
        <v>0</v>
      </c>
      <c r="N1016">
        <v>30</v>
      </c>
      <c r="O1016">
        <v>0</v>
      </c>
      <c r="P1016">
        <v>0</v>
      </c>
      <c r="Q1016">
        <v>0</v>
      </c>
      <c r="R1016">
        <v>0</v>
      </c>
      <c r="S1016">
        <v>0</v>
      </c>
      <c r="T1016">
        <v>0</v>
      </c>
      <c r="U1016">
        <v>0</v>
      </c>
      <c r="V1016">
        <v>84</v>
      </c>
      <c r="W1016">
        <v>588</v>
      </c>
      <c r="X1016">
        <v>0</v>
      </c>
      <c r="Z1016">
        <v>0</v>
      </c>
      <c r="AA1016">
        <v>0</v>
      </c>
      <c r="AB1016">
        <v>0</v>
      </c>
      <c r="AC1016">
        <v>0</v>
      </c>
      <c r="AD1016" t="s">
        <v>2125</v>
      </c>
    </row>
    <row r="1017" spans="1:30" x14ac:dyDescent="0.25">
      <c r="H1017" t="s">
        <v>2126</v>
      </c>
    </row>
    <row r="1018" spans="1:30" x14ac:dyDescent="0.25">
      <c r="A1018">
        <v>506</v>
      </c>
      <c r="B1018">
        <v>3302</v>
      </c>
      <c r="C1018" t="s">
        <v>2127</v>
      </c>
      <c r="D1018" t="s">
        <v>615</v>
      </c>
      <c r="E1018" t="s">
        <v>309</v>
      </c>
      <c r="F1018" t="s">
        <v>2128</v>
      </c>
      <c r="G1018" t="str">
        <f>"00070642"</f>
        <v>00070642</v>
      </c>
      <c r="H1018" t="s">
        <v>2129</v>
      </c>
      <c r="I1018">
        <v>0</v>
      </c>
      <c r="J1018">
        <v>0</v>
      </c>
      <c r="K1018">
        <v>0</v>
      </c>
      <c r="L1018">
        <v>0</v>
      </c>
      <c r="M1018">
        <v>0</v>
      </c>
      <c r="N1018">
        <v>0</v>
      </c>
      <c r="O1018">
        <v>0</v>
      </c>
      <c r="P1018">
        <v>0</v>
      </c>
      <c r="Q1018">
        <v>0</v>
      </c>
      <c r="R1018">
        <v>0</v>
      </c>
      <c r="S1018">
        <v>0</v>
      </c>
      <c r="T1018">
        <v>0</v>
      </c>
      <c r="U1018">
        <v>0</v>
      </c>
      <c r="V1018">
        <v>70</v>
      </c>
      <c r="W1018">
        <v>490</v>
      </c>
      <c r="X1018">
        <v>0</v>
      </c>
      <c r="Z1018">
        <v>1</v>
      </c>
      <c r="AA1018">
        <v>0</v>
      </c>
      <c r="AB1018">
        <v>0</v>
      </c>
      <c r="AC1018">
        <v>0</v>
      </c>
      <c r="AD1018" t="s">
        <v>2130</v>
      </c>
    </row>
    <row r="1019" spans="1:30" x14ac:dyDescent="0.25">
      <c r="H1019" t="s">
        <v>2131</v>
      </c>
    </row>
    <row r="1020" spans="1:30" x14ac:dyDescent="0.25">
      <c r="A1020">
        <v>507</v>
      </c>
      <c r="B1020">
        <v>5538</v>
      </c>
      <c r="C1020" t="s">
        <v>2132</v>
      </c>
      <c r="D1020" t="s">
        <v>535</v>
      </c>
      <c r="E1020" t="s">
        <v>32</v>
      </c>
      <c r="F1020" t="s">
        <v>2133</v>
      </c>
      <c r="G1020" t="str">
        <f>"00171664"</f>
        <v>00171664</v>
      </c>
      <c r="H1020">
        <v>682</v>
      </c>
      <c r="I1020">
        <v>0</v>
      </c>
      <c r="J1020">
        <v>0</v>
      </c>
      <c r="K1020">
        <v>0</v>
      </c>
      <c r="L1020">
        <v>0</v>
      </c>
      <c r="M1020">
        <v>0</v>
      </c>
      <c r="N1020">
        <v>30</v>
      </c>
      <c r="O1020">
        <v>0</v>
      </c>
      <c r="P1020">
        <v>0</v>
      </c>
      <c r="Q1020">
        <v>0</v>
      </c>
      <c r="R1020">
        <v>0</v>
      </c>
      <c r="S1020">
        <v>0</v>
      </c>
      <c r="T1020">
        <v>0</v>
      </c>
      <c r="U1020">
        <v>0</v>
      </c>
      <c r="V1020">
        <v>70</v>
      </c>
      <c r="W1020">
        <v>490</v>
      </c>
      <c r="X1020">
        <v>0</v>
      </c>
      <c r="Z1020">
        <v>0</v>
      </c>
      <c r="AA1020">
        <v>0</v>
      </c>
      <c r="AB1020">
        <v>8</v>
      </c>
      <c r="AC1020">
        <v>136</v>
      </c>
      <c r="AD1020">
        <v>1338</v>
      </c>
    </row>
    <row r="1021" spans="1:30" x14ac:dyDescent="0.25">
      <c r="H1021" t="s">
        <v>2134</v>
      </c>
    </row>
    <row r="1022" spans="1:30" x14ac:dyDescent="0.25">
      <c r="A1022">
        <v>508</v>
      </c>
      <c r="B1022">
        <v>2823</v>
      </c>
      <c r="C1022" t="s">
        <v>2135</v>
      </c>
      <c r="D1022" t="s">
        <v>28</v>
      </c>
      <c r="E1022" t="s">
        <v>2136</v>
      </c>
      <c r="F1022" t="s">
        <v>2137</v>
      </c>
      <c r="G1022" t="str">
        <f>"00173523"</f>
        <v>00173523</v>
      </c>
      <c r="H1022" t="s">
        <v>1383</v>
      </c>
      <c r="I1022">
        <v>0</v>
      </c>
      <c r="J1022">
        <v>0</v>
      </c>
      <c r="K1022">
        <v>0</v>
      </c>
      <c r="L1022">
        <v>200</v>
      </c>
      <c r="M1022">
        <v>0</v>
      </c>
      <c r="N1022">
        <v>70</v>
      </c>
      <c r="O1022">
        <v>30</v>
      </c>
      <c r="P1022">
        <v>0</v>
      </c>
      <c r="Q1022">
        <v>30</v>
      </c>
      <c r="R1022">
        <v>0</v>
      </c>
      <c r="S1022">
        <v>0</v>
      </c>
      <c r="T1022">
        <v>0</v>
      </c>
      <c r="U1022">
        <v>0</v>
      </c>
      <c r="V1022">
        <v>19</v>
      </c>
      <c r="W1022">
        <v>133</v>
      </c>
      <c r="X1022">
        <v>0</v>
      </c>
      <c r="Z1022">
        <v>0</v>
      </c>
      <c r="AA1022">
        <v>0</v>
      </c>
      <c r="AB1022">
        <v>0</v>
      </c>
      <c r="AC1022">
        <v>0</v>
      </c>
      <c r="AD1022" t="s">
        <v>2138</v>
      </c>
    </row>
    <row r="1023" spans="1:30" x14ac:dyDescent="0.25">
      <c r="H1023" t="s">
        <v>2139</v>
      </c>
    </row>
    <row r="1024" spans="1:30" x14ac:dyDescent="0.25">
      <c r="A1024">
        <v>509</v>
      </c>
      <c r="B1024">
        <v>4005</v>
      </c>
      <c r="C1024" t="s">
        <v>538</v>
      </c>
      <c r="D1024" t="s">
        <v>866</v>
      </c>
      <c r="E1024" t="s">
        <v>45</v>
      </c>
      <c r="F1024" t="s">
        <v>2140</v>
      </c>
      <c r="G1024" t="str">
        <f>"00364127"</f>
        <v>00364127</v>
      </c>
      <c r="H1024" t="s">
        <v>1100</v>
      </c>
      <c r="I1024">
        <v>0</v>
      </c>
      <c r="J1024">
        <v>0</v>
      </c>
      <c r="K1024">
        <v>0</v>
      </c>
      <c r="L1024">
        <v>0</v>
      </c>
      <c r="M1024">
        <v>0</v>
      </c>
      <c r="N1024">
        <v>30</v>
      </c>
      <c r="O1024">
        <v>0</v>
      </c>
      <c r="P1024">
        <v>0</v>
      </c>
      <c r="Q1024">
        <v>0</v>
      </c>
      <c r="R1024">
        <v>0</v>
      </c>
      <c r="S1024">
        <v>0</v>
      </c>
      <c r="T1024">
        <v>0</v>
      </c>
      <c r="U1024">
        <v>0</v>
      </c>
      <c r="V1024">
        <v>84</v>
      </c>
      <c r="W1024">
        <v>588</v>
      </c>
      <c r="X1024">
        <v>0</v>
      </c>
      <c r="Z1024">
        <v>0</v>
      </c>
      <c r="AA1024">
        <v>0</v>
      </c>
      <c r="AB1024">
        <v>0</v>
      </c>
      <c r="AC1024">
        <v>0</v>
      </c>
      <c r="AD1024" t="s">
        <v>2141</v>
      </c>
    </row>
    <row r="1025" spans="1:30" x14ac:dyDescent="0.25">
      <c r="H1025" t="s">
        <v>2142</v>
      </c>
    </row>
    <row r="1026" spans="1:30" x14ac:dyDescent="0.25">
      <c r="A1026">
        <v>510</v>
      </c>
      <c r="B1026">
        <v>5135</v>
      </c>
      <c r="C1026" t="s">
        <v>2143</v>
      </c>
      <c r="D1026" t="s">
        <v>49</v>
      </c>
      <c r="E1026" t="s">
        <v>325</v>
      </c>
      <c r="F1026" t="s">
        <v>2144</v>
      </c>
      <c r="G1026" t="str">
        <f>"00015993"</f>
        <v>00015993</v>
      </c>
      <c r="H1026" t="s">
        <v>1100</v>
      </c>
      <c r="I1026">
        <v>0</v>
      </c>
      <c r="J1026">
        <v>0</v>
      </c>
      <c r="K1026">
        <v>0</v>
      </c>
      <c r="L1026">
        <v>0</v>
      </c>
      <c r="M1026">
        <v>0</v>
      </c>
      <c r="N1026">
        <v>30</v>
      </c>
      <c r="O1026">
        <v>0</v>
      </c>
      <c r="P1026">
        <v>0</v>
      </c>
      <c r="Q1026">
        <v>0</v>
      </c>
      <c r="R1026">
        <v>0</v>
      </c>
      <c r="S1026">
        <v>0</v>
      </c>
      <c r="T1026">
        <v>0</v>
      </c>
      <c r="U1026">
        <v>0</v>
      </c>
      <c r="V1026">
        <v>84</v>
      </c>
      <c r="W1026">
        <v>588</v>
      </c>
      <c r="X1026">
        <v>0</v>
      </c>
      <c r="Z1026">
        <v>0</v>
      </c>
      <c r="AA1026">
        <v>0</v>
      </c>
      <c r="AB1026">
        <v>0</v>
      </c>
      <c r="AC1026">
        <v>0</v>
      </c>
      <c r="AD1026" t="s">
        <v>2141</v>
      </c>
    </row>
    <row r="1027" spans="1:30" x14ac:dyDescent="0.25">
      <c r="H1027" t="s">
        <v>2145</v>
      </c>
    </row>
    <row r="1028" spans="1:30" x14ac:dyDescent="0.25">
      <c r="A1028">
        <v>511</v>
      </c>
      <c r="B1028">
        <v>2866</v>
      </c>
      <c r="C1028" t="s">
        <v>2146</v>
      </c>
      <c r="D1028" t="s">
        <v>28</v>
      </c>
      <c r="E1028" t="s">
        <v>337</v>
      </c>
      <c r="F1028" t="s">
        <v>2147</v>
      </c>
      <c r="G1028" t="str">
        <f>"00312139"</f>
        <v>00312139</v>
      </c>
      <c r="H1028" t="s">
        <v>1100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30</v>
      </c>
      <c r="O1028">
        <v>0</v>
      </c>
      <c r="P1028">
        <v>0</v>
      </c>
      <c r="Q1028">
        <v>0</v>
      </c>
      <c r="R1028">
        <v>0</v>
      </c>
      <c r="S1028">
        <v>0</v>
      </c>
      <c r="T1028">
        <v>0</v>
      </c>
      <c r="U1028">
        <v>0</v>
      </c>
      <c r="V1028">
        <v>84</v>
      </c>
      <c r="W1028">
        <v>588</v>
      </c>
      <c r="X1028">
        <v>0</v>
      </c>
      <c r="Z1028">
        <v>0</v>
      </c>
      <c r="AA1028">
        <v>0</v>
      </c>
      <c r="AB1028">
        <v>0</v>
      </c>
      <c r="AC1028">
        <v>0</v>
      </c>
      <c r="AD1028" t="s">
        <v>2141</v>
      </c>
    </row>
    <row r="1029" spans="1:30" x14ac:dyDescent="0.25">
      <c r="H1029" t="s">
        <v>2148</v>
      </c>
    </row>
    <row r="1030" spans="1:30" x14ac:dyDescent="0.25">
      <c r="A1030">
        <v>512</v>
      </c>
      <c r="B1030">
        <v>1458</v>
      </c>
      <c r="C1030" t="s">
        <v>1566</v>
      </c>
      <c r="D1030" t="s">
        <v>283</v>
      </c>
      <c r="E1030" t="s">
        <v>389</v>
      </c>
      <c r="F1030" t="s">
        <v>2149</v>
      </c>
      <c r="G1030" t="str">
        <f>"201411001185"</f>
        <v>201411001185</v>
      </c>
      <c r="H1030" t="s">
        <v>260</v>
      </c>
      <c r="I1030">
        <v>150</v>
      </c>
      <c r="J1030">
        <v>0</v>
      </c>
      <c r="K1030">
        <v>0</v>
      </c>
      <c r="L1030">
        <v>200</v>
      </c>
      <c r="M1030">
        <v>0</v>
      </c>
      <c r="N1030">
        <v>30</v>
      </c>
      <c r="O1030">
        <v>0</v>
      </c>
      <c r="P1030">
        <v>0</v>
      </c>
      <c r="Q1030">
        <v>0</v>
      </c>
      <c r="R1030">
        <v>0</v>
      </c>
      <c r="S1030">
        <v>0</v>
      </c>
      <c r="T1030">
        <v>0</v>
      </c>
      <c r="U1030">
        <v>0</v>
      </c>
      <c r="V1030">
        <v>15</v>
      </c>
      <c r="W1030">
        <v>105</v>
      </c>
      <c r="X1030">
        <v>0</v>
      </c>
      <c r="Z1030">
        <v>0</v>
      </c>
      <c r="AA1030">
        <v>0</v>
      </c>
      <c r="AB1030">
        <v>0</v>
      </c>
      <c r="AC1030">
        <v>0</v>
      </c>
      <c r="AD1030" t="s">
        <v>2150</v>
      </c>
    </row>
    <row r="1031" spans="1:30" x14ac:dyDescent="0.25">
      <c r="H1031" t="s">
        <v>2151</v>
      </c>
    </row>
    <row r="1032" spans="1:30" x14ac:dyDescent="0.25">
      <c r="A1032">
        <v>513</v>
      </c>
      <c r="B1032">
        <v>1972</v>
      </c>
      <c r="C1032" t="s">
        <v>2152</v>
      </c>
      <c r="D1032" t="s">
        <v>2153</v>
      </c>
      <c r="E1032" t="s">
        <v>1145</v>
      </c>
      <c r="F1032" t="s">
        <v>2154</v>
      </c>
      <c r="G1032" t="str">
        <f>"00101660"</f>
        <v>00101660</v>
      </c>
      <c r="H1032" t="s">
        <v>169</v>
      </c>
      <c r="I1032">
        <v>0</v>
      </c>
      <c r="J1032">
        <v>0</v>
      </c>
      <c r="K1032">
        <v>0</v>
      </c>
      <c r="L1032">
        <v>200</v>
      </c>
      <c r="M1032">
        <v>0</v>
      </c>
      <c r="N1032">
        <v>30</v>
      </c>
      <c r="O1032">
        <v>0</v>
      </c>
      <c r="P1032">
        <v>0</v>
      </c>
      <c r="Q1032">
        <v>0</v>
      </c>
      <c r="R1032">
        <v>0</v>
      </c>
      <c r="S1032">
        <v>0</v>
      </c>
      <c r="T1032">
        <v>0</v>
      </c>
      <c r="U1032">
        <v>0</v>
      </c>
      <c r="V1032">
        <v>45</v>
      </c>
      <c r="W1032">
        <v>315</v>
      </c>
      <c r="X1032">
        <v>0</v>
      </c>
      <c r="Z1032">
        <v>0</v>
      </c>
      <c r="AA1032">
        <v>0</v>
      </c>
      <c r="AB1032">
        <v>0</v>
      </c>
      <c r="AC1032">
        <v>0</v>
      </c>
      <c r="AD1032" t="s">
        <v>2155</v>
      </c>
    </row>
    <row r="1033" spans="1:30" x14ac:dyDescent="0.25">
      <c r="H1033" t="s">
        <v>2156</v>
      </c>
    </row>
    <row r="1034" spans="1:30" x14ac:dyDescent="0.25">
      <c r="A1034">
        <v>514</v>
      </c>
      <c r="B1034">
        <v>6019</v>
      </c>
      <c r="C1034" t="s">
        <v>1136</v>
      </c>
      <c r="D1034" t="s">
        <v>2157</v>
      </c>
      <c r="E1034" t="s">
        <v>2158</v>
      </c>
      <c r="F1034" t="s">
        <v>2159</v>
      </c>
      <c r="G1034" t="str">
        <f>"201412003058"</f>
        <v>201412003058</v>
      </c>
      <c r="H1034" t="s">
        <v>2160</v>
      </c>
      <c r="I1034">
        <v>0</v>
      </c>
      <c r="J1034">
        <v>0</v>
      </c>
      <c r="K1034">
        <v>0</v>
      </c>
      <c r="L1034">
        <v>0</v>
      </c>
      <c r="M1034">
        <v>0</v>
      </c>
      <c r="N1034">
        <v>0</v>
      </c>
      <c r="O1034">
        <v>0</v>
      </c>
      <c r="P1034">
        <v>0</v>
      </c>
      <c r="Q1034">
        <v>0</v>
      </c>
      <c r="R1034">
        <v>0</v>
      </c>
      <c r="S1034">
        <v>0</v>
      </c>
      <c r="T1034">
        <v>70</v>
      </c>
      <c r="U1034">
        <v>0</v>
      </c>
      <c r="V1034">
        <v>84</v>
      </c>
      <c r="W1034">
        <v>588</v>
      </c>
      <c r="X1034">
        <v>0</v>
      </c>
      <c r="Z1034">
        <v>2</v>
      </c>
      <c r="AA1034">
        <v>0</v>
      </c>
      <c r="AB1034">
        <v>0</v>
      </c>
      <c r="AC1034">
        <v>0</v>
      </c>
      <c r="AD1034" t="s">
        <v>2161</v>
      </c>
    </row>
    <row r="1035" spans="1:30" x14ac:dyDescent="0.25">
      <c r="H1035" t="s">
        <v>2162</v>
      </c>
    </row>
    <row r="1036" spans="1:30" x14ac:dyDescent="0.25">
      <c r="A1036">
        <v>515</v>
      </c>
      <c r="B1036">
        <v>5448</v>
      </c>
      <c r="C1036" t="s">
        <v>2163</v>
      </c>
      <c r="D1036" t="s">
        <v>815</v>
      </c>
      <c r="E1036" t="s">
        <v>32</v>
      </c>
      <c r="F1036" t="s">
        <v>2164</v>
      </c>
      <c r="G1036" t="str">
        <f>"00361247"</f>
        <v>00361247</v>
      </c>
      <c r="H1036" t="s">
        <v>652</v>
      </c>
      <c r="I1036">
        <v>0</v>
      </c>
      <c r="J1036">
        <v>0</v>
      </c>
      <c r="K1036">
        <v>0</v>
      </c>
      <c r="L1036">
        <v>0</v>
      </c>
      <c r="M1036">
        <v>0</v>
      </c>
      <c r="N1036">
        <v>30</v>
      </c>
      <c r="O1036">
        <v>0</v>
      </c>
      <c r="P1036">
        <v>0</v>
      </c>
      <c r="Q1036">
        <v>0</v>
      </c>
      <c r="R1036">
        <v>0</v>
      </c>
      <c r="S1036">
        <v>0</v>
      </c>
      <c r="T1036">
        <v>0</v>
      </c>
      <c r="U1036">
        <v>0</v>
      </c>
      <c r="V1036">
        <v>84</v>
      </c>
      <c r="W1036">
        <v>588</v>
      </c>
      <c r="X1036">
        <v>0</v>
      </c>
      <c r="Z1036">
        <v>1</v>
      </c>
      <c r="AA1036">
        <v>0</v>
      </c>
      <c r="AB1036">
        <v>0</v>
      </c>
      <c r="AC1036">
        <v>0</v>
      </c>
      <c r="AD1036" t="s">
        <v>2165</v>
      </c>
    </row>
    <row r="1037" spans="1:30" x14ac:dyDescent="0.25">
      <c r="H1037" t="s">
        <v>2166</v>
      </c>
    </row>
    <row r="1038" spans="1:30" x14ac:dyDescent="0.25">
      <c r="A1038">
        <v>516</v>
      </c>
      <c r="B1038">
        <v>5713</v>
      </c>
      <c r="C1038" t="s">
        <v>2167</v>
      </c>
      <c r="D1038" t="s">
        <v>1699</v>
      </c>
      <c r="E1038" t="s">
        <v>120</v>
      </c>
      <c r="F1038" t="s">
        <v>2168</v>
      </c>
      <c r="G1038" t="str">
        <f>"200802010470"</f>
        <v>200802010470</v>
      </c>
      <c r="H1038">
        <v>770</v>
      </c>
      <c r="I1038">
        <v>0</v>
      </c>
      <c r="J1038">
        <v>0</v>
      </c>
      <c r="K1038">
        <v>0</v>
      </c>
      <c r="L1038">
        <v>0</v>
      </c>
      <c r="M1038">
        <v>0</v>
      </c>
      <c r="N1038">
        <v>30</v>
      </c>
      <c r="O1038">
        <v>0</v>
      </c>
      <c r="P1038">
        <v>0</v>
      </c>
      <c r="Q1038">
        <v>0</v>
      </c>
      <c r="R1038">
        <v>0</v>
      </c>
      <c r="S1038">
        <v>0</v>
      </c>
      <c r="T1038">
        <v>0</v>
      </c>
      <c r="U1038">
        <v>0</v>
      </c>
      <c r="V1038">
        <v>18</v>
      </c>
      <c r="W1038">
        <v>126</v>
      </c>
      <c r="X1038">
        <v>0</v>
      </c>
      <c r="Z1038">
        <v>0</v>
      </c>
      <c r="AA1038">
        <v>0</v>
      </c>
      <c r="AB1038">
        <v>24</v>
      </c>
      <c r="AC1038">
        <v>408</v>
      </c>
      <c r="AD1038">
        <v>1334</v>
      </c>
    </row>
    <row r="1039" spans="1:30" x14ac:dyDescent="0.25">
      <c r="H1039" t="s">
        <v>2169</v>
      </c>
    </row>
    <row r="1040" spans="1:30" x14ac:dyDescent="0.25">
      <c r="A1040">
        <v>517</v>
      </c>
      <c r="B1040">
        <v>2374</v>
      </c>
      <c r="C1040" t="s">
        <v>2170</v>
      </c>
      <c r="D1040" t="s">
        <v>2171</v>
      </c>
      <c r="E1040" t="s">
        <v>1540</v>
      </c>
      <c r="F1040" t="s">
        <v>2172</v>
      </c>
      <c r="G1040" t="str">
        <f>"201511035531"</f>
        <v>201511035531</v>
      </c>
      <c r="H1040" t="s">
        <v>2173</v>
      </c>
      <c r="I1040">
        <v>0</v>
      </c>
      <c r="J1040">
        <v>0</v>
      </c>
      <c r="K1040">
        <v>0</v>
      </c>
      <c r="L1040">
        <v>0</v>
      </c>
      <c r="M1040">
        <v>0</v>
      </c>
      <c r="N1040">
        <v>30</v>
      </c>
      <c r="O1040">
        <v>0</v>
      </c>
      <c r="P1040">
        <v>0</v>
      </c>
      <c r="Q1040">
        <v>0</v>
      </c>
      <c r="R1040">
        <v>0</v>
      </c>
      <c r="S1040">
        <v>0</v>
      </c>
      <c r="T1040">
        <v>0</v>
      </c>
      <c r="U1040">
        <v>0</v>
      </c>
      <c r="V1040">
        <v>69</v>
      </c>
      <c r="W1040">
        <v>483</v>
      </c>
      <c r="X1040">
        <v>0</v>
      </c>
      <c r="Z1040">
        <v>0</v>
      </c>
      <c r="AA1040">
        <v>0</v>
      </c>
      <c r="AB1040">
        <v>0</v>
      </c>
      <c r="AC1040">
        <v>0</v>
      </c>
      <c r="AD1040" t="s">
        <v>2174</v>
      </c>
    </row>
    <row r="1041" spans="1:30" x14ac:dyDescent="0.25">
      <c r="H1041" t="s">
        <v>2175</v>
      </c>
    </row>
    <row r="1042" spans="1:30" x14ac:dyDescent="0.25">
      <c r="A1042">
        <v>518</v>
      </c>
      <c r="B1042">
        <v>4549</v>
      </c>
      <c r="C1042" t="s">
        <v>2176</v>
      </c>
      <c r="D1042" t="s">
        <v>1098</v>
      </c>
      <c r="E1042" t="s">
        <v>32</v>
      </c>
      <c r="F1042" t="s">
        <v>2177</v>
      </c>
      <c r="G1042" t="str">
        <f>"00152068"</f>
        <v>00152068</v>
      </c>
      <c r="H1042">
        <v>715</v>
      </c>
      <c r="I1042">
        <v>0</v>
      </c>
      <c r="J1042">
        <v>0</v>
      </c>
      <c r="K1042">
        <v>0</v>
      </c>
      <c r="L1042">
        <v>0</v>
      </c>
      <c r="M1042">
        <v>0</v>
      </c>
      <c r="N1042">
        <v>30</v>
      </c>
      <c r="O1042">
        <v>0</v>
      </c>
      <c r="P1042">
        <v>0</v>
      </c>
      <c r="Q1042">
        <v>0</v>
      </c>
      <c r="R1042">
        <v>0</v>
      </c>
      <c r="S1042">
        <v>0</v>
      </c>
      <c r="T1042">
        <v>0</v>
      </c>
      <c r="U1042">
        <v>0</v>
      </c>
      <c r="V1042">
        <v>84</v>
      </c>
      <c r="W1042">
        <v>588</v>
      </c>
      <c r="X1042">
        <v>0</v>
      </c>
      <c r="Z1042">
        <v>1</v>
      </c>
      <c r="AA1042">
        <v>0</v>
      </c>
      <c r="AB1042">
        <v>0</v>
      </c>
      <c r="AC1042">
        <v>0</v>
      </c>
      <c r="AD1042">
        <v>1333</v>
      </c>
    </row>
    <row r="1043" spans="1:30" x14ac:dyDescent="0.25">
      <c r="H1043" t="s">
        <v>2178</v>
      </c>
    </row>
    <row r="1044" spans="1:30" x14ac:dyDescent="0.25">
      <c r="A1044">
        <v>519</v>
      </c>
      <c r="B1044">
        <v>5141</v>
      </c>
      <c r="C1044" t="s">
        <v>2179</v>
      </c>
      <c r="D1044" t="s">
        <v>2180</v>
      </c>
      <c r="E1044" t="s">
        <v>107</v>
      </c>
      <c r="F1044" t="s">
        <v>2181</v>
      </c>
      <c r="G1044" t="str">
        <f>"00186318"</f>
        <v>00186318</v>
      </c>
      <c r="H1044">
        <v>715</v>
      </c>
      <c r="I1044">
        <v>0</v>
      </c>
      <c r="J1044">
        <v>0</v>
      </c>
      <c r="K1044">
        <v>0</v>
      </c>
      <c r="L1044">
        <v>0</v>
      </c>
      <c r="M1044">
        <v>0</v>
      </c>
      <c r="N1044">
        <v>30</v>
      </c>
      <c r="O1044">
        <v>0</v>
      </c>
      <c r="P1044">
        <v>0</v>
      </c>
      <c r="Q1044">
        <v>0</v>
      </c>
      <c r="R1044">
        <v>0</v>
      </c>
      <c r="S1044">
        <v>0</v>
      </c>
      <c r="T1044">
        <v>0</v>
      </c>
      <c r="U1044">
        <v>0</v>
      </c>
      <c r="V1044">
        <v>84</v>
      </c>
      <c r="W1044">
        <v>588</v>
      </c>
      <c r="X1044">
        <v>0</v>
      </c>
      <c r="Z1044">
        <v>0</v>
      </c>
      <c r="AA1044">
        <v>0</v>
      </c>
      <c r="AB1044">
        <v>0</v>
      </c>
      <c r="AC1044">
        <v>0</v>
      </c>
      <c r="AD1044">
        <v>1333</v>
      </c>
    </row>
    <row r="1045" spans="1:30" x14ac:dyDescent="0.25">
      <c r="H1045" t="s">
        <v>2182</v>
      </c>
    </row>
    <row r="1046" spans="1:30" x14ac:dyDescent="0.25">
      <c r="A1046">
        <v>520</v>
      </c>
      <c r="B1046">
        <v>1196</v>
      </c>
      <c r="C1046" t="s">
        <v>2183</v>
      </c>
      <c r="D1046" t="s">
        <v>393</v>
      </c>
      <c r="E1046" t="s">
        <v>866</v>
      </c>
      <c r="F1046" t="s">
        <v>2184</v>
      </c>
      <c r="G1046" t="str">
        <f>"00309220"</f>
        <v>00309220</v>
      </c>
      <c r="H1046" t="s">
        <v>1719</v>
      </c>
      <c r="I1046">
        <v>0</v>
      </c>
      <c r="J1046">
        <v>0</v>
      </c>
      <c r="K1046">
        <v>0</v>
      </c>
      <c r="L1046">
        <v>0</v>
      </c>
      <c r="M1046">
        <v>0</v>
      </c>
      <c r="N1046">
        <v>30</v>
      </c>
      <c r="O1046">
        <v>0</v>
      </c>
      <c r="P1046">
        <v>0</v>
      </c>
      <c r="Q1046">
        <v>0</v>
      </c>
      <c r="R1046">
        <v>0</v>
      </c>
      <c r="S1046">
        <v>0</v>
      </c>
      <c r="T1046">
        <v>0</v>
      </c>
      <c r="U1046">
        <v>0</v>
      </c>
      <c r="V1046">
        <v>84</v>
      </c>
      <c r="W1046">
        <v>588</v>
      </c>
      <c r="X1046">
        <v>0</v>
      </c>
      <c r="Z1046">
        <v>0</v>
      </c>
      <c r="AA1046">
        <v>0</v>
      </c>
      <c r="AB1046">
        <v>0</v>
      </c>
      <c r="AC1046">
        <v>0</v>
      </c>
      <c r="AD1046" t="s">
        <v>2185</v>
      </c>
    </row>
    <row r="1047" spans="1:30" x14ac:dyDescent="0.25">
      <c r="H1047" t="s">
        <v>1859</v>
      </c>
    </row>
    <row r="1048" spans="1:30" x14ac:dyDescent="0.25">
      <c r="A1048">
        <v>521</v>
      </c>
      <c r="B1048">
        <v>2350</v>
      </c>
      <c r="C1048" t="s">
        <v>2186</v>
      </c>
      <c r="D1048" t="s">
        <v>1237</v>
      </c>
      <c r="E1048" t="s">
        <v>28</v>
      </c>
      <c r="F1048" t="s">
        <v>2187</v>
      </c>
      <c r="G1048" t="str">
        <f>"00322569"</f>
        <v>00322569</v>
      </c>
      <c r="H1048" t="s">
        <v>1884</v>
      </c>
      <c r="I1048">
        <v>0</v>
      </c>
      <c r="J1048">
        <v>0</v>
      </c>
      <c r="K1048">
        <v>0</v>
      </c>
      <c r="L1048">
        <v>0</v>
      </c>
      <c r="M1048">
        <v>0</v>
      </c>
      <c r="N1048">
        <v>0</v>
      </c>
      <c r="O1048">
        <v>0</v>
      </c>
      <c r="P1048">
        <v>0</v>
      </c>
      <c r="Q1048">
        <v>0</v>
      </c>
      <c r="R1048">
        <v>0</v>
      </c>
      <c r="S1048">
        <v>0</v>
      </c>
      <c r="T1048">
        <v>0</v>
      </c>
      <c r="U1048">
        <v>0</v>
      </c>
      <c r="V1048">
        <v>84</v>
      </c>
      <c r="W1048">
        <v>588</v>
      </c>
      <c r="X1048">
        <v>0</v>
      </c>
      <c r="Z1048">
        <v>2</v>
      </c>
      <c r="AA1048">
        <v>0</v>
      </c>
      <c r="AB1048">
        <v>0</v>
      </c>
      <c r="AC1048">
        <v>0</v>
      </c>
      <c r="AD1048" t="s">
        <v>2188</v>
      </c>
    </row>
    <row r="1049" spans="1:30" x14ac:dyDescent="0.25">
      <c r="H1049" t="s">
        <v>2189</v>
      </c>
    </row>
    <row r="1050" spans="1:30" x14ac:dyDescent="0.25">
      <c r="A1050">
        <v>522</v>
      </c>
      <c r="B1050">
        <v>2494</v>
      </c>
      <c r="C1050" t="s">
        <v>2190</v>
      </c>
      <c r="D1050" t="s">
        <v>283</v>
      </c>
      <c r="E1050" t="s">
        <v>1016</v>
      </c>
      <c r="F1050" t="s">
        <v>2191</v>
      </c>
      <c r="G1050" t="str">
        <f>"201406001742"</f>
        <v>201406001742</v>
      </c>
      <c r="H1050" t="s">
        <v>2192</v>
      </c>
      <c r="I1050">
        <v>0</v>
      </c>
      <c r="J1050">
        <v>0</v>
      </c>
      <c r="K1050">
        <v>0</v>
      </c>
      <c r="L1050">
        <v>200</v>
      </c>
      <c r="M1050">
        <v>0</v>
      </c>
      <c r="N1050">
        <v>70</v>
      </c>
      <c r="O1050">
        <v>0</v>
      </c>
      <c r="P1050">
        <v>0</v>
      </c>
      <c r="Q1050">
        <v>0</v>
      </c>
      <c r="R1050">
        <v>0</v>
      </c>
      <c r="S1050">
        <v>0</v>
      </c>
      <c r="T1050">
        <v>0</v>
      </c>
      <c r="U1050">
        <v>0</v>
      </c>
      <c r="V1050">
        <v>30</v>
      </c>
      <c r="W1050">
        <v>210</v>
      </c>
      <c r="X1050">
        <v>0</v>
      </c>
      <c r="Z1050">
        <v>0</v>
      </c>
      <c r="AA1050">
        <v>0</v>
      </c>
      <c r="AB1050">
        <v>0</v>
      </c>
      <c r="AC1050">
        <v>0</v>
      </c>
      <c r="AD1050" t="s">
        <v>2193</v>
      </c>
    </row>
    <row r="1051" spans="1:30" x14ac:dyDescent="0.25">
      <c r="H1051" t="s">
        <v>2194</v>
      </c>
    </row>
    <row r="1052" spans="1:30" x14ac:dyDescent="0.25">
      <c r="A1052">
        <v>523</v>
      </c>
      <c r="B1052">
        <v>4758</v>
      </c>
      <c r="C1052" t="s">
        <v>2195</v>
      </c>
      <c r="D1052" t="s">
        <v>2196</v>
      </c>
      <c r="E1052" t="s">
        <v>2197</v>
      </c>
      <c r="F1052" t="s">
        <v>2198</v>
      </c>
      <c r="G1052" t="str">
        <f>"00254676"</f>
        <v>00254676</v>
      </c>
      <c r="H1052" t="s">
        <v>861</v>
      </c>
      <c r="I1052">
        <v>0</v>
      </c>
      <c r="J1052">
        <v>0</v>
      </c>
      <c r="K1052">
        <v>0</v>
      </c>
      <c r="L1052">
        <v>0</v>
      </c>
      <c r="M1052">
        <v>0</v>
      </c>
      <c r="N1052">
        <v>0</v>
      </c>
      <c r="O1052">
        <v>0</v>
      </c>
      <c r="P1052">
        <v>0</v>
      </c>
      <c r="Q1052">
        <v>0</v>
      </c>
      <c r="R1052">
        <v>0</v>
      </c>
      <c r="S1052">
        <v>0</v>
      </c>
      <c r="T1052">
        <v>0</v>
      </c>
      <c r="U1052">
        <v>0</v>
      </c>
      <c r="V1052">
        <v>76</v>
      </c>
      <c r="W1052">
        <v>532</v>
      </c>
      <c r="X1052">
        <v>0</v>
      </c>
      <c r="Z1052">
        <v>0</v>
      </c>
      <c r="AA1052">
        <v>0</v>
      </c>
      <c r="AB1052">
        <v>8</v>
      </c>
      <c r="AC1052">
        <v>136</v>
      </c>
      <c r="AD1052" t="s">
        <v>2199</v>
      </c>
    </row>
    <row r="1053" spans="1:30" x14ac:dyDescent="0.25">
      <c r="H1053" t="s">
        <v>2200</v>
      </c>
    </row>
    <row r="1054" spans="1:30" x14ac:dyDescent="0.25">
      <c r="A1054">
        <v>524</v>
      </c>
      <c r="B1054">
        <v>1465</v>
      </c>
      <c r="C1054" t="s">
        <v>2201</v>
      </c>
      <c r="D1054" t="s">
        <v>580</v>
      </c>
      <c r="E1054" t="s">
        <v>102</v>
      </c>
      <c r="F1054" t="s">
        <v>2202</v>
      </c>
      <c r="G1054" t="str">
        <f>"201511032900"</f>
        <v>201511032900</v>
      </c>
      <c r="H1054">
        <v>693</v>
      </c>
      <c r="I1054">
        <v>0</v>
      </c>
      <c r="J1054">
        <v>0</v>
      </c>
      <c r="K1054">
        <v>0</v>
      </c>
      <c r="L1054">
        <v>0</v>
      </c>
      <c r="M1054">
        <v>0</v>
      </c>
      <c r="N1054">
        <v>50</v>
      </c>
      <c r="O1054">
        <v>0</v>
      </c>
      <c r="P1054">
        <v>0</v>
      </c>
      <c r="Q1054">
        <v>0</v>
      </c>
      <c r="R1054">
        <v>0</v>
      </c>
      <c r="S1054">
        <v>0</v>
      </c>
      <c r="T1054">
        <v>0</v>
      </c>
      <c r="U1054">
        <v>0</v>
      </c>
      <c r="V1054">
        <v>84</v>
      </c>
      <c r="W1054">
        <v>588</v>
      </c>
      <c r="X1054">
        <v>0</v>
      </c>
      <c r="Z1054">
        <v>0</v>
      </c>
      <c r="AA1054">
        <v>0</v>
      </c>
      <c r="AB1054">
        <v>0</v>
      </c>
      <c r="AC1054">
        <v>0</v>
      </c>
      <c r="AD1054">
        <v>1331</v>
      </c>
    </row>
    <row r="1055" spans="1:30" x14ac:dyDescent="0.25">
      <c r="H1055" t="s">
        <v>2203</v>
      </c>
    </row>
    <row r="1056" spans="1:30" x14ac:dyDescent="0.25">
      <c r="A1056">
        <v>525</v>
      </c>
      <c r="B1056">
        <v>3316</v>
      </c>
      <c r="C1056" t="s">
        <v>2204</v>
      </c>
      <c r="D1056" t="s">
        <v>2205</v>
      </c>
      <c r="E1056" t="s">
        <v>2206</v>
      </c>
      <c r="F1056" t="s">
        <v>2207</v>
      </c>
      <c r="G1056" t="str">
        <f>"00159066"</f>
        <v>00159066</v>
      </c>
      <c r="H1056" t="s">
        <v>1588</v>
      </c>
      <c r="I1056">
        <v>0</v>
      </c>
      <c r="J1056">
        <v>0</v>
      </c>
      <c r="K1056">
        <v>0</v>
      </c>
      <c r="L1056">
        <v>0</v>
      </c>
      <c r="M1056">
        <v>0</v>
      </c>
      <c r="N1056">
        <v>30</v>
      </c>
      <c r="O1056">
        <v>0</v>
      </c>
      <c r="P1056">
        <v>0</v>
      </c>
      <c r="Q1056">
        <v>0</v>
      </c>
      <c r="R1056">
        <v>0</v>
      </c>
      <c r="S1056">
        <v>0</v>
      </c>
      <c r="T1056">
        <v>0</v>
      </c>
      <c r="U1056">
        <v>0</v>
      </c>
      <c r="V1056">
        <v>84</v>
      </c>
      <c r="W1056">
        <v>588</v>
      </c>
      <c r="X1056">
        <v>0</v>
      </c>
      <c r="Z1056">
        <v>0</v>
      </c>
      <c r="AA1056">
        <v>0</v>
      </c>
      <c r="AB1056">
        <v>0</v>
      </c>
      <c r="AC1056">
        <v>0</v>
      </c>
      <c r="AD1056" t="s">
        <v>2208</v>
      </c>
    </row>
    <row r="1057" spans="1:30" x14ac:dyDescent="0.25">
      <c r="H1057" t="s">
        <v>570</v>
      </c>
    </row>
    <row r="1058" spans="1:30" x14ac:dyDescent="0.25">
      <c r="A1058">
        <v>526</v>
      </c>
      <c r="B1058">
        <v>4807</v>
      </c>
      <c r="C1058" t="s">
        <v>2209</v>
      </c>
      <c r="D1058" t="s">
        <v>598</v>
      </c>
      <c r="E1058" t="s">
        <v>32</v>
      </c>
      <c r="F1058" t="s">
        <v>2210</v>
      </c>
      <c r="G1058" t="str">
        <f>"201406010956"</f>
        <v>201406010956</v>
      </c>
      <c r="H1058" t="s">
        <v>562</v>
      </c>
      <c r="I1058">
        <v>0</v>
      </c>
      <c r="J1058">
        <v>0</v>
      </c>
      <c r="K1058">
        <v>0</v>
      </c>
      <c r="L1058">
        <v>0</v>
      </c>
      <c r="M1058">
        <v>0</v>
      </c>
      <c r="N1058">
        <v>70</v>
      </c>
      <c r="O1058">
        <v>0</v>
      </c>
      <c r="P1058">
        <v>0</v>
      </c>
      <c r="Q1058">
        <v>0</v>
      </c>
      <c r="R1058">
        <v>30</v>
      </c>
      <c r="S1058">
        <v>0</v>
      </c>
      <c r="T1058">
        <v>0</v>
      </c>
      <c r="U1058">
        <v>0</v>
      </c>
      <c r="V1058">
        <v>12</v>
      </c>
      <c r="W1058">
        <v>84</v>
      </c>
      <c r="X1058">
        <v>0</v>
      </c>
      <c r="Z1058">
        <v>2</v>
      </c>
      <c r="AA1058">
        <v>0</v>
      </c>
      <c r="AB1058">
        <v>24</v>
      </c>
      <c r="AC1058">
        <v>408</v>
      </c>
      <c r="AD1058" t="s">
        <v>2211</v>
      </c>
    </row>
    <row r="1059" spans="1:30" x14ac:dyDescent="0.25">
      <c r="H1059" t="s">
        <v>2212</v>
      </c>
    </row>
    <row r="1060" spans="1:30" x14ac:dyDescent="0.25">
      <c r="A1060">
        <v>527</v>
      </c>
      <c r="B1060">
        <v>1197</v>
      </c>
      <c r="C1060" t="s">
        <v>2213</v>
      </c>
      <c r="D1060" t="s">
        <v>151</v>
      </c>
      <c r="E1060" t="s">
        <v>142</v>
      </c>
      <c r="F1060" t="s">
        <v>2214</v>
      </c>
      <c r="G1060" t="str">
        <f>"201510001003"</f>
        <v>201510001003</v>
      </c>
      <c r="H1060">
        <v>770</v>
      </c>
      <c r="I1060">
        <v>0</v>
      </c>
      <c r="J1060">
        <v>0</v>
      </c>
      <c r="K1060">
        <v>0</v>
      </c>
      <c r="L1060">
        <v>0</v>
      </c>
      <c r="M1060">
        <v>0</v>
      </c>
      <c r="N1060">
        <v>0</v>
      </c>
      <c r="O1060">
        <v>0</v>
      </c>
      <c r="P1060">
        <v>0</v>
      </c>
      <c r="Q1060">
        <v>0</v>
      </c>
      <c r="R1060">
        <v>0</v>
      </c>
      <c r="S1060">
        <v>0</v>
      </c>
      <c r="T1060">
        <v>0</v>
      </c>
      <c r="U1060">
        <v>0</v>
      </c>
      <c r="V1060">
        <v>80</v>
      </c>
      <c r="W1060">
        <v>560</v>
      </c>
      <c r="X1060">
        <v>0</v>
      </c>
      <c r="Z1060">
        <v>0</v>
      </c>
      <c r="AA1060">
        <v>0</v>
      </c>
      <c r="AB1060">
        <v>0</v>
      </c>
      <c r="AC1060">
        <v>0</v>
      </c>
      <c r="AD1060">
        <v>1330</v>
      </c>
    </row>
    <row r="1061" spans="1:30" x14ac:dyDescent="0.25">
      <c r="H1061" t="s">
        <v>2215</v>
      </c>
    </row>
    <row r="1062" spans="1:30" x14ac:dyDescent="0.25">
      <c r="A1062">
        <v>528</v>
      </c>
      <c r="B1062">
        <v>2268</v>
      </c>
      <c r="C1062" t="s">
        <v>2216</v>
      </c>
      <c r="D1062" t="s">
        <v>444</v>
      </c>
      <c r="E1062" t="s">
        <v>1127</v>
      </c>
      <c r="F1062" t="s">
        <v>2217</v>
      </c>
      <c r="G1062" t="str">
        <f>"00323969"</f>
        <v>00323969</v>
      </c>
      <c r="H1062">
        <v>682</v>
      </c>
      <c r="I1062">
        <v>0</v>
      </c>
      <c r="J1062">
        <v>0</v>
      </c>
      <c r="K1062">
        <v>0</v>
      </c>
      <c r="L1062">
        <v>0</v>
      </c>
      <c r="M1062">
        <v>0</v>
      </c>
      <c r="N1062">
        <v>30</v>
      </c>
      <c r="O1062">
        <v>0</v>
      </c>
      <c r="P1062">
        <v>30</v>
      </c>
      <c r="Q1062">
        <v>0</v>
      </c>
      <c r="R1062">
        <v>0</v>
      </c>
      <c r="S1062">
        <v>0</v>
      </c>
      <c r="T1062">
        <v>0</v>
      </c>
      <c r="U1062">
        <v>0</v>
      </c>
      <c r="V1062">
        <v>84</v>
      </c>
      <c r="W1062">
        <v>588</v>
      </c>
      <c r="X1062">
        <v>0</v>
      </c>
      <c r="Z1062">
        <v>0</v>
      </c>
      <c r="AA1062">
        <v>0</v>
      </c>
      <c r="AB1062">
        <v>0</v>
      </c>
      <c r="AC1062">
        <v>0</v>
      </c>
      <c r="AD1062">
        <v>1330</v>
      </c>
    </row>
    <row r="1063" spans="1:30" x14ac:dyDescent="0.25">
      <c r="H1063" t="s">
        <v>2218</v>
      </c>
    </row>
    <row r="1064" spans="1:30" x14ac:dyDescent="0.25">
      <c r="A1064">
        <v>529</v>
      </c>
      <c r="B1064">
        <v>3833</v>
      </c>
      <c r="C1064" t="s">
        <v>2219</v>
      </c>
      <c r="D1064" t="s">
        <v>166</v>
      </c>
      <c r="E1064" t="s">
        <v>57</v>
      </c>
      <c r="F1064" t="s">
        <v>2220</v>
      </c>
      <c r="G1064" t="str">
        <f>"201406000583"</f>
        <v>201406000583</v>
      </c>
      <c r="H1064" t="s">
        <v>1040</v>
      </c>
      <c r="I1064">
        <v>0</v>
      </c>
      <c r="J1064">
        <v>0</v>
      </c>
      <c r="K1064">
        <v>0</v>
      </c>
      <c r="L1064">
        <v>0</v>
      </c>
      <c r="M1064">
        <v>0</v>
      </c>
      <c r="N1064">
        <v>70</v>
      </c>
      <c r="O1064">
        <v>0</v>
      </c>
      <c r="P1064">
        <v>0</v>
      </c>
      <c r="Q1064">
        <v>0</v>
      </c>
      <c r="R1064">
        <v>0</v>
      </c>
      <c r="S1064">
        <v>0</v>
      </c>
      <c r="T1064">
        <v>0</v>
      </c>
      <c r="U1064">
        <v>0</v>
      </c>
      <c r="V1064">
        <v>84</v>
      </c>
      <c r="W1064">
        <v>588</v>
      </c>
      <c r="X1064">
        <v>0</v>
      </c>
      <c r="Z1064">
        <v>0</v>
      </c>
      <c r="AA1064">
        <v>0</v>
      </c>
      <c r="AB1064">
        <v>0</v>
      </c>
      <c r="AC1064">
        <v>0</v>
      </c>
      <c r="AD1064" t="s">
        <v>2221</v>
      </c>
    </row>
    <row r="1065" spans="1:30" x14ac:dyDescent="0.25">
      <c r="H1065" t="s">
        <v>2222</v>
      </c>
    </row>
    <row r="1066" spans="1:30" x14ac:dyDescent="0.25">
      <c r="A1066">
        <v>530</v>
      </c>
      <c r="B1066">
        <v>4183</v>
      </c>
      <c r="C1066" t="s">
        <v>614</v>
      </c>
      <c r="D1066" t="s">
        <v>236</v>
      </c>
      <c r="E1066" t="s">
        <v>49</v>
      </c>
      <c r="F1066" t="s">
        <v>2223</v>
      </c>
      <c r="G1066" t="str">
        <f>"00363536"</f>
        <v>00363536</v>
      </c>
      <c r="H1066">
        <v>737</v>
      </c>
      <c r="I1066">
        <v>0</v>
      </c>
      <c r="J1066">
        <v>0</v>
      </c>
      <c r="K1066">
        <v>0</v>
      </c>
      <c r="L1066">
        <v>0</v>
      </c>
      <c r="M1066">
        <v>0</v>
      </c>
      <c r="N1066">
        <v>30</v>
      </c>
      <c r="O1066">
        <v>0</v>
      </c>
      <c r="P1066">
        <v>0</v>
      </c>
      <c r="Q1066">
        <v>0</v>
      </c>
      <c r="R1066">
        <v>0</v>
      </c>
      <c r="S1066">
        <v>0</v>
      </c>
      <c r="T1066">
        <v>0</v>
      </c>
      <c r="U1066">
        <v>0</v>
      </c>
      <c r="V1066">
        <v>80</v>
      </c>
      <c r="W1066">
        <v>560</v>
      </c>
      <c r="X1066">
        <v>0</v>
      </c>
      <c r="Z1066">
        <v>0</v>
      </c>
      <c r="AA1066">
        <v>0</v>
      </c>
      <c r="AB1066">
        <v>0</v>
      </c>
      <c r="AC1066">
        <v>0</v>
      </c>
      <c r="AD1066">
        <v>1327</v>
      </c>
    </row>
    <row r="1067" spans="1:30" x14ac:dyDescent="0.25">
      <c r="H1067" t="s">
        <v>2224</v>
      </c>
    </row>
    <row r="1068" spans="1:30" x14ac:dyDescent="0.25">
      <c r="A1068">
        <v>531</v>
      </c>
      <c r="B1068">
        <v>1817</v>
      </c>
      <c r="C1068" t="s">
        <v>2225</v>
      </c>
      <c r="D1068" t="s">
        <v>44</v>
      </c>
      <c r="E1068" t="s">
        <v>2226</v>
      </c>
      <c r="F1068" t="s">
        <v>2227</v>
      </c>
      <c r="G1068" t="str">
        <f>"201406000278"</f>
        <v>201406000278</v>
      </c>
      <c r="H1068" t="s">
        <v>2228</v>
      </c>
      <c r="I1068">
        <v>0</v>
      </c>
      <c r="J1068">
        <v>0</v>
      </c>
      <c r="K1068">
        <v>0</v>
      </c>
      <c r="L1068">
        <v>0</v>
      </c>
      <c r="M1068">
        <v>0</v>
      </c>
      <c r="N1068">
        <v>30</v>
      </c>
      <c r="O1068">
        <v>0</v>
      </c>
      <c r="P1068">
        <v>0</v>
      </c>
      <c r="Q1068">
        <v>0</v>
      </c>
      <c r="R1068">
        <v>0</v>
      </c>
      <c r="S1068">
        <v>0</v>
      </c>
      <c r="T1068">
        <v>0</v>
      </c>
      <c r="U1068">
        <v>0</v>
      </c>
      <c r="V1068">
        <v>84</v>
      </c>
      <c r="W1068">
        <v>588</v>
      </c>
      <c r="X1068">
        <v>0</v>
      </c>
      <c r="Z1068">
        <v>0</v>
      </c>
      <c r="AA1068">
        <v>0</v>
      </c>
      <c r="AB1068">
        <v>0</v>
      </c>
      <c r="AC1068">
        <v>0</v>
      </c>
      <c r="AD1068" t="s">
        <v>2229</v>
      </c>
    </row>
    <row r="1069" spans="1:30" x14ac:dyDescent="0.25">
      <c r="H1069" t="s">
        <v>2230</v>
      </c>
    </row>
    <row r="1070" spans="1:30" x14ac:dyDescent="0.25">
      <c r="A1070">
        <v>532</v>
      </c>
      <c r="B1070">
        <v>5955</v>
      </c>
      <c r="C1070" t="s">
        <v>2231</v>
      </c>
      <c r="D1070" t="s">
        <v>283</v>
      </c>
      <c r="E1070" t="s">
        <v>181</v>
      </c>
      <c r="F1070" t="s">
        <v>2232</v>
      </c>
      <c r="G1070" t="str">
        <f>"00222051"</f>
        <v>00222051</v>
      </c>
      <c r="H1070" t="s">
        <v>730</v>
      </c>
      <c r="I1070">
        <v>0</v>
      </c>
      <c r="J1070">
        <v>0</v>
      </c>
      <c r="K1070">
        <v>0</v>
      </c>
      <c r="L1070">
        <v>200</v>
      </c>
      <c r="M1070">
        <v>0</v>
      </c>
      <c r="N1070">
        <v>50</v>
      </c>
      <c r="O1070">
        <v>0</v>
      </c>
      <c r="P1070">
        <v>0</v>
      </c>
      <c r="Q1070">
        <v>0</v>
      </c>
      <c r="R1070">
        <v>0</v>
      </c>
      <c r="S1070">
        <v>0</v>
      </c>
      <c r="T1070">
        <v>0</v>
      </c>
      <c r="U1070">
        <v>0</v>
      </c>
      <c r="V1070">
        <v>45</v>
      </c>
      <c r="W1070">
        <v>315</v>
      </c>
      <c r="X1070">
        <v>0</v>
      </c>
      <c r="Z1070">
        <v>0</v>
      </c>
      <c r="AA1070">
        <v>0</v>
      </c>
      <c r="AB1070">
        <v>0</v>
      </c>
      <c r="AC1070">
        <v>0</v>
      </c>
      <c r="AD1070" t="s">
        <v>2233</v>
      </c>
    </row>
    <row r="1071" spans="1:30" x14ac:dyDescent="0.25">
      <c r="H1071" t="s">
        <v>2234</v>
      </c>
    </row>
    <row r="1072" spans="1:30" x14ac:dyDescent="0.25">
      <c r="A1072">
        <v>533</v>
      </c>
      <c r="B1072">
        <v>6290</v>
      </c>
      <c r="C1072" t="s">
        <v>1187</v>
      </c>
      <c r="D1072" t="s">
        <v>27</v>
      </c>
      <c r="E1072" t="s">
        <v>102</v>
      </c>
      <c r="F1072" t="s">
        <v>2235</v>
      </c>
      <c r="G1072" t="str">
        <f>"00194066"</f>
        <v>00194066</v>
      </c>
      <c r="H1072">
        <v>715</v>
      </c>
      <c r="I1072">
        <v>0</v>
      </c>
      <c r="J1072">
        <v>0</v>
      </c>
      <c r="K1072">
        <v>0</v>
      </c>
      <c r="L1072">
        <v>0</v>
      </c>
      <c r="M1072">
        <v>0</v>
      </c>
      <c r="N1072">
        <v>30</v>
      </c>
      <c r="O1072">
        <v>0</v>
      </c>
      <c r="P1072">
        <v>0</v>
      </c>
      <c r="Q1072">
        <v>0</v>
      </c>
      <c r="R1072">
        <v>0</v>
      </c>
      <c r="S1072">
        <v>0</v>
      </c>
      <c r="T1072">
        <v>0</v>
      </c>
      <c r="U1072">
        <v>0</v>
      </c>
      <c r="V1072">
        <v>83</v>
      </c>
      <c r="W1072">
        <v>581</v>
      </c>
      <c r="X1072">
        <v>0</v>
      </c>
      <c r="Z1072">
        <v>0</v>
      </c>
      <c r="AA1072">
        <v>0</v>
      </c>
      <c r="AB1072">
        <v>0</v>
      </c>
      <c r="AC1072">
        <v>0</v>
      </c>
      <c r="AD1072">
        <v>1326</v>
      </c>
    </row>
    <row r="1073" spans="1:30" x14ac:dyDescent="0.25">
      <c r="H1073" t="s">
        <v>2236</v>
      </c>
    </row>
    <row r="1074" spans="1:30" x14ac:dyDescent="0.25">
      <c r="A1074">
        <v>534</v>
      </c>
      <c r="B1074">
        <v>4653</v>
      </c>
      <c r="C1074" t="s">
        <v>2237</v>
      </c>
      <c r="D1074" t="s">
        <v>180</v>
      </c>
      <c r="E1074" t="s">
        <v>389</v>
      </c>
      <c r="F1074" t="s">
        <v>2238</v>
      </c>
      <c r="G1074" t="str">
        <f>"00285103"</f>
        <v>00285103</v>
      </c>
      <c r="H1074" t="s">
        <v>1465</v>
      </c>
      <c r="I1074">
        <v>0</v>
      </c>
      <c r="J1074">
        <v>0</v>
      </c>
      <c r="K1074">
        <v>0</v>
      </c>
      <c r="L1074">
        <v>0</v>
      </c>
      <c r="M1074">
        <v>0</v>
      </c>
      <c r="N1074">
        <v>70</v>
      </c>
      <c r="O1074">
        <v>0</v>
      </c>
      <c r="P1074">
        <v>0</v>
      </c>
      <c r="Q1074">
        <v>0</v>
      </c>
      <c r="R1074">
        <v>0</v>
      </c>
      <c r="S1074">
        <v>0</v>
      </c>
      <c r="T1074">
        <v>0</v>
      </c>
      <c r="U1074">
        <v>0</v>
      </c>
      <c r="V1074">
        <v>75</v>
      </c>
      <c r="W1074">
        <v>525</v>
      </c>
      <c r="X1074">
        <v>0</v>
      </c>
      <c r="Z1074">
        <v>2</v>
      </c>
      <c r="AA1074">
        <v>0</v>
      </c>
      <c r="AB1074">
        <v>0</v>
      </c>
      <c r="AC1074">
        <v>0</v>
      </c>
      <c r="AD1074" t="s">
        <v>2239</v>
      </c>
    </row>
    <row r="1075" spans="1:30" x14ac:dyDescent="0.25">
      <c r="H1075" t="s">
        <v>2240</v>
      </c>
    </row>
    <row r="1076" spans="1:30" x14ac:dyDescent="0.25">
      <c r="A1076">
        <v>535</v>
      </c>
      <c r="B1076">
        <v>5212</v>
      </c>
      <c r="C1076" t="s">
        <v>2241</v>
      </c>
      <c r="D1076" t="s">
        <v>283</v>
      </c>
      <c r="E1076" t="s">
        <v>181</v>
      </c>
      <c r="F1076" t="s">
        <v>2242</v>
      </c>
      <c r="G1076" t="str">
        <f>"200903000123"</f>
        <v>200903000123</v>
      </c>
      <c r="H1076" t="s">
        <v>427</v>
      </c>
      <c r="I1076">
        <v>0</v>
      </c>
      <c r="J1076">
        <v>0</v>
      </c>
      <c r="K1076">
        <v>0</v>
      </c>
      <c r="L1076">
        <v>0</v>
      </c>
      <c r="M1076">
        <v>0</v>
      </c>
      <c r="N1076">
        <v>30</v>
      </c>
      <c r="O1076">
        <v>0</v>
      </c>
      <c r="P1076">
        <v>0</v>
      </c>
      <c r="Q1076">
        <v>0</v>
      </c>
      <c r="R1076">
        <v>0</v>
      </c>
      <c r="S1076">
        <v>0</v>
      </c>
      <c r="T1076">
        <v>0</v>
      </c>
      <c r="U1076">
        <v>0</v>
      </c>
      <c r="V1076">
        <v>84</v>
      </c>
      <c r="W1076">
        <v>588</v>
      </c>
      <c r="X1076">
        <v>0</v>
      </c>
      <c r="Z1076">
        <v>1</v>
      </c>
      <c r="AA1076">
        <v>0</v>
      </c>
      <c r="AB1076">
        <v>0</v>
      </c>
      <c r="AC1076">
        <v>0</v>
      </c>
      <c r="AD1076" t="s">
        <v>2243</v>
      </c>
    </row>
    <row r="1077" spans="1:30" x14ac:dyDescent="0.25">
      <c r="H1077" t="s">
        <v>351</v>
      </c>
    </row>
    <row r="1078" spans="1:30" x14ac:dyDescent="0.25">
      <c r="A1078">
        <v>536</v>
      </c>
      <c r="B1078">
        <v>3249</v>
      </c>
      <c r="C1078" t="s">
        <v>974</v>
      </c>
      <c r="D1078" t="s">
        <v>191</v>
      </c>
      <c r="E1078" t="s">
        <v>120</v>
      </c>
      <c r="F1078" t="s">
        <v>2244</v>
      </c>
      <c r="G1078" t="str">
        <f>"00221791"</f>
        <v>00221791</v>
      </c>
      <c r="H1078" t="s">
        <v>2245</v>
      </c>
      <c r="I1078">
        <v>0</v>
      </c>
      <c r="J1078">
        <v>0</v>
      </c>
      <c r="K1078">
        <v>0</v>
      </c>
      <c r="L1078">
        <v>0</v>
      </c>
      <c r="M1078">
        <v>0</v>
      </c>
      <c r="N1078">
        <v>70</v>
      </c>
      <c r="O1078">
        <v>0</v>
      </c>
      <c r="P1078">
        <v>0</v>
      </c>
      <c r="Q1078">
        <v>0</v>
      </c>
      <c r="R1078">
        <v>0</v>
      </c>
      <c r="S1078">
        <v>0</v>
      </c>
      <c r="T1078">
        <v>0</v>
      </c>
      <c r="U1078">
        <v>0</v>
      </c>
      <c r="V1078">
        <v>84</v>
      </c>
      <c r="W1078">
        <v>588</v>
      </c>
      <c r="X1078">
        <v>0</v>
      </c>
      <c r="Z1078">
        <v>0</v>
      </c>
      <c r="AA1078">
        <v>0</v>
      </c>
      <c r="AB1078">
        <v>0</v>
      </c>
      <c r="AC1078">
        <v>0</v>
      </c>
      <c r="AD1078" t="s">
        <v>2246</v>
      </c>
    </row>
    <row r="1079" spans="1:30" x14ac:dyDescent="0.25">
      <c r="H1079" t="s">
        <v>2247</v>
      </c>
    </row>
    <row r="1080" spans="1:30" x14ac:dyDescent="0.25">
      <c r="A1080">
        <v>537</v>
      </c>
      <c r="B1080">
        <v>6016</v>
      </c>
      <c r="C1080" t="s">
        <v>2248</v>
      </c>
      <c r="D1080" t="s">
        <v>106</v>
      </c>
      <c r="E1080" t="s">
        <v>45</v>
      </c>
      <c r="F1080" t="s">
        <v>2249</v>
      </c>
      <c r="G1080" t="str">
        <f>"201511042602"</f>
        <v>201511042602</v>
      </c>
      <c r="H1080" t="s">
        <v>415</v>
      </c>
      <c r="I1080">
        <v>0</v>
      </c>
      <c r="J1080">
        <v>0</v>
      </c>
      <c r="K1080">
        <v>0</v>
      </c>
      <c r="L1080">
        <v>0</v>
      </c>
      <c r="M1080">
        <v>0</v>
      </c>
      <c r="N1080">
        <v>0</v>
      </c>
      <c r="O1080">
        <v>0</v>
      </c>
      <c r="P1080">
        <v>0</v>
      </c>
      <c r="Q1080">
        <v>0</v>
      </c>
      <c r="R1080">
        <v>0</v>
      </c>
      <c r="S1080">
        <v>0</v>
      </c>
      <c r="T1080">
        <v>0</v>
      </c>
      <c r="U1080">
        <v>0</v>
      </c>
      <c r="V1080">
        <v>77</v>
      </c>
      <c r="W1080">
        <v>539</v>
      </c>
      <c r="X1080">
        <v>0</v>
      </c>
      <c r="Z1080">
        <v>2</v>
      </c>
      <c r="AA1080">
        <v>0</v>
      </c>
      <c r="AB1080">
        <v>0</v>
      </c>
      <c r="AC1080">
        <v>0</v>
      </c>
      <c r="AD1080" t="s">
        <v>2250</v>
      </c>
    </row>
    <row r="1081" spans="1:30" x14ac:dyDescent="0.25">
      <c r="H1081" t="s">
        <v>2251</v>
      </c>
    </row>
    <row r="1082" spans="1:30" x14ac:dyDescent="0.25">
      <c r="A1082">
        <v>538</v>
      </c>
      <c r="B1082">
        <v>6115</v>
      </c>
      <c r="C1082" t="s">
        <v>2252</v>
      </c>
      <c r="D1082" t="s">
        <v>155</v>
      </c>
      <c r="E1082" t="s">
        <v>309</v>
      </c>
      <c r="F1082" t="s">
        <v>2253</v>
      </c>
      <c r="G1082" t="str">
        <f>"201409006734"</f>
        <v>201409006734</v>
      </c>
      <c r="H1082" t="s">
        <v>2254</v>
      </c>
      <c r="I1082">
        <v>0</v>
      </c>
      <c r="J1082">
        <v>0</v>
      </c>
      <c r="K1082">
        <v>0</v>
      </c>
      <c r="L1082">
        <v>0</v>
      </c>
      <c r="M1082">
        <v>0</v>
      </c>
      <c r="N1082">
        <v>30</v>
      </c>
      <c r="O1082">
        <v>0</v>
      </c>
      <c r="P1082">
        <v>0</v>
      </c>
      <c r="Q1082">
        <v>0</v>
      </c>
      <c r="R1082">
        <v>0</v>
      </c>
      <c r="S1082">
        <v>0</v>
      </c>
      <c r="T1082">
        <v>0</v>
      </c>
      <c r="U1082">
        <v>0</v>
      </c>
      <c r="V1082">
        <v>30</v>
      </c>
      <c r="W1082">
        <v>210</v>
      </c>
      <c r="X1082">
        <v>0</v>
      </c>
      <c r="Z1082">
        <v>2</v>
      </c>
      <c r="AA1082">
        <v>0</v>
      </c>
      <c r="AB1082">
        <v>24</v>
      </c>
      <c r="AC1082">
        <v>408</v>
      </c>
      <c r="AD1082" t="s">
        <v>2255</v>
      </c>
    </row>
    <row r="1083" spans="1:30" x14ac:dyDescent="0.25">
      <c r="H1083" t="s">
        <v>2256</v>
      </c>
    </row>
    <row r="1084" spans="1:30" x14ac:dyDescent="0.25">
      <c r="A1084">
        <v>539</v>
      </c>
      <c r="B1084">
        <v>1605</v>
      </c>
      <c r="C1084" t="s">
        <v>2257</v>
      </c>
      <c r="D1084" t="s">
        <v>27</v>
      </c>
      <c r="E1084" t="s">
        <v>76</v>
      </c>
      <c r="F1084" t="s">
        <v>2258</v>
      </c>
      <c r="G1084" t="str">
        <f>"201406005553"</f>
        <v>201406005553</v>
      </c>
      <c r="H1084">
        <v>704</v>
      </c>
      <c r="I1084">
        <v>0</v>
      </c>
      <c r="J1084">
        <v>0</v>
      </c>
      <c r="K1084">
        <v>0</v>
      </c>
      <c r="L1084">
        <v>0</v>
      </c>
      <c r="M1084">
        <v>0</v>
      </c>
      <c r="N1084">
        <v>30</v>
      </c>
      <c r="O1084">
        <v>0</v>
      </c>
      <c r="P1084">
        <v>0</v>
      </c>
      <c r="Q1084">
        <v>0</v>
      </c>
      <c r="R1084">
        <v>0</v>
      </c>
      <c r="S1084">
        <v>0</v>
      </c>
      <c r="T1084">
        <v>0</v>
      </c>
      <c r="U1084">
        <v>0</v>
      </c>
      <c r="V1084">
        <v>84</v>
      </c>
      <c r="W1084">
        <v>588</v>
      </c>
      <c r="X1084">
        <v>0</v>
      </c>
      <c r="Z1084">
        <v>0</v>
      </c>
      <c r="AA1084">
        <v>0</v>
      </c>
      <c r="AB1084">
        <v>0</v>
      </c>
      <c r="AC1084">
        <v>0</v>
      </c>
      <c r="AD1084">
        <v>1322</v>
      </c>
    </row>
    <row r="1085" spans="1:30" x14ac:dyDescent="0.25">
      <c r="H1085" t="s">
        <v>2259</v>
      </c>
    </row>
    <row r="1086" spans="1:30" x14ac:dyDescent="0.25">
      <c r="A1086">
        <v>540</v>
      </c>
      <c r="B1086">
        <v>1249</v>
      </c>
      <c r="C1086" t="s">
        <v>2260</v>
      </c>
      <c r="D1086" t="s">
        <v>106</v>
      </c>
      <c r="E1086" t="s">
        <v>1048</v>
      </c>
      <c r="F1086" t="s">
        <v>2261</v>
      </c>
      <c r="G1086" t="str">
        <f>"00301725"</f>
        <v>00301725</v>
      </c>
      <c r="H1086">
        <v>704</v>
      </c>
      <c r="I1086">
        <v>0</v>
      </c>
      <c r="J1086">
        <v>0</v>
      </c>
      <c r="K1086">
        <v>0</v>
      </c>
      <c r="L1086">
        <v>0</v>
      </c>
      <c r="M1086">
        <v>0</v>
      </c>
      <c r="N1086">
        <v>30</v>
      </c>
      <c r="O1086">
        <v>0</v>
      </c>
      <c r="P1086">
        <v>0</v>
      </c>
      <c r="Q1086">
        <v>0</v>
      </c>
      <c r="R1086">
        <v>0</v>
      </c>
      <c r="S1086">
        <v>0</v>
      </c>
      <c r="T1086">
        <v>0</v>
      </c>
      <c r="U1086">
        <v>0</v>
      </c>
      <c r="V1086">
        <v>84</v>
      </c>
      <c r="W1086">
        <v>588</v>
      </c>
      <c r="X1086">
        <v>0</v>
      </c>
      <c r="Z1086">
        <v>0</v>
      </c>
      <c r="AA1086">
        <v>0</v>
      </c>
      <c r="AB1086">
        <v>0</v>
      </c>
      <c r="AC1086">
        <v>0</v>
      </c>
      <c r="AD1086">
        <v>1322</v>
      </c>
    </row>
    <row r="1087" spans="1:30" x14ac:dyDescent="0.25">
      <c r="H1087" t="s">
        <v>2262</v>
      </c>
    </row>
    <row r="1088" spans="1:30" x14ac:dyDescent="0.25">
      <c r="A1088">
        <v>541</v>
      </c>
      <c r="B1088">
        <v>3173</v>
      </c>
      <c r="C1088" t="s">
        <v>2263</v>
      </c>
      <c r="D1088" t="s">
        <v>629</v>
      </c>
      <c r="E1088" t="s">
        <v>49</v>
      </c>
      <c r="F1088" t="s">
        <v>2264</v>
      </c>
      <c r="G1088" t="str">
        <f>"00200317"</f>
        <v>00200317</v>
      </c>
      <c r="H1088">
        <v>704</v>
      </c>
      <c r="I1088">
        <v>0</v>
      </c>
      <c r="J1088">
        <v>0</v>
      </c>
      <c r="K1088">
        <v>0</v>
      </c>
      <c r="L1088">
        <v>0</v>
      </c>
      <c r="M1088">
        <v>0</v>
      </c>
      <c r="N1088">
        <v>30</v>
      </c>
      <c r="O1088">
        <v>0</v>
      </c>
      <c r="P1088">
        <v>0</v>
      </c>
      <c r="Q1088">
        <v>0</v>
      </c>
      <c r="R1088">
        <v>0</v>
      </c>
      <c r="S1088">
        <v>0</v>
      </c>
      <c r="T1088">
        <v>0</v>
      </c>
      <c r="U1088">
        <v>0</v>
      </c>
      <c r="V1088">
        <v>84</v>
      </c>
      <c r="W1088">
        <v>588</v>
      </c>
      <c r="X1088">
        <v>0</v>
      </c>
      <c r="Z1088">
        <v>0</v>
      </c>
      <c r="AA1088">
        <v>0</v>
      </c>
      <c r="AB1088">
        <v>0</v>
      </c>
      <c r="AC1088">
        <v>0</v>
      </c>
      <c r="AD1088">
        <v>1322</v>
      </c>
    </row>
    <row r="1089" spans="1:30" x14ac:dyDescent="0.25">
      <c r="H1089" t="s">
        <v>2265</v>
      </c>
    </row>
    <row r="1090" spans="1:30" x14ac:dyDescent="0.25">
      <c r="A1090">
        <v>542</v>
      </c>
      <c r="B1090">
        <v>3618</v>
      </c>
      <c r="C1090" t="s">
        <v>2266</v>
      </c>
      <c r="D1090" t="s">
        <v>39</v>
      </c>
      <c r="E1090" t="s">
        <v>167</v>
      </c>
      <c r="F1090" t="s">
        <v>2267</v>
      </c>
      <c r="G1090" t="str">
        <f>"00019351"</f>
        <v>00019351</v>
      </c>
      <c r="H1090">
        <v>704</v>
      </c>
      <c r="I1090">
        <v>0</v>
      </c>
      <c r="J1090">
        <v>0</v>
      </c>
      <c r="K1090">
        <v>0</v>
      </c>
      <c r="L1090">
        <v>0</v>
      </c>
      <c r="M1090">
        <v>0</v>
      </c>
      <c r="N1090">
        <v>30</v>
      </c>
      <c r="O1090">
        <v>0</v>
      </c>
      <c r="P1090">
        <v>0</v>
      </c>
      <c r="Q1090">
        <v>0</v>
      </c>
      <c r="R1090">
        <v>0</v>
      </c>
      <c r="S1090">
        <v>0</v>
      </c>
      <c r="T1090">
        <v>0</v>
      </c>
      <c r="U1090">
        <v>0</v>
      </c>
      <c r="V1090">
        <v>84</v>
      </c>
      <c r="W1090">
        <v>588</v>
      </c>
      <c r="X1090">
        <v>0</v>
      </c>
      <c r="Z1090">
        <v>0</v>
      </c>
      <c r="AA1090">
        <v>0</v>
      </c>
      <c r="AB1090">
        <v>0</v>
      </c>
      <c r="AC1090">
        <v>0</v>
      </c>
      <c r="AD1090">
        <v>1322</v>
      </c>
    </row>
    <row r="1091" spans="1:30" x14ac:dyDescent="0.25">
      <c r="H1091" t="s">
        <v>2268</v>
      </c>
    </row>
    <row r="1092" spans="1:30" x14ac:dyDescent="0.25">
      <c r="A1092">
        <v>543</v>
      </c>
      <c r="B1092">
        <v>4960</v>
      </c>
      <c r="C1092" t="s">
        <v>2269</v>
      </c>
      <c r="D1092" t="s">
        <v>218</v>
      </c>
      <c r="E1092" t="s">
        <v>49</v>
      </c>
      <c r="F1092" t="s">
        <v>2270</v>
      </c>
      <c r="G1092" t="str">
        <f>"00035870"</f>
        <v>00035870</v>
      </c>
      <c r="H1092">
        <v>704</v>
      </c>
      <c r="I1092">
        <v>0</v>
      </c>
      <c r="J1092">
        <v>0</v>
      </c>
      <c r="K1092">
        <v>0</v>
      </c>
      <c r="L1092">
        <v>0</v>
      </c>
      <c r="M1092">
        <v>0</v>
      </c>
      <c r="N1092">
        <v>30</v>
      </c>
      <c r="O1092">
        <v>0</v>
      </c>
      <c r="P1092">
        <v>0</v>
      </c>
      <c r="Q1092">
        <v>0</v>
      </c>
      <c r="R1092">
        <v>0</v>
      </c>
      <c r="S1092">
        <v>0</v>
      </c>
      <c r="T1092">
        <v>0</v>
      </c>
      <c r="U1092">
        <v>0</v>
      </c>
      <c r="V1092">
        <v>84</v>
      </c>
      <c r="W1092">
        <v>588</v>
      </c>
      <c r="X1092">
        <v>0</v>
      </c>
      <c r="Z1092">
        <v>0</v>
      </c>
      <c r="AA1092">
        <v>0</v>
      </c>
      <c r="AB1092">
        <v>0</v>
      </c>
      <c r="AC1092">
        <v>0</v>
      </c>
      <c r="AD1092">
        <v>1322</v>
      </c>
    </row>
    <row r="1093" spans="1:30" x14ac:dyDescent="0.25">
      <c r="H1093" t="s">
        <v>2271</v>
      </c>
    </row>
    <row r="1094" spans="1:30" x14ac:dyDescent="0.25">
      <c r="A1094">
        <v>544</v>
      </c>
      <c r="B1094">
        <v>1992</v>
      </c>
      <c r="C1094" t="s">
        <v>2272</v>
      </c>
      <c r="D1094" t="s">
        <v>2273</v>
      </c>
      <c r="E1094" t="s">
        <v>254</v>
      </c>
      <c r="F1094" t="s">
        <v>2274</v>
      </c>
      <c r="G1094" t="str">
        <f>"200804000547"</f>
        <v>200804000547</v>
      </c>
      <c r="H1094">
        <v>704</v>
      </c>
      <c r="I1094">
        <v>0</v>
      </c>
      <c r="J1094">
        <v>0</v>
      </c>
      <c r="K1094">
        <v>0</v>
      </c>
      <c r="L1094">
        <v>0</v>
      </c>
      <c r="M1094">
        <v>0</v>
      </c>
      <c r="N1094">
        <v>30</v>
      </c>
      <c r="O1094">
        <v>0</v>
      </c>
      <c r="P1094">
        <v>0</v>
      </c>
      <c r="Q1094">
        <v>0</v>
      </c>
      <c r="R1094">
        <v>0</v>
      </c>
      <c r="S1094">
        <v>0</v>
      </c>
      <c r="T1094">
        <v>0</v>
      </c>
      <c r="U1094">
        <v>0</v>
      </c>
      <c r="V1094">
        <v>84</v>
      </c>
      <c r="W1094">
        <v>588</v>
      </c>
      <c r="X1094">
        <v>0</v>
      </c>
      <c r="Z1094">
        <v>0</v>
      </c>
      <c r="AA1094">
        <v>0</v>
      </c>
      <c r="AB1094">
        <v>0</v>
      </c>
      <c r="AC1094">
        <v>0</v>
      </c>
      <c r="AD1094">
        <v>1322</v>
      </c>
    </row>
    <row r="1095" spans="1:30" x14ac:dyDescent="0.25">
      <c r="H1095" t="s">
        <v>2275</v>
      </c>
    </row>
    <row r="1096" spans="1:30" x14ac:dyDescent="0.25">
      <c r="A1096">
        <v>545</v>
      </c>
      <c r="B1096">
        <v>2459</v>
      </c>
      <c r="C1096" t="s">
        <v>2276</v>
      </c>
      <c r="D1096" t="s">
        <v>84</v>
      </c>
      <c r="E1096" t="s">
        <v>77</v>
      </c>
      <c r="F1096" t="s">
        <v>2277</v>
      </c>
      <c r="G1096" t="str">
        <f>"00266061"</f>
        <v>00266061</v>
      </c>
      <c r="H1096" t="s">
        <v>476</v>
      </c>
      <c r="I1096">
        <v>0</v>
      </c>
      <c r="J1096">
        <v>0</v>
      </c>
      <c r="K1096">
        <v>0</v>
      </c>
      <c r="L1096">
        <v>0</v>
      </c>
      <c r="M1096">
        <v>0</v>
      </c>
      <c r="N1096">
        <v>0</v>
      </c>
      <c r="O1096">
        <v>0</v>
      </c>
      <c r="P1096">
        <v>0</v>
      </c>
      <c r="Q1096">
        <v>0</v>
      </c>
      <c r="R1096">
        <v>0</v>
      </c>
      <c r="S1096">
        <v>0</v>
      </c>
      <c r="T1096">
        <v>0</v>
      </c>
      <c r="U1096">
        <v>0</v>
      </c>
      <c r="V1096">
        <v>84</v>
      </c>
      <c r="W1096">
        <v>588</v>
      </c>
      <c r="X1096">
        <v>0</v>
      </c>
      <c r="Z1096">
        <v>0</v>
      </c>
      <c r="AA1096">
        <v>0</v>
      </c>
      <c r="AB1096">
        <v>0</v>
      </c>
      <c r="AC1096">
        <v>0</v>
      </c>
      <c r="AD1096" t="s">
        <v>2278</v>
      </c>
    </row>
    <row r="1097" spans="1:30" x14ac:dyDescent="0.25">
      <c r="H1097" t="s">
        <v>2279</v>
      </c>
    </row>
    <row r="1098" spans="1:30" x14ac:dyDescent="0.25">
      <c r="A1098">
        <v>546</v>
      </c>
      <c r="B1098">
        <v>2077</v>
      </c>
      <c r="C1098" t="s">
        <v>2280</v>
      </c>
      <c r="D1098" t="s">
        <v>525</v>
      </c>
      <c r="E1098" t="s">
        <v>2281</v>
      </c>
      <c r="F1098" t="s">
        <v>2282</v>
      </c>
      <c r="G1098" t="str">
        <f>"00155348"</f>
        <v>00155348</v>
      </c>
      <c r="H1098" t="s">
        <v>215</v>
      </c>
      <c r="I1098">
        <v>0</v>
      </c>
      <c r="J1098">
        <v>0</v>
      </c>
      <c r="K1098">
        <v>0</v>
      </c>
      <c r="L1098">
        <v>0</v>
      </c>
      <c r="M1098">
        <v>0</v>
      </c>
      <c r="N1098">
        <v>0</v>
      </c>
      <c r="O1098">
        <v>0</v>
      </c>
      <c r="P1098">
        <v>0</v>
      </c>
      <c r="Q1098">
        <v>0</v>
      </c>
      <c r="R1098">
        <v>0</v>
      </c>
      <c r="S1098">
        <v>0</v>
      </c>
      <c r="T1098">
        <v>0</v>
      </c>
      <c r="U1098">
        <v>0</v>
      </c>
      <c r="V1098">
        <v>84</v>
      </c>
      <c r="W1098">
        <v>588</v>
      </c>
      <c r="X1098">
        <v>0</v>
      </c>
      <c r="Z1098">
        <v>2</v>
      </c>
      <c r="AA1098">
        <v>0</v>
      </c>
      <c r="AB1098">
        <v>0</v>
      </c>
      <c r="AC1098">
        <v>0</v>
      </c>
      <c r="AD1098" t="s">
        <v>2283</v>
      </c>
    </row>
    <row r="1099" spans="1:30" x14ac:dyDescent="0.25">
      <c r="H1099" t="s">
        <v>2284</v>
      </c>
    </row>
    <row r="1100" spans="1:30" x14ac:dyDescent="0.25">
      <c r="A1100">
        <v>547</v>
      </c>
      <c r="B1100">
        <v>2567</v>
      </c>
      <c r="C1100" t="s">
        <v>2285</v>
      </c>
      <c r="D1100" t="s">
        <v>102</v>
      </c>
      <c r="E1100" t="s">
        <v>49</v>
      </c>
      <c r="F1100" t="s">
        <v>2286</v>
      </c>
      <c r="G1100" t="str">
        <f>"00146707"</f>
        <v>00146707</v>
      </c>
      <c r="H1100">
        <v>682</v>
      </c>
      <c r="I1100">
        <v>0</v>
      </c>
      <c r="J1100">
        <v>0</v>
      </c>
      <c r="K1100">
        <v>0</v>
      </c>
      <c r="L1100">
        <v>0</v>
      </c>
      <c r="M1100">
        <v>0</v>
      </c>
      <c r="N1100">
        <v>0</v>
      </c>
      <c r="O1100">
        <v>0</v>
      </c>
      <c r="P1100">
        <v>50</v>
      </c>
      <c r="Q1100">
        <v>0</v>
      </c>
      <c r="R1100">
        <v>0</v>
      </c>
      <c r="S1100">
        <v>0</v>
      </c>
      <c r="T1100">
        <v>0</v>
      </c>
      <c r="U1100">
        <v>0</v>
      </c>
      <c r="V1100">
        <v>84</v>
      </c>
      <c r="W1100">
        <v>588</v>
      </c>
      <c r="X1100">
        <v>0</v>
      </c>
      <c r="Z1100">
        <v>0</v>
      </c>
      <c r="AA1100">
        <v>0</v>
      </c>
      <c r="AB1100">
        <v>0</v>
      </c>
      <c r="AC1100">
        <v>0</v>
      </c>
      <c r="AD1100">
        <v>1320</v>
      </c>
    </row>
    <row r="1101" spans="1:30" x14ac:dyDescent="0.25">
      <c r="H1101" t="s">
        <v>2287</v>
      </c>
    </row>
    <row r="1102" spans="1:30" x14ac:dyDescent="0.25">
      <c r="A1102">
        <v>548</v>
      </c>
      <c r="B1102">
        <v>5932</v>
      </c>
      <c r="C1102" t="s">
        <v>2288</v>
      </c>
      <c r="D1102" t="s">
        <v>2289</v>
      </c>
      <c r="E1102" t="s">
        <v>2290</v>
      </c>
      <c r="F1102">
        <v>151424</v>
      </c>
      <c r="G1102" t="str">
        <f>"201402010871"</f>
        <v>201402010871</v>
      </c>
      <c r="H1102" t="s">
        <v>872</v>
      </c>
      <c r="I1102">
        <v>0</v>
      </c>
      <c r="J1102">
        <v>0</v>
      </c>
      <c r="K1102">
        <v>0</v>
      </c>
      <c r="L1102">
        <v>0</v>
      </c>
      <c r="M1102">
        <v>0</v>
      </c>
      <c r="N1102">
        <v>30</v>
      </c>
      <c r="O1102">
        <v>0</v>
      </c>
      <c r="P1102">
        <v>0</v>
      </c>
      <c r="Q1102">
        <v>0</v>
      </c>
      <c r="R1102">
        <v>0</v>
      </c>
      <c r="S1102">
        <v>0</v>
      </c>
      <c r="T1102">
        <v>0</v>
      </c>
      <c r="U1102">
        <v>0</v>
      </c>
      <c r="V1102">
        <v>84</v>
      </c>
      <c r="W1102">
        <v>588</v>
      </c>
      <c r="X1102">
        <v>0</v>
      </c>
      <c r="Z1102">
        <v>0</v>
      </c>
      <c r="AA1102">
        <v>0</v>
      </c>
      <c r="AB1102">
        <v>0</v>
      </c>
      <c r="AC1102">
        <v>0</v>
      </c>
      <c r="AD1102" t="s">
        <v>2291</v>
      </c>
    </row>
    <row r="1103" spans="1:30" x14ac:dyDescent="0.25">
      <c r="H1103" t="s">
        <v>2292</v>
      </c>
    </row>
    <row r="1104" spans="1:30" x14ac:dyDescent="0.25">
      <c r="A1104">
        <v>549</v>
      </c>
      <c r="B1104">
        <v>6110</v>
      </c>
      <c r="C1104" t="s">
        <v>2293</v>
      </c>
      <c r="D1104" t="s">
        <v>167</v>
      </c>
      <c r="E1104" t="s">
        <v>102</v>
      </c>
      <c r="F1104" t="s">
        <v>2294</v>
      </c>
      <c r="G1104" t="str">
        <f>"00363448"</f>
        <v>00363448</v>
      </c>
      <c r="H1104" t="s">
        <v>872</v>
      </c>
      <c r="I1104">
        <v>0</v>
      </c>
      <c r="J1104">
        <v>0</v>
      </c>
      <c r="K1104">
        <v>0</v>
      </c>
      <c r="L1104">
        <v>0</v>
      </c>
      <c r="M1104">
        <v>0</v>
      </c>
      <c r="N1104">
        <v>30</v>
      </c>
      <c r="O1104">
        <v>0</v>
      </c>
      <c r="P1104">
        <v>0</v>
      </c>
      <c r="Q1104">
        <v>0</v>
      </c>
      <c r="R1104">
        <v>0</v>
      </c>
      <c r="S1104">
        <v>0</v>
      </c>
      <c r="T1104">
        <v>0</v>
      </c>
      <c r="U1104">
        <v>0</v>
      </c>
      <c r="V1104">
        <v>84</v>
      </c>
      <c r="W1104">
        <v>588</v>
      </c>
      <c r="X1104">
        <v>0</v>
      </c>
      <c r="Z1104">
        <v>0</v>
      </c>
      <c r="AA1104">
        <v>0</v>
      </c>
      <c r="AB1104">
        <v>0</v>
      </c>
      <c r="AC1104">
        <v>0</v>
      </c>
      <c r="AD1104" t="s">
        <v>2291</v>
      </c>
    </row>
    <row r="1105" spans="1:30" x14ac:dyDescent="0.25">
      <c r="H1105" t="s">
        <v>2295</v>
      </c>
    </row>
    <row r="1106" spans="1:30" x14ac:dyDescent="0.25">
      <c r="A1106">
        <v>550</v>
      </c>
      <c r="B1106">
        <v>3420</v>
      </c>
      <c r="C1106" t="s">
        <v>2296</v>
      </c>
      <c r="D1106" t="s">
        <v>2297</v>
      </c>
      <c r="E1106" t="s">
        <v>254</v>
      </c>
      <c r="F1106" t="s">
        <v>2298</v>
      </c>
      <c r="G1106" t="str">
        <f>"00363196"</f>
        <v>00363196</v>
      </c>
      <c r="H1106" t="s">
        <v>887</v>
      </c>
      <c r="I1106">
        <v>0</v>
      </c>
      <c r="J1106">
        <v>0</v>
      </c>
      <c r="K1106">
        <v>0</v>
      </c>
      <c r="L1106">
        <v>0</v>
      </c>
      <c r="M1106">
        <v>0</v>
      </c>
      <c r="N1106">
        <v>30</v>
      </c>
      <c r="O1106">
        <v>0</v>
      </c>
      <c r="P1106">
        <v>0</v>
      </c>
      <c r="Q1106">
        <v>0</v>
      </c>
      <c r="R1106">
        <v>0</v>
      </c>
      <c r="S1106">
        <v>0</v>
      </c>
      <c r="T1106">
        <v>0</v>
      </c>
      <c r="U1106">
        <v>0</v>
      </c>
      <c r="V1106">
        <v>71</v>
      </c>
      <c r="W1106">
        <v>497</v>
      </c>
      <c r="X1106">
        <v>0</v>
      </c>
      <c r="Z1106">
        <v>0</v>
      </c>
      <c r="AA1106">
        <v>0</v>
      </c>
      <c r="AB1106">
        <v>5</v>
      </c>
      <c r="AC1106">
        <v>85</v>
      </c>
      <c r="AD1106" t="s">
        <v>2299</v>
      </c>
    </row>
    <row r="1107" spans="1:30" x14ac:dyDescent="0.25">
      <c r="H1107" t="s">
        <v>2300</v>
      </c>
    </row>
    <row r="1108" spans="1:30" x14ac:dyDescent="0.25">
      <c r="A1108">
        <v>551</v>
      </c>
      <c r="B1108">
        <v>3984</v>
      </c>
      <c r="C1108" t="s">
        <v>2301</v>
      </c>
      <c r="D1108" t="s">
        <v>236</v>
      </c>
      <c r="E1108" t="s">
        <v>2302</v>
      </c>
      <c r="F1108" t="s">
        <v>2303</v>
      </c>
      <c r="G1108" t="str">
        <f>"00367632"</f>
        <v>00367632</v>
      </c>
      <c r="H1108" t="s">
        <v>956</v>
      </c>
      <c r="I1108">
        <v>0</v>
      </c>
      <c r="J1108">
        <v>0</v>
      </c>
      <c r="K1108">
        <v>0</v>
      </c>
      <c r="L1108">
        <v>0</v>
      </c>
      <c r="M1108">
        <v>0</v>
      </c>
      <c r="N1108">
        <v>50</v>
      </c>
      <c r="O1108">
        <v>0</v>
      </c>
      <c r="P1108">
        <v>0</v>
      </c>
      <c r="Q1108">
        <v>0</v>
      </c>
      <c r="R1108">
        <v>0</v>
      </c>
      <c r="S1108">
        <v>0</v>
      </c>
      <c r="T1108">
        <v>0</v>
      </c>
      <c r="U1108">
        <v>0</v>
      </c>
      <c r="V1108">
        <v>84</v>
      </c>
      <c r="W1108">
        <v>588</v>
      </c>
      <c r="X1108">
        <v>0</v>
      </c>
      <c r="Z1108">
        <v>0</v>
      </c>
      <c r="AA1108">
        <v>0</v>
      </c>
      <c r="AB1108">
        <v>0</v>
      </c>
      <c r="AC1108">
        <v>0</v>
      </c>
      <c r="AD1108" t="s">
        <v>2304</v>
      </c>
    </row>
    <row r="1109" spans="1:30" x14ac:dyDescent="0.25">
      <c r="H1109" t="s">
        <v>2305</v>
      </c>
    </row>
    <row r="1110" spans="1:30" x14ac:dyDescent="0.25">
      <c r="A1110">
        <v>552</v>
      </c>
      <c r="B1110">
        <v>3141</v>
      </c>
      <c r="C1110" t="s">
        <v>2306</v>
      </c>
      <c r="D1110" t="s">
        <v>106</v>
      </c>
      <c r="E1110" t="s">
        <v>181</v>
      </c>
      <c r="F1110" t="s">
        <v>2307</v>
      </c>
      <c r="G1110" t="str">
        <f>"201406011845"</f>
        <v>201406011845</v>
      </c>
      <c r="H1110" t="s">
        <v>265</v>
      </c>
      <c r="I1110">
        <v>0</v>
      </c>
      <c r="J1110">
        <v>0</v>
      </c>
      <c r="K1110">
        <v>0</v>
      </c>
      <c r="L1110">
        <v>0</v>
      </c>
      <c r="M1110">
        <v>0</v>
      </c>
      <c r="N1110">
        <v>30</v>
      </c>
      <c r="O1110">
        <v>0</v>
      </c>
      <c r="P1110">
        <v>0</v>
      </c>
      <c r="Q1110">
        <v>0</v>
      </c>
      <c r="R1110">
        <v>0</v>
      </c>
      <c r="S1110">
        <v>0</v>
      </c>
      <c r="T1110">
        <v>0</v>
      </c>
      <c r="U1110">
        <v>0</v>
      </c>
      <c r="V1110">
        <v>84</v>
      </c>
      <c r="W1110">
        <v>588</v>
      </c>
      <c r="X1110">
        <v>0</v>
      </c>
      <c r="Z1110">
        <v>0</v>
      </c>
      <c r="AA1110">
        <v>0</v>
      </c>
      <c r="AB1110">
        <v>0</v>
      </c>
      <c r="AC1110">
        <v>0</v>
      </c>
      <c r="AD1110" t="s">
        <v>2308</v>
      </c>
    </row>
    <row r="1111" spans="1:30" x14ac:dyDescent="0.25">
      <c r="H1111" t="s">
        <v>2309</v>
      </c>
    </row>
    <row r="1112" spans="1:30" x14ac:dyDescent="0.25">
      <c r="A1112">
        <v>553</v>
      </c>
      <c r="B1112">
        <v>2872</v>
      </c>
      <c r="C1112" t="s">
        <v>2310</v>
      </c>
      <c r="D1112" t="s">
        <v>180</v>
      </c>
      <c r="E1112" t="s">
        <v>77</v>
      </c>
      <c r="F1112" t="s">
        <v>2311</v>
      </c>
      <c r="G1112" t="str">
        <f>"201405000287"</f>
        <v>201405000287</v>
      </c>
      <c r="H1112" t="s">
        <v>1822</v>
      </c>
      <c r="I1112">
        <v>0</v>
      </c>
      <c r="J1112">
        <v>0</v>
      </c>
      <c r="K1112">
        <v>0</v>
      </c>
      <c r="L1112">
        <v>0</v>
      </c>
      <c r="M1112">
        <v>0</v>
      </c>
      <c r="N1112">
        <v>50</v>
      </c>
      <c r="O1112">
        <v>0</v>
      </c>
      <c r="P1112">
        <v>0</v>
      </c>
      <c r="Q1112">
        <v>0</v>
      </c>
      <c r="R1112">
        <v>0</v>
      </c>
      <c r="S1112">
        <v>0</v>
      </c>
      <c r="T1112">
        <v>0</v>
      </c>
      <c r="U1112">
        <v>0</v>
      </c>
      <c r="V1112">
        <v>63</v>
      </c>
      <c r="W1112">
        <v>441</v>
      </c>
      <c r="X1112">
        <v>0</v>
      </c>
      <c r="Z1112">
        <v>0</v>
      </c>
      <c r="AA1112">
        <v>0</v>
      </c>
      <c r="AB1112">
        <v>0</v>
      </c>
      <c r="AC1112">
        <v>0</v>
      </c>
      <c r="AD1112" t="s">
        <v>2312</v>
      </c>
    </row>
    <row r="1113" spans="1:30" x14ac:dyDescent="0.25">
      <c r="H1113" t="s">
        <v>2313</v>
      </c>
    </row>
    <row r="1114" spans="1:30" x14ac:dyDescent="0.25">
      <c r="A1114">
        <v>554</v>
      </c>
      <c r="B1114">
        <v>3570</v>
      </c>
      <c r="C1114" t="s">
        <v>1535</v>
      </c>
      <c r="D1114" t="s">
        <v>444</v>
      </c>
      <c r="E1114" t="s">
        <v>120</v>
      </c>
      <c r="F1114" t="s">
        <v>2314</v>
      </c>
      <c r="G1114" t="str">
        <f>"00158906"</f>
        <v>00158906</v>
      </c>
      <c r="H1114">
        <v>748</v>
      </c>
      <c r="I1114">
        <v>0</v>
      </c>
      <c r="J1114">
        <v>0</v>
      </c>
      <c r="K1114">
        <v>0</v>
      </c>
      <c r="L1114">
        <v>0</v>
      </c>
      <c r="M1114">
        <v>0</v>
      </c>
      <c r="N1114">
        <v>30</v>
      </c>
      <c r="O1114">
        <v>0</v>
      </c>
      <c r="P1114">
        <v>0</v>
      </c>
      <c r="Q1114">
        <v>0</v>
      </c>
      <c r="R1114">
        <v>0</v>
      </c>
      <c r="S1114">
        <v>0</v>
      </c>
      <c r="T1114">
        <v>0</v>
      </c>
      <c r="U1114">
        <v>0</v>
      </c>
      <c r="V1114">
        <v>77</v>
      </c>
      <c r="W1114">
        <v>539</v>
      </c>
      <c r="X1114">
        <v>0</v>
      </c>
      <c r="Z1114">
        <v>0</v>
      </c>
      <c r="AA1114">
        <v>0</v>
      </c>
      <c r="AB1114">
        <v>0</v>
      </c>
      <c r="AC1114">
        <v>0</v>
      </c>
      <c r="AD1114">
        <v>1317</v>
      </c>
    </row>
    <row r="1115" spans="1:30" x14ac:dyDescent="0.25">
      <c r="H1115" t="s">
        <v>2315</v>
      </c>
    </row>
    <row r="1116" spans="1:30" x14ac:dyDescent="0.25">
      <c r="A1116">
        <v>555</v>
      </c>
      <c r="B1116">
        <v>5582</v>
      </c>
      <c r="C1116" t="s">
        <v>2306</v>
      </c>
      <c r="D1116" t="s">
        <v>102</v>
      </c>
      <c r="E1116" t="s">
        <v>230</v>
      </c>
      <c r="F1116" t="s">
        <v>2316</v>
      </c>
      <c r="G1116" t="str">
        <f>"201405000419"</f>
        <v>201405000419</v>
      </c>
      <c r="H1116">
        <v>627</v>
      </c>
      <c r="I1116">
        <v>0</v>
      </c>
      <c r="J1116">
        <v>0</v>
      </c>
      <c r="K1116">
        <v>0</v>
      </c>
      <c r="L1116">
        <v>200</v>
      </c>
      <c r="M1116">
        <v>0</v>
      </c>
      <c r="N1116">
        <v>70</v>
      </c>
      <c r="O1116">
        <v>0</v>
      </c>
      <c r="P1116">
        <v>0</v>
      </c>
      <c r="Q1116">
        <v>0</v>
      </c>
      <c r="R1116">
        <v>0</v>
      </c>
      <c r="S1116">
        <v>0</v>
      </c>
      <c r="T1116">
        <v>0</v>
      </c>
      <c r="U1116">
        <v>0</v>
      </c>
      <c r="V1116">
        <v>60</v>
      </c>
      <c r="W1116">
        <v>420</v>
      </c>
      <c r="X1116">
        <v>0</v>
      </c>
      <c r="Z1116">
        <v>0</v>
      </c>
      <c r="AA1116">
        <v>0</v>
      </c>
      <c r="AB1116">
        <v>0</v>
      </c>
      <c r="AC1116">
        <v>0</v>
      </c>
      <c r="AD1116">
        <v>1317</v>
      </c>
    </row>
    <row r="1117" spans="1:30" x14ac:dyDescent="0.25">
      <c r="H1117" t="s">
        <v>2317</v>
      </c>
    </row>
    <row r="1118" spans="1:30" x14ac:dyDescent="0.25">
      <c r="A1118">
        <v>556</v>
      </c>
      <c r="B1118">
        <v>2721</v>
      </c>
      <c r="C1118" t="s">
        <v>2318</v>
      </c>
      <c r="D1118" t="s">
        <v>1237</v>
      </c>
      <c r="E1118" t="s">
        <v>181</v>
      </c>
      <c r="F1118" t="s">
        <v>2319</v>
      </c>
      <c r="G1118" t="str">
        <f>"201406001901"</f>
        <v>201406001901</v>
      </c>
      <c r="H1118" t="s">
        <v>573</v>
      </c>
      <c r="I1118">
        <v>0</v>
      </c>
      <c r="J1118">
        <v>0</v>
      </c>
      <c r="K1118">
        <v>0</v>
      </c>
      <c r="L1118">
        <v>0</v>
      </c>
      <c r="M1118">
        <v>0</v>
      </c>
      <c r="N1118">
        <v>30</v>
      </c>
      <c r="O1118">
        <v>0</v>
      </c>
      <c r="P1118">
        <v>0</v>
      </c>
      <c r="Q1118">
        <v>0</v>
      </c>
      <c r="R1118">
        <v>0</v>
      </c>
      <c r="S1118">
        <v>0</v>
      </c>
      <c r="T1118">
        <v>0</v>
      </c>
      <c r="U1118">
        <v>0</v>
      </c>
      <c r="V1118">
        <v>16</v>
      </c>
      <c r="W1118">
        <v>112</v>
      </c>
      <c r="X1118">
        <v>0</v>
      </c>
      <c r="Z1118">
        <v>0</v>
      </c>
      <c r="AA1118">
        <v>0</v>
      </c>
      <c r="AB1118">
        <v>24</v>
      </c>
      <c r="AC1118">
        <v>408</v>
      </c>
      <c r="AD1118" t="s">
        <v>2320</v>
      </c>
    </row>
    <row r="1119" spans="1:30" x14ac:dyDescent="0.25">
      <c r="H1119" t="s">
        <v>2321</v>
      </c>
    </row>
    <row r="1120" spans="1:30" x14ac:dyDescent="0.25">
      <c r="A1120">
        <v>557</v>
      </c>
      <c r="B1120">
        <v>2402</v>
      </c>
      <c r="C1120" t="s">
        <v>2322</v>
      </c>
      <c r="D1120" t="s">
        <v>598</v>
      </c>
      <c r="E1120" t="s">
        <v>120</v>
      </c>
      <c r="F1120" t="s">
        <v>2323</v>
      </c>
      <c r="G1120" t="str">
        <f>"201411002639"</f>
        <v>201411002639</v>
      </c>
      <c r="H1120" t="s">
        <v>900</v>
      </c>
      <c r="I1120">
        <v>0</v>
      </c>
      <c r="J1120">
        <v>0</v>
      </c>
      <c r="K1120">
        <v>0</v>
      </c>
      <c r="L1120">
        <v>0</v>
      </c>
      <c r="M1120">
        <v>0</v>
      </c>
      <c r="N1120">
        <v>30</v>
      </c>
      <c r="O1120">
        <v>0</v>
      </c>
      <c r="P1120">
        <v>0</v>
      </c>
      <c r="Q1120">
        <v>0</v>
      </c>
      <c r="R1120">
        <v>0</v>
      </c>
      <c r="S1120">
        <v>0</v>
      </c>
      <c r="T1120">
        <v>0</v>
      </c>
      <c r="U1120">
        <v>0</v>
      </c>
      <c r="V1120">
        <v>84</v>
      </c>
      <c r="W1120">
        <v>588</v>
      </c>
      <c r="X1120">
        <v>0</v>
      </c>
      <c r="Z1120">
        <v>0</v>
      </c>
      <c r="AA1120">
        <v>0</v>
      </c>
      <c r="AB1120">
        <v>0</v>
      </c>
      <c r="AC1120">
        <v>0</v>
      </c>
      <c r="AD1120" t="s">
        <v>2324</v>
      </c>
    </row>
    <row r="1121" spans="1:30" x14ac:dyDescent="0.25">
      <c r="H1121" t="s">
        <v>2325</v>
      </c>
    </row>
    <row r="1122" spans="1:30" x14ac:dyDescent="0.25">
      <c r="A1122">
        <v>558</v>
      </c>
      <c r="B1122">
        <v>1165</v>
      </c>
      <c r="C1122" t="s">
        <v>2326</v>
      </c>
      <c r="D1122" t="s">
        <v>2153</v>
      </c>
      <c r="E1122" t="s">
        <v>49</v>
      </c>
      <c r="F1122" t="s">
        <v>2327</v>
      </c>
      <c r="G1122" t="str">
        <f>"00305083"</f>
        <v>00305083</v>
      </c>
      <c r="H1122" t="s">
        <v>900</v>
      </c>
      <c r="I1122">
        <v>0</v>
      </c>
      <c r="J1122">
        <v>0</v>
      </c>
      <c r="K1122">
        <v>0</v>
      </c>
      <c r="L1122">
        <v>0</v>
      </c>
      <c r="M1122">
        <v>0</v>
      </c>
      <c r="N1122">
        <v>30</v>
      </c>
      <c r="O1122">
        <v>0</v>
      </c>
      <c r="P1122">
        <v>0</v>
      </c>
      <c r="Q1122">
        <v>0</v>
      </c>
      <c r="R1122">
        <v>0</v>
      </c>
      <c r="S1122">
        <v>0</v>
      </c>
      <c r="T1122">
        <v>0</v>
      </c>
      <c r="U1122">
        <v>0</v>
      </c>
      <c r="V1122">
        <v>84</v>
      </c>
      <c r="W1122">
        <v>588</v>
      </c>
      <c r="X1122">
        <v>0</v>
      </c>
      <c r="Z1122">
        <v>0</v>
      </c>
      <c r="AA1122">
        <v>0</v>
      </c>
      <c r="AB1122">
        <v>0</v>
      </c>
      <c r="AC1122">
        <v>0</v>
      </c>
      <c r="AD1122" t="s">
        <v>2324</v>
      </c>
    </row>
    <row r="1123" spans="1:30" x14ac:dyDescent="0.25">
      <c r="H1123" t="s">
        <v>1327</v>
      </c>
    </row>
    <row r="1124" spans="1:30" x14ac:dyDescent="0.25">
      <c r="A1124">
        <v>559</v>
      </c>
      <c r="B1124">
        <v>3095</v>
      </c>
      <c r="C1124" t="s">
        <v>2328</v>
      </c>
      <c r="D1124" t="s">
        <v>57</v>
      </c>
      <c r="E1124" t="s">
        <v>358</v>
      </c>
      <c r="F1124" t="s">
        <v>2329</v>
      </c>
      <c r="G1124" t="str">
        <f>"00041003"</f>
        <v>00041003</v>
      </c>
      <c r="H1124" t="s">
        <v>1080</v>
      </c>
      <c r="I1124">
        <v>0</v>
      </c>
      <c r="J1124">
        <v>0</v>
      </c>
      <c r="K1124">
        <v>0</v>
      </c>
      <c r="L1124">
        <v>0</v>
      </c>
      <c r="M1124">
        <v>0</v>
      </c>
      <c r="N1124">
        <v>50</v>
      </c>
      <c r="O1124">
        <v>0</v>
      </c>
      <c r="P1124">
        <v>0</v>
      </c>
      <c r="Q1124">
        <v>0</v>
      </c>
      <c r="R1124">
        <v>0</v>
      </c>
      <c r="S1124">
        <v>0</v>
      </c>
      <c r="T1124">
        <v>0</v>
      </c>
      <c r="U1124">
        <v>0</v>
      </c>
      <c r="V1124">
        <v>84</v>
      </c>
      <c r="W1124">
        <v>588</v>
      </c>
      <c r="X1124">
        <v>0</v>
      </c>
      <c r="Z1124">
        <v>0</v>
      </c>
      <c r="AA1124">
        <v>0</v>
      </c>
      <c r="AB1124">
        <v>0</v>
      </c>
      <c r="AC1124">
        <v>0</v>
      </c>
      <c r="AD1124" t="s">
        <v>2330</v>
      </c>
    </row>
    <row r="1125" spans="1:30" x14ac:dyDescent="0.25">
      <c r="H1125" t="s">
        <v>2331</v>
      </c>
    </row>
    <row r="1126" spans="1:30" x14ac:dyDescent="0.25">
      <c r="A1126">
        <v>560</v>
      </c>
      <c r="B1126">
        <v>873</v>
      </c>
      <c r="C1126" t="s">
        <v>2332</v>
      </c>
      <c r="D1126" t="s">
        <v>2273</v>
      </c>
      <c r="E1126" t="s">
        <v>542</v>
      </c>
      <c r="F1126" t="s">
        <v>2333</v>
      </c>
      <c r="G1126" t="str">
        <f>"00255811"</f>
        <v>00255811</v>
      </c>
      <c r="H1126" t="s">
        <v>1549</v>
      </c>
      <c r="I1126">
        <v>0</v>
      </c>
      <c r="J1126">
        <v>0</v>
      </c>
      <c r="K1126">
        <v>0</v>
      </c>
      <c r="L1126">
        <v>0</v>
      </c>
      <c r="M1126">
        <v>0</v>
      </c>
      <c r="N1126">
        <v>30</v>
      </c>
      <c r="O1126">
        <v>0</v>
      </c>
      <c r="P1126">
        <v>0</v>
      </c>
      <c r="Q1126">
        <v>0</v>
      </c>
      <c r="R1126">
        <v>0</v>
      </c>
      <c r="S1126">
        <v>0</v>
      </c>
      <c r="T1126">
        <v>0</v>
      </c>
      <c r="U1126">
        <v>0</v>
      </c>
      <c r="V1126">
        <v>84</v>
      </c>
      <c r="W1126">
        <v>588</v>
      </c>
      <c r="X1126">
        <v>0</v>
      </c>
      <c r="Z1126">
        <v>0</v>
      </c>
      <c r="AA1126">
        <v>0</v>
      </c>
      <c r="AB1126">
        <v>0</v>
      </c>
      <c r="AC1126">
        <v>0</v>
      </c>
      <c r="AD1126" t="s">
        <v>2334</v>
      </c>
    </row>
    <row r="1127" spans="1:30" x14ac:dyDescent="0.25">
      <c r="H1127" t="s">
        <v>2335</v>
      </c>
    </row>
    <row r="1128" spans="1:30" x14ac:dyDescent="0.25">
      <c r="A1128">
        <v>561</v>
      </c>
      <c r="B1128">
        <v>2160</v>
      </c>
      <c r="C1128" t="s">
        <v>2336</v>
      </c>
      <c r="D1128" t="s">
        <v>1304</v>
      </c>
      <c r="E1128" t="s">
        <v>76</v>
      </c>
      <c r="F1128" t="s">
        <v>2337</v>
      </c>
      <c r="G1128" t="str">
        <f>"200904000466"</f>
        <v>200904000466</v>
      </c>
      <c r="H1128" t="s">
        <v>836</v>
      </c>
      <c r="I1128">
        <v>150</v>
      </c>
      <c r="J1128">
        <v>0</v>
      </c>
      <c r="K1128">
        <v>0</v>
      </c>
      <c r="L1128">
        <v>0</v>
      </c>
      <c r="M1128">
        <v>0</v>
      </c>
      <c r="N1128">
        <v>70</v>
      </c>
      <c r="O1128">
        <v>0</v>
      </c>
      <c r="P1128">
        <v>0</v>
      </c>
      <c r="Q1128">
        <v>50</v>
      </c>
      <c r="R1128">
        <v>0</v>
      </c>
      <c r="S1128">
        <v>0</v>
      </c>
      <c r="T1128">
        <v>0</v>
      </c>
      <c r="U1128">
        <v>0</v>
      </c>
      <c r="V1128">
        <v>39</v>
      </c>
      <c r="W1128">
        <v>273</v>
      </c>
      <c r="X1128">
        <v>0</v>
      </c>
      <c r="Z1128">
        <v>0</v>
      </c>
      <c r="AA1128">
        <v>0</v>
      </c>
      <c r="AB1128">
        <v>0</v>
      </c>
      <c r="AC1128">
        <v>0</v>
      </c>
      <c r="AD1128" t="s">
        <v>2338</v>
      </c>
    </row>
    <row r="1129" spans="1:30" x14ac:dyDescent="0.25">
      <c r="H1129" t="s">
        <v>2339</v>
      </c>
    </row>
    <row r="1130" spans="1:30" x14ac:dyDescent="0.25">
      <c r="A1130">
        <v>562</v>
      </c>
      <c r="B1130">
        <v>2390</v>
      </c>
      <c r="C1130" t="s">
        <v>2340</v>
      </c>
      <c r="D1130" t="s">
        <v>44</v>
      </c>
      <c r="E1130" t="s">
        <v>2341</v>
      </c>
      <c r="F1130" t="s">
        <v>2342</v>
      </c>
      <c r="G1130" t="str">
        <f>"00331779"</f>
        <v>00331779</v>
      </c>
      <c r="H1130">
        <v>726</v>
      </c>
      <c r="I1130">
        <v>0</v>
      </c>
      <c r="J1130">
        <v>0</v>
      </c>
      <c r="K1130">
        <v>0</v>
      </c>
      <c r="L1130">
        <v>0</v>
      </c>
      <c r="M1130">
        <v>0</v>
      </c>
      <c r="N1130">
        <v>0</v>
      </c>
      <c r="O1130">
        <v>0</v>
      </c>
      <c r="P1130">
        <v>0</v>
      </c>
      <c r="Q1130">
        <v>0</v>
      </c>
      <c r="R1130">
        <v>0</v>
      </c>
      <c r="S1130">
        <v>0</v>
      </c>
      <c r="T1130">
        <v>0</v>
      </c>
      <c r="U1130">
        <v>0</v>
      </c>
      <c r="V1130">
        <v>84</v>
      </c>
      <c r="W1130">
        <v>588</v>
      </c>
      <c r="X1130">
        <v>0</v>
      </c>
      <c r="Z1130">
        <v>0</v>
      </c>
      <c r="AA1130">
        <v>0</v>
      </c>
      <c r="AB1130">
        <v>0</v>
      </c>
      <c r="AC1130">
        <v>0</v>
      </c>
      <c r="AD1130">
        <v>1314</v>
      </c>
    </row>
    <row r="1131" spans="1:30" x14ac:dyDescent="0.25">
      <c r="H1131" t="s">
        <v>2343</v>
      </c>
    </row>
    <row r="1132" spans="1:30" x14ac:dyDescent="0.25">
      <c r="A1132">
        <v>563</v>
      </c>
      <c r="B1132">
        <v>5019</v>
      </c>
      <c r="C1132" t="s">
        <v>2344</v>
      </c>
      <c r="D1132" t="s">
        <v>598</v>
      </c>
      <c r="E1132" t="s">
        <v>28</v>
      </c>
      <c r="F1132" t="s">
        <v>2345</v>
      </c>
      <c r="G1132" t="str">
        <f>"00201413"</f>
        <v>00201413</v>
      </c>
      <c r="H1132">
        <v>726</v>
      </c>
      <c r="I1132">
        <v>0</v>
      </c>
      <c r="J1132">
        <v>0</v>
      </c>
      <c r="K1132">
        <v>0</v>
      </c>
      <c r="L1132">
        <v>0</v>
      </c>
      <c r="M1132">
        <v>0</v>
      </c>
      <c r="N1132">
        <v>0</v>
      </c>
      <c r="O1132">
        <v>0</v>
      </c>
      <c r="P1132">
        <v>0</v>
      </c>
      <c r="Q1132">
        <v>0</v>
      </c>
      <c r="R1132">
        <v>0</v>
      </c>
      <c r="S1132">
        <v>0</v>
      </c>
      <c r="T1132">
        <v>0</v>
      </c>
      <c r="U1132">
        <v>0</v>
      </c>
      <c r="V1132">
        <v>84</v>
      </c>
      <c r="W1132">
        <v>588</v>
      </c>
      <c r="X1132">
        <v>0</v>
      </c>
      <c r="Z1132">
        <v>0</v>
      </c>
      <c r="AA1132">
        <v>0</v>
      </c>
      <c r="AB1132">
        <v>0</v>
      </c>
      <c r="AC1132">
        <v>0</v>
      </c>
      <c r="AD1132">
        <v>1314</v>
      </c>
    </row>
    <row r="1133" spans="1:30" x14ac:dyDescent="0.25">
      <c r="H1133" t="s">
        <v>2346</v>
      </c>
    </row>
    <row r="1134" spans="1:30" x14ac:dyDescent="0.25">
      <c r="A1134">
        <v>564</v>
      </c>
      <c r="B1134">
        <v>4117</v>
      </c>
      <c r="C1134" t="s">
        <v>2347</v>
      </c>
      <c r="D1134" t="s">
        <v>32</v>
      </c>
      <c r="E1134" t="s">
        <v>743</v>
      </c>
      <c r="F1134" t="s">
        <v>2348</v>
      </c>
      <c r="G1134" t="str">
        <f>"201401000555"</f>
        <v>201401000555</v>
      </c>
      <c r="H1134" t="s">
        <v>855</v>
      </c>
      <c r="I1134">
        <v>0</v>
      </c>
      <c r="J1134">
        <v>0</v>
      </c>
      <c r="K1134">
        <v>0</v>
      </c>
      <c r="L1134">
        <v>0</v>
      </c>
      <c r="M1134">
        <v>0</v>
      </c>
      <c r="N1134">
        <v>30</v>
      </c>
      <c r="O1134">
        <v>0</v>
      </c>
      <c r="P1134">
        <v>0</v>
      </c>
      <c r="Q1134">
        <v>0</v>
      </c>
      <c r="R1134">
        <v>0</v>
      </c>
      <c r="S1134">
        <v>0</v>
      </c>
      <c r="T1134">
        <v>0</v>
      </c>
      <c r="U1134">
        <v>0</v>
      </c>
      <c r="V1134">
        <v>84</v>
      </c>
      <c r="W1134">
        <v>588</v>
      </c>
      <c r="X1134">
        <v>0</v>
      </c>
      <c r="Z1134">
        <v>0</v>
      </c>
      <c r="AA1134">
        <v>0</v>
      </c>
      <c r="AB1134">
        <v>0</v>
      </c>
      <c r="AC1134">
        <v>0</v>
      </c>
      <c r="AD1134" t="s">
        <v>2349</v>
      </c>
    </row>
    <row r="1135" spans="1:30" x14ac:dyDescent="0.25">
      <c r="H1135" t="s">
        <v>2350</v>
      </c>
    </row>
    <row r="1136" spans="1:30" x14ac:dyDescent="0.25">
      <c r="A1136">
        <v>565</v>
      </c>
      <c r="B1136">
        <v>1861</v>
      </c>
      <c r="C1136" t="s">
        <v>201</v>
      </c>
      <c r="D1136" t="s">
        <v>580</v>
      </c>
      <c r="E1136" t="s">
        <v>2351</v>
      </c>
      <c r="F1136" t="s">
        <v>2352</v>
      </c>
      <c r="G1136" t="str">
        <f>"00318459"</f>
        <v>00318459</v>
      </c>
      <c r="H1136">
        <v>715</v>
      </c>
      <c r="I1136">
        <v>0</v>
      </c>
      <c r="J1136">
        <v>0</v>
      </c>
      <c r="K1136">
        <v>0</v>
      </c>
      <c r="L1136">
        <v>0</v>
      </c>
      <c r="M1136">
        <v>0</v>
      </c>
      <c r="N1136">
        <v>0</v>
      </c>
      <c r="O1136">
        <v>0</v>
      </c>
      <c r="P1136">
        <v>0</v>
      </c>
      <c r="Q1136">
        <v>0</v>
      </c>
      <c r="R1136">
        <v>0</v>
      </c>
      <c r="S1136">
        <v>0</v>
      </c>
      <c r="T1136">
        <v>0</v>
      </c>
      <c r="U1136">
        <v>0</v>
      </c>
      <c r="V1136">
        <v>27</v>
      </c>
      <c r="W1136">
        <v>189</v>
      </c>
      <c r="X1136">
        <v>0</v>
      </c>
      <c r="Z1136">
        <v>0</v>
      </c>
      <c r="AA1136">
        <v>0</v>
      </c>
      <c r="AB1136">
        <v>24</v>
      </c>
      <c r="AC1136">
        <v>408</v>
      </c>
      <c r="AD1136">
        <v>1312</v>
      </c>
    </row>
    <row r="1137" spans="1:30" x14ac:dyDescent="0.25">
      <c r="H1137" t="s">
        <v>2353</v>
      </c>
    </row>
    <row r="1138" spans="1:30" x14ac:dyDescent="0.25">
      <c r="A1138">
        <v>566</v>
      </c>
      <c r="B1138">
        <v>3928</v>
      </c>
      <c r="C1138" t="s">
        <v>2354</v>
      </c>
      <c r="D1138" t="s">
        <v>254</v>
      </c>
      <c r="E1138" t="s">
        <v>77</v>
      </c>
      <c r="F1138" t="s">
        <v>2355</v>
      </c>
      <c r="G1138" t="str">
        <f>"201406011826"</f>
        <v>201406011826</v>
      </c>
      <c r="H1138" t="s">
        <v>1301</v>
      </c>
      <c r="I1138">
        <v>0</v>
      </c>
      <c r="J1138">
        <v>0</v>
      </c>
      <c r="K1138">
        <v>0</v>
      </c>
      <c r="L1138">
        <v>200</v>
      </c>
      <c r="M1138">
        <v>0</v>
      </c>
      <c r="N1138">
        <v>70</v>
      </c>
      <c r="O1138">
        <v>0</v>
      </c>
      <c r="P1138">
        <v>0</v>
      </c>
      <c r="Q1138">
        <v>0</v>
      </c>
      <c r="R1138">
        <v>0</v>
      </c>
      <c r="S1138">
        <v>0</v>
      </c>
      <c r="T1138">
        <v>0</v>
      </c>
      <c r="U1138">
        <v>0</v>
      </c>
      <c r="V1138">
        <v>43</v>
      </c>
      <c r="W1138">
        <v>301</v>
      </c>
      <c r="X1138">
        <v>0</v>
      </c>
      <c r="Z1138">
        <v>0</v>
      </c>
      <c r="AA1138">
        <v>0</v>
      </c>
      <c r="AB1138">
        <v>0</v>
      </c>
      <c r="AC1138">
        <v>0</v>
      </c>
      <c r="AD1138" t="s">
        <v>2356</v>
      </c>
    </row>
    <row r="1139" spans="1:30" x14ac:dyDescent="0.25">
      <c r="H1139" t="s">
        <v>2357</v>
      </c>
    </row>
    <row r="1140" spans="1:30" x14ac:dyDescent="0.25">
      <c r="A1140">
        <v>567</v>
      </c>
      <c r="B1140">
        <v>5732</v>
      </c>
      <c r="C1140" t="s">
        <v>2358</v>
      </c>
      <c r="D1140" t="s">
        <v>1480</v>
      </c>
      <c r="E1140" t="s">
        <v>120</v>
      </c>
      <c r="F1140" t="s">
        <v>2359</v>
      </c>
      <c r="G1140" t="str">
        <f>"00255810"</f>
        <v>00255810</v>
      </c>
      <c r="H1140" t="s">
        <v>131</v>
      </c>
      <c r="I1140">
        <v>0</v>
      </c>
      <c r="J1140">
        <v>0</v>
      </c>
      <c r="K1140">
        <v>0</v>
      </c>
      <c r="L1140">
        <v>0</v>
      </c>
      <c r="M1140">
        <v>0</v>
      </c>
      <c r="N1140">
        <v>70</v>
      </c>
      <c r="O1140">
        <v>0</v>
      </c>
      <c r="P1140">
        <v>0</v>
      </c>
      <c r="Q1140">
        <v>0</v>
      </c>
      <c r="R1140">
        <v>0</v>
      </c>
      <c r="S1140">
        <v>0</v>
      </c>
      <c r="T1140">
        <v>0</v>
      </c>
      <c r="U1140">
        <v>0</v>
      </c>
      <c r="V1140">
        <v>67</v>
      </c>
      <c r="W1140">
        <v>469</v>
      </c>
      <c r="X1140">
        <v>0</v>
      </c>
      <c r="Z1140">
        <v>0</v>
      </c>
      <c r="AA1140">
        <v>0</v>
      </c>
      <c r="AB1140">
        <v>0</v>
      </c>
      <c r="AC1140">
        <v>0</v>
      </c>
      <c r="AD1140" t="s">
        <v>2360</v>
      </c>
    </row>
    <row r="1141" spans="1:30" x14ac:dyDescent="0.25">
      <c r="H1141" t="s">
        <v>2361</v>
      </c>
    </row>
    <row r="1142" spans="1:30" x14ac:dyDescent="0.25">
      <c r="A1142">
        <v>568</v>
      </c>
      <c r="B1142">
        <v>5198</v>
      </c>
      <c r="C1142" t="s">
        <v>2362</v>
      </c>
      <c r="D1142" t="s">
        <v>218</v>
      </c>
      <c r="E1142" t="s">
        <v>102</v>
      </c>
      <c r="F1142" t="s">
        <v>2363</v>
      </c>
      <c r="G1142" t="str">
        <f>"00142613"</f>
        <v>00142613</v>
      </c>
      <c r="H1142">
        <v>803</v>
      </c>
      <c r="I1142">
        <v>0</v>
      </c>
      <c r="J1142">
        <v>0</v>
      </c>
      <c r="K1142">
        <v>0</v>
      </c>
      <c r="L1142">
        <v>0</v>
      </c>
      <c r="M1142">
        <v>0</v>
      </c>
      <c r="N1142">
        <v>30</v>
      </c>
      <c r="O1142">
        <v>0</v>
      </c>
      <c r="P1142">
        <v>0</v>
      </c>
      <c r="Q1142">
        <v>0</v>
      </c>
      <c r="R1142">
        <v>0</v>
      </c>
      <c r="S1142">
        <v>0</v>
      </c>
      <c r="T1142">
        <v>0</v>
      </c>
      <c r="U1142">
        <v>0</v>
      </c>
      <c r="V1142">
        <v>10</v>
      </c>
      <c r="W1142">
        <v>70</v>
      </c>
      <c r="X1142">
        <v>0</v>
      </c>
      <c r="Z1142">
        <v>0</v>
      </c>
      <c r="AA1142">
        <v>0</v>
      </c>
      <c r="AB1142">
        <v>24</v>
      </c>
      <c r="AC1142">
        <v>408</v>
      </c>
      <c r="AD1142">
        <v>1311</v>
      </c>
    </row>
    <row r="1143" spans="1:30" x14ac:dyDescent="0.25">
      <c r="H1143" t="s">
        <v>2364</v>
      </c>
    </row>
    <row r="1144" spans="1:30" x14ac:dyDescent="0.25">
      <c r="A1144">
        <v>569</v>
      </c>
      <c r="B1144">
        <v>3912</v>
      </c>
      <c r="C1144" t="s">
        <v>2365</v>
      </c>
      <c r="D1144" t="s">
        <v>1077</v>
      </c>
      <c r="E1144" t="s">
        <v>518</v>
      </c>
      <c r="F1144" t="s">
        <v>2366</v>
      </c>
      <c r="G1144" t="str">
        <f>"00200313"</f>
        <v>00200313</v>
      </c>
      <c r="H1144">
        <v>693</v>
      </c>
      <c r="I1144">
        <v>0</v>
      </c>
      <c r="J1144">
        <v>0</v>
      </c>
      <c r="K1144">
        <v>0</v>
      </c>
      <c r="L1144">
        <v>0</v>
      </c>
      <c r="M1144">
        <v>0</v>
      </c>
      <c r="N1144">
        <v>30</v>
      </c>
      <c r="O1144">
        <v>0</v>
      </c>
      <c r="P1144">
        <v>0</v>
      </c>
      <c r="Q1144">
        <v>0</v>
      </c>
      <c r="R1144">
        <v>0</v>
      </c>
      <c r="S1144">
        <v>0</v>
      </c>
      <c r="T1144">
        <v>0</v>
      </c>
      <c r="U1144">
        <v>0</v>
      </c>
      <c r="V1144">
        <v>84</v>
      </c>
      <c r="W1144">
        <v>588</v>
      </c>
      <c r="X1144">
        <v>0</v>
      </c>
      <c r="Z1144">
        <v>0</v>
      </c>
      <c r="AA1144">
        <v>0</v>
      </c>
      <c r="AB1144">
        <v>0</v>
      </c>
      <c r="AC1144">
        <v>0</v>
      </c>
      <c r="AD1144">
        <v>1311</v>
      </c>
    </row>
    <row r="1145" spans="1:30" x14ac:dyDescent="0.25">
      <c r="H1145" t="s">
        <v>2367</v>
      </c>
    </row>
    <row r="1146" spans="1:30" x14ac:dyDescent="0.25">
      <c r="A1146">
        <v>570</v>
      </c>
      <c r="B1146">
        <v>2734</v>
      </c>
      <c r="C1146" t="s">
        <v>2368</v>
      </c>
      <c r="D1146" t="s">
        <v>120</v>
      </c>
      <c r="E1146" t="s">
        <v>49</v>
      </c>
      <c r="F1146" t="s">
        <v>2369</v>
      </c>
      <c r="G1146" t="str">
        <f>"200805000799"</f>
        <v>200805000799</v>
      </c>
      <c r="H1146">
        <v>693</v>
      </c>
      <c r="I1146">
        <v>0</v>
      </c>
      <c r="J1146">
        <v>0</v>
      </c>
      <c r="K1146">
        <v>0</v>
      </c>
      <c r="L1146">
        <v>0</v>
      </c>
      <c r="M1146">
        <v>0</v>
      </c>
      <c r="N1146">
        <v>30</v>
      </c>
      <c r="O1146">
        <v>0</v>
      </c>
      <c r="P1146">
        <v>0</v>
      </c>
      <c r="Q1146">
        <v>0</v>
      </c>
      <c r="R1146">
        <v>0</v>
      </c>
      <c r="S1146">
        <v>0</v>
      </c>
      <c r="T1146">
        <v>0</v>
      </c>
      <c r="U1146">
        <v>0</v>
      </c>
      <c r="V1146">
        <v>84</v>
      </c>
      <c r="W1146">
        <v>588</v>
      </c>
      <c r="X1146">
        <v>0</v>
      </c>
      <c r="Z1146">
        <v>0</v>
      </c>
      <c r="AA1146">
        <v>0</v>
      </c>
      <c r="AB1146">
        <v>0</v>
      </c>
      <c r="AC1146">
        <v>0</v>
      </c>
      <c r="AD1146">
        <v>1311</v>
      </c>
    </row>
    <row r="1147" spans="1:30" x14ac:dyDescent="0.25">
      <c r="H1147" t="s">
        <v>2370</v>
      </c>
    </row>
    <row r="1148" spans="1:30" x14ac:dyDescent="0.25">
      <c r="A1148">
        <v>571</v>
      </c>
      <c r="B1148">
        <v>3850</v>
      </c>
      <c r="C1148" t="s">
        <v>444</v>
      </c>
      <c r="D1148" t="s">
        <v>2371</v>
      </c>
      <c r="E1148" t="s">
        <v>57</v>
      </c>
      <c r="F1148" t="s">
        <v>2372</v>
      </c>
      <c r="G1148" t="str">
        <f>"00210252"</f>
        <v>00210252</v>
      </c>
      <c r="H1148">
        <v>693</v>
      </c>
      <c r="I1148">
        <v>0</v>
      </c>
      <c r="J1148">
        <v>0</v>
      </c>
      <c r="K1148">
        <v>0</v>
      </c>
      <c r="L1148">
        <v>0</v>
      </c>
      <c r="M1148">
        <v>0</v>
      </c>
      <c r="N1148">
        <v>30</v>
      </c>
      <c r="O1148">
        <v>0</v>
      </c>
      <c r="P1148">
        <v>0</v>
      </c>
      <c r="Q1148">
        <v>0</v>
      </c>
      <c r="R1148">
        <v>0</v>
      </c>
      <c r="S1148">
        <v>0</v>
      </c>
      <c r="T1148">
        <v>0</v>
      </c>
      <c r="U1148">
        <v>0</v>
      </c>
      <c r="V1148">
        <v>84</v>
      </c>
      <c r="W1148">
        <v>588</v>
      </c>
      <c r="X1148">
        <v>0</v>
      </c>
      <c r="Z1148">
        <v>0</v>
      </c>
      <c r="AA1148">
        <v>0</v>
      </c>
      <c r="AB1148">
        <v>0</v>
      </c>
      <c r="AC1148">
        <v>0</v>
      </c>
      <c r="AD1148">
        <v>1311</v>
      </c>
    </row>
    <row r="1149" spans="1:30" x14ac:dyDescent="0.25">
      <c r="H1149" t="s">
        <v>2373</v>
      </c>
    </row>
    <row r="1150" spans="1:30" x14ac:dyDescent="0.25">
      <c r="A1150">
        <v>572</v>
      </c>
      <c r="B1150">
        <v>5332</v>
      </c>
      <c r="C1150" t="s">
        <v>2374</v>
      </c>
      <c r="D1150" t="s">
        <v>589</v>
      </c>
      <c r="E1150" t="s">
        <v>141</v>
      </c>
      <c r="F1150" t="s">
        <v>2375</v>
      </c>
      <c r="G1150" t="str">
        <f>"00361316"</f>
        <v>00361316</v>
      </c>
      <c r="H1150">
        <v>693</v>
      </c>
      <c r="I1150">
        <v>0</v>
      </c>
      <c r="J1150">
        <v>0</v>
      </c>
      <c r="K1150">
        <v>0</v>
      </c>
      <c r="L1150">
        <v>0</v>
      </c>
      <c r="M1150">
        <v>0</v>
      </c>
      <c r="N1150">
        <v>30</v>
      </c>
      <c r="O1150">
        <v>0</v>
      </c>
      <c r="P1150">
        <v>0</v>
      </c>
      <c r="Q1150">
        <v>0</v>
      </c>
      <c r="R1150">
        <v>0</v>
      </c>
      <c r="S1150">
        <v>0</v>
      </c>
      <c r="T1150">
        <v>0</v>
      </c>
      <c r="U1150">
        <v>0</v>
      </c>
      <c r="V1150">
        <v>84</v>
      </c>
      <c r="W1150">
        <v>588</v>
      </c>
      <c r="X1150">
        <v>0</v>
      </c>
      <c r="Z1150">
        <v>0</v>
      </c>
      <c r="AA1150">
        <v>0</v>
      </c>
      <c r="AB1150">
        <v>0</v>
      </c>
      <c r="AC1150">
        <v>0</v>
      </c>
      <c r="AD1150">
        <v>1311</v>
      </c>
    </row>
    <row r="1151" spans="1:30" x14ac:dyDescent="0.25">
      <c r="H1151" t="s">
        <v>2376</v>
      </c>
    </row>
    <row r="1152" spans="1:30" x14ac:dyDescent="0.25">
      <c r="A1152">
        <v>573</v>
      </c>
      <c r="B1152">
        <v>5380</v>
      </c>
      <c r="C1152" t="s">
        <v>2377</v>
      </c>
      <c r="D1152" t="s">
        <v>615</v>
      </c>
      <c r="E1152" t="s">
        <v>358</v>
      </c>
      <c r="F1152" t="s">
        <v>2378</v>
      </c>
      <c r="G1152" t="str">
        <f>"00356458"</f>
        <v>00356458</v>
      </c>
      <c r="H1152">
        <v>693</v>
      </c>
      <c r="I1152">
        <v>0</v>
      </c>
      <c r="J1152">
        <v>0</v>
      </c>
      <c r="K1152">
        <v>0</v>
      </c>
      <c r="L1152">
        <v>0</v>
      </c>
      <c r="M1152">
        <v>0</v>
      </c>
      <c r="N1152">
        <v>30</v>
      </c>
      <c r="O1152">
        <v>0</v>
      </c>
      <c r="P1152">
        <v>0</v>
      </c>
      <c r="Q1152">
        <v>0</v>
      </c>
      <c r="R1152">
        <v>0</v>
      </c>
      <c r="S1152">
        <v>0</v>
      </c>
      <c r="T1152">
        <v>0</v>
      </c>
      <c r="U1152">
        <v>0</v>
      </c>
      <c r="V1152">
        <v>84</v>
      </c>
      <c r="W1152">
        <v>588</v>
      </c>
      <c r="X1152">
        <v>0</v>
      </c>
      <c r="Z1152">
        <v>2</v>
      </c>
      <c r="AA1152">
        <v>0</v>
      </c>
      <c r="AB1152">
        <v>0</v>
      </c>
      <c r="AC1152">
        <v>0</v>
      </c>
      <c r="AD1152">
        <v>1311</v>
      </c>
    </row>
    <row r="1153" spans="1:30" x14ac:dyDescent="0.25">
      <c r="H1153" t="s">
        <v>2379</v>
      </c>
    </row>
    <row r="1154" spans="1:30" x14ac:dyDescent="0.25">
      <c r="A1154">
        <v>574</v>
      </c>
      <c r="B1154">
        <v>4036</v>
      </c>
      <c r="C1154" t="s">
        <v>2380</v>
      </c>
      <c r="D1154" t="s">
        <v>185</v>
      </c>
      <c r="E1154" t="s">
        <v>120</v>
      </c>
      <c r="F1154" t="s">
        <v>2381</v>
      </c>
      <c r="G1154" t="str">
        <f>"201406011934"</f>
        <v>201406011934</v>
      </c>
      <c r="H1154" t="s">
        <v>86</v>
      </c>
      <c r="I1154">
        <v>0</v>
      </c>
      <c r="J1154">
        <v>0</v>
      </c>
      <c r="K1154">
        <v>0</v>
      </c>
      <c r="L1154">
        <v>0</v>
      </c>
      <c r="M1154">
        <v>0</v>
      </c>
      <c r="N1154">
        <v>50</v>
      </c>
      <c r="O1154">
        <v>0</v>
      </c>
      <c r="P1154">
        <v>0</v>
      </c>
      <c r="Q1154">
        <v>0</v>
      </c>
      <c r="R1154">
        <v>0</v>
      </c>
      <c r="S1154">
        <v>0</v>
      </c>
      <c r="T1154">
        <v>0</v>
      </c>
      <c r="U1154">
        <v>0</v>
      </c>
      <c r="V1154">
        <v>72</v>
      </c>
      <c r="W1154">
        <v>504</v>
      </c>
      <c r="X1154">
        <v>0</v>
      </c>
      <c r="Z1154">
        <v>0</v>
      </c>
      <c r="AA1154">
        <v>0</v>
      </c>
      <c r="AB1154">
        <v>0</v>
      </c>
      <c r="AC1154">
        <v>0</v>
      </c>
      <c r="AD1154" t="s">
        <v>2382</v>
      </c>
    </row>
    <row r="1155" spans="1:30" x14ac:dyDescent="0.25">
      <c r="H1155" t="s">
        <v>2383</v>
      </c>
    </row>
    <row r="1156" spans="1:30" x14ac:dyDescent="0.25">
      <c r="A1156">
        <v>575</v>
      </c>
      <c r="B1156">
        <v>5112</v>
      </c>
      <c r="C1156" t="s">
        <v>2384</v>
      </c>
      <c r="D1156" t="s">
        <v>2385</v>
      </c>
      <c r="E1156" t="s">
        <v>368</v>
      </c>
      <c r="F1156" t="s">
        <v>2386</v>
      </c>
      <c r="G1156" t="str">
        <f>"00352851"</f>
        <v>00352851</v>
      </c>
      <c r="H1156" t="s">
        <v>198</v>
      </c>
      <c r="I1156">
        <v>0</v>
      </c>
      <c r="J1156">
        <v>0</v>
      </c>
      <c r="K1156">
        <v>0</v>
      </c>
      <c r="L1156">
        <v>0</v>
      </c>
      <c r="M1156">
        <v>0</v>
      </c>
      <c r="N1156">
        <v>0</v>
      </c>
      <c r="O1156">
        <v>0</v>
      </c>
      <c r="P1156">
        <v>0</v>
      </c>
      <c r="Q1156">
        <v>0</v>
      </c>
      <c r="R1156">
        <v>0</v>
      </c>
      <c r="S1156">
        <v>0</v>
      </c>
      <c r="T1156">
        <v>0</v>
      </c>
      <c r="U1156">
        <v>0</v>
      </c>
      <c r="V1156">
        <v>83</v>
      </c>
      <c r="W1156">
        <v>581</v>
      </c>
      <c r="X1156">
        <v>0</v>
      </c>
      <c r="Z1156">
        <v>0</v>
      </c>
      <c r="AA1156">
        <v>0</v>
      </c>
      <c r="AB1156">
        <v>0</v>
      </c>
      <c r="AC1156">
        <v>0</v>
      </c>
      <c r="AD1156" t="s">
        <v>2387</v>
      </c>
    </row>
    <row r="1157" spans="1:30" x14ac:dyDescent="0.25">
      <c r="H1157" t="s">
        <v>2388</v>
      </c>
    </row>
    <row r="1158" spans="1:30" x14ac:dyDescent="0.25">
      <c r="A1158">
        <v>576</v>
      </c>
      <c r="B1158">
        <v>4996</v>
      </c>
      <c r="C1158" t="s">
        <v>2389</v>
      </c>
      <c r="D1158" t="s">
        <v>254</v>
      </c>
      <c r="E1158" t="s">
        <v>49</v>
      </c>
      <c r="F1158" t="s">
        <v>2390</v>
      </c>
      <c r="G1158" t="str">
        <f>"00353347"</f>
        <v>00353347</v>
      </c>
      <c r="H1158" t="s">
        <v>339</v>
      </c>
      <c r="I1158">
        <v>0</v>
      </c>
      <c r="J1158">
        <v>0</v>
      </c>
      <c r="K1158">
        <v>0</v>
      </c>
      <c r="L1158">
        <v>0</v>
      </c>
      <c r="M1158">
        <v>0</v>
      </c>
      <c r="N1158">
        <v>30</v>
      </c>
      <c r="O1158">
        <v>0</v>
      </c>
      <c r="P1158">
        <v>0</v>
      </c>
      <c r="Q1158">
        <v>0</v>
      </c>
      <c r="R1158">
        <v>0</v>
      </c>
      <c r="S1158">
        <v>0</v>
      </c>
      <c r="T1158">
        <v>0</v>
      </c>
      <c r="U1158">
        <v>0</v>
      </c>
      <c r="V1158">
        <v>75</v>
      </c>
      <c r="W1158">
        <v>525</v>
      </c>
      <c r="X1158">
        <v>0</v>
      </c>
      <c r="Z1158">
        <v>0</v>
      </c>
      <c r="AA1158">
        <v>0</v>
      </c>
      <c r="AB1158">
        <v>0</v>
      </c>
      <c r="AC1158">
        <v>0</v>
      </c>
      <c r="AD1158" t="s">
        <v>2391</v>
      </c>
    </row>
    <row r="1159" spans="1:30" x14ac:dyDescent="0.25">
      <c r="H1159" t="s">
        <v>1527</v>
      </c>
    </row>
    <row r="1160" spans="1:30" x14ac:dyDescent="0.25">
      <c r="A1160">
        <v>577</v>
      </c>
      <c r="B1160">
        <v>2870</v>
      </c>
      <c r="C1160" t="s">
        <v>2392</v>
      </c>
      <c r="D1160" t="s">
        <v>27</v>
      </c>
      <c r="E1160" t="s">
        <v>167</v>
      </c>
      <c r="F1160" t="s">
        <v>2393</v>
      </c>
      <c r="G1160" t="str">
        <f>"201406004213"</f>
        <v>201406004213</v>
      </c>
      <c r="H1160" t="s">
        <v>232</v>
      </c>
      <c r="I1160">
        <v>0</v>
      </c>
      <c r="J1160">
        <v>0</v>
      </c>
      <c r="K1160">
        <v>0</v>
      </c>
      <c r="L1160">
        <v>0</v>
      </c>
      <c r="M1160">
        <v>0</v>
      </c>
      <c r="N1160">
        <v>30</v>
      </c>
      <c r="O1160">
        <v>0</v>
      </c>
      <c r="P1160">
        <v>0</v>
      </c>
      <c r="Q1160">
        <v>0</v>
      </c>
      <c r="R1160">
        <v>0</v>
      </c>
      <c r="S1160">
        <v>0</v>
      </c>
      <c r="T1160">
        <v>0</v>
      </c>
      <c r="U1160">
        <v>0</v>
      </c>
      <c r="V1160">
        <v>14</v>
      </c>
      <c r="W1160">
        <v>98</v>
      </c>
      <c r="X1160">
        <v>0</v>
      </c>
      <c r="Z1160">
        <v>1</v>
      </c>
      <c r="AA1160">
        <v>0</v>
      </c>
      <c r="AB1160">
        <v>24</v>
      </c>
      <c r="AC1160">
        <v>408</v>
      </c>
      <c r="AD1160" t="s">
        <v>2394</v>
      </c>
    </row>
    <row r="1161" spans="1:30" x14ac:dyDescent="0.25">
      <c r="H1161" t="s">
        <v>2395</v>
      </c>
    </row>
    <row r="1162" spans="1:30" x14ac:dyDescent="0.25">
      <c r="A1162">
        <v>578</v>
      </c>
      <c r="B1162">
        <v>2112</v>
      </c>
      <c r="C1162" t="s">
        <v>2396</v>
      </c>
      <c r="D1162" t="s">
        <v>525</v>
      </c>
      <c r="E1162" t="s">
        <v>254</v>
      </c>
      <c r="F1162" t="s">
        <v>2397</v>
      </c>
      <c r="G1162" t="str">
        <f>"201406000404"</f>
        <v>201406000404</v>
      </c>
      <c r="H1162">
        <v>693</v>
      </c>
      <c r="I1162">
        <v>150</v>
      </c>
      <c r="J1162">
        <v>0</v>
      </c>
      <c r="K1162">
        <v>0</v>
      </c>
      <c r="L1162">
        <v>0</v>
      </c>
      <c r="M1162">
        <v>0</v>
      </c>
      <c r="N1162">
        <v>30</v>
      </c>
      <c r="O1162">
        <v>0</v>
      </c>
      <c r="P1162">
        <v>0</v>
      </c>
      <c r="Q1162">
        <v>0</v>
      </c>
      <c r="R1162">
        <v>0</v>
      </c>
      <c r="S1162">
        <v>0</v>
      </c>
      <c r="T1162">
        <v>0</v>
      </c>
      <c r="U1162">
        <v>0</v>
      </c>
      <c r="V1162">
        <v>4</v>
      </c>
      <c r="W1162">
        <v>28</v>
      </c>
      <c r="X1162">
        <v>0</v>
      </c>
      <c r="Z1162">
        <v>1</v>
      </c>
      <c r="AA1162">
        <v>0</v>
      </c>
      <c r="AB1162">
        <v>24</v>
      </c>
      <c r="AC1162">
        <v>408</v>
      </c>
      <c r="AD1162">
        <v>1309</v>
      </c>
    </row>
    <row r="1163" spans="1:30" x14ac:dyDescent="0.25">
      <c r="H1163" t="s">
        <v>2398</v>
      </c>
    </row>
    <row r="1164" spans="1:30" x14ac:dyDescent="0.25">
      <c r="A1164">
        <v>579</v>
      </c>
      <c r="B1164">
        <v>6238</v>
      </c>
      <c r="C1164" t="s">
        <v>2399</v>
      </c>
      <c r="D1164" t="s">
        <v>56</v>
      </c>
      <c r="E1164" t="s">
        <v>445</v>
      </c>
      <c r="F1164" t="s">
        <v>2400</v>
      </c>
      <c r="G1164" t="str">
        <f>"201511022855"</f>
        <v>201511022855</v>
      </c>
      <c r="H1164">
        <v>671</v>
      </c>
      <c r="I1164">
        <v>0</v>
      </c>
      <c r="J1164">
        <v>0</v>
      </c>
      <c r="K1164">
        <v>0</v>
      </c>
      <c r="L1164">
        <v>0</v>
      </c>
      <c r="M1164">
        <v>0</v>
      </c>
      <c r="N1164">
        <v>50</v>
      </c>
      <c r="O1164">
        <v>0</v>
      </c>
      <c r="P1164">
        <v>0</v>
      </c>
      <c r="Q1164">
        <v>0</v>
      </c>
      <c r="R1164">
        <v>0</v>
      </c>
      <c r="S1164">
        <v>0</v>
      </c>
      <c r="T1164">
        <v>0</v>
      </c>
      <c r="U1164">
        <v>0</v>
      </c>
      <c r="V1164">
        <v>84</v>
      </c>
      <c r="W1164">
        <v>588</v>
      </c>
      <c r="X1164">
        <v>0</v>
      </c>
      <c r="Z1164">
        <v>0</v>
      </c>
      <c r="AA1164">
        <v>0</v>
      </c>
      <c r="AB1164">
        <v>0</v>
      </c>
      <c r="AC1164">
        <v>0</v>
      </c>
      <c r="AD1164">
        <v>1309</v>
      </c>
    </row>
    <row r="1165" spans="1:30" x14ac:dyDescent="0.25">
      <c r="H1165" t="s">
        <v>2401</v>
      </c>
    </row>
    <row r="1166" spans="1:30" x14ac:dyDescent="0.25">
      <c r="A1166">
        <v>580</v>
      </c>
      <c r="B1166">
        <v>1930</v>
      </c>
      <c r="C1166" t="s">
        <v>2402</v>
      </c>
      <c r="D1166" t="s">
        <v>113</v>
      </c>
      <c r="E1166" t="s">
        <v>28</v>
      </c>
      <c r="F1166" t="s">
        <v>2403</v>
      </c>
      <c r="G1166" t="str">
        <f>"201401002358"</f>
        <v>201401002358</v>
      </c>
      <c r="H1166">
        <v>858</v>
      </c>
      <c r="I1166">
        <v>0</v>
      </c>
      <c r="J1166">
        <v>0</v>
      </c>
      <c r="K1166">
        <v>0</v>
      </c>
      <c r="L1166">
        <v>0</v>
      </c>
      <c r="M1166">
        <v>0</v>
      </c>
      <c r="N1166">
        <v>30</v>
      </c>
      <c r="O1166">
        <v>0</v>
      </c>
      <c r="P1166">
        <v>0</v>
      </c>
      <c r="Q1166">
        <v>0</v>
      </c>
      <c r="R1166">
        <v>0</v>
      </c>
      <c r="S1166">
        <v>0</v>
      </c>
      <c r="T1166">
        <v>0</v>
      </c>
      <c r="U1166">
        <v>0</v>
      </c>
      <c r="V1166">
        <v>60</v>
      </c>
      <c r="W1166">
        <v>420</v>
      </c>
      <c r="X1166">
        <v>0</v>
      </c>
      <c r="Z1166">
        <v>0</v>
      </c>
      <c r="AA1166">
        <v>0</v>
      </c>
      <c r="AB1166">
        <v>0</v>
      </c>
      <c r="AC1166">
        <v>0</v>
      </c>
      <c r="AD1166">
        <v>1308</v>
      </c>
    </row>
    <row r="1167" spans="1:30" x14ac:dyDescent="0.25">
      <c r="H1167" t="s">
        <v>2404</v>
      </c>
    </row>
    <row r="1168" spans="1:30" x14ac:dyDescent="0.25">
      <c r="A1168">
        <v>581</v>
      </c>
      <c r="B1168">
        <v>5037</v>
      </c>
      <c r="C1168" t="s">
        <v>2405</v>
      </c>
      <c r="D1168" t="s">
        <v>2406</v>
      </c>
      <c r="E1168" t="s">
        <v>2407</v>
      </c>
      <c r="F1168" t="s">
        <v>2408</v>
      </c>
      <c r="G1168" t="str">
        <f>"00166174"</f>
        <v>00166174</v>
      </c>
      <c r="H1168" t="s">
        <v>671</v>
      </c>
      <c r="I1168">
        <v>0</v>
      </c>
      <c r="J1168">
        <v>0</v>
      </c>
      <c r="K1168">
        <v>0</v>
      </c>
      <c r="L1168">
        <v>0</v>
      </c>
      <c r="M1168">
        <v>0</v>
      </c>
      <c r="N1168">
        <v>50</v>
      </c>
      <c r="O1168">
        <v>0</v>
      </c>
      <c r="P1168">
        <v>0</v>
      </c>
      <c r="Q1168">
        <v>0</v>
      </c>
      <c r="R1168">
        <v>0</v>
      </c>
      <c r="S1168">
        <v>0</v>
      </c>
      <c r="T1168">
        <v>0</v>
      </c>
      <c r="U1168">
        <v>0</v>
      </c>
      <c r="V1168">
        <v>51</v>
      </c>
      <c r="W1168">
        <v>357</v>
      </c>
      <c r="X1168">
        <v>0</v>
      </c>
      <c r="Z1168">
        <v>0</v>
      </c>
      <c r="AA1168">
        <v>0</v>
      </c>
      <c r="AB1168">
        <v>0</v>
      </c>
      <c r="AC1168">
        <v>0</v>
      </c>
      <c r="AD1168" t="s">
        <v>2409</v>
      </c>
    </row>
    <row r="1169" spans="1:30" x14ac:dyDescent="0.25">
      <c r="H1169" t="s">
        <v>2410</v>
      </c>
    </row>
    <row r="1170" spans="1:30" x14ac:dyDescent="0.25">
      <c r="A1170">
        <v>582</v>
      </c>
      <c r="B1170">
        <v>5393</v>
      </c>
      <c r="C1170" t="s">
        <v>2411</v>
      </c>
      <c r="D1170" t="s">
        <v>49</v>
      </c>
      <c r="E1170" t="s">
        <v>107</v>
      </c>
      <c r="F1170" t="s">
        <v>2412</v>
      </c>
      <c r="G1170" t="str">
        <f>"00327677"</f>
        <v>00327677</v>
      </c>
      <c r="H1170" t="s">
        <v>2413</v>
      </c>
      <c r="I1170">
        <v>0</v>
      </c>
      <c r="J1170">
        <v>0</v>
      </c>
      <c r="K1170">
        <v>0</v>
      </c>
      <c r="L1170">
        <v>0</v>
      </c>
      <c r="M1170">
        <v>0</v>
      </c>
      <c r="N1170">
        <v>30</v>
      </c>
      <c r="O1170">
        <v>0</v>
      </c>
      <c r="P1170">
        <v>0</v>
      </c>
      <c r="Q1170">
        <v>0</v>
      </c>
      <c r="R1170">
        <v>0</v>
      </c>
      <c r="S1170">
        <v>0</v>
      </c>
      <c r="T1170">
        <v>0</v>
      </c>
      <c r="U1170">
        <v>0</v>
      </c>
      <c r="V1170">
        <v>84</v>
      </c>
      <c r="W1170">
        <v>588</v>
      </c>
      <c r="X1170">
        <v>0</v>
      </c>
      <c r="Z1170">
        <v>0</v>
      </c>
      <c r="AA1170">
        <v>0</v>
      </c>
      <c r="AB1170">
        <v>0</v>
      </c>
      <c r="AC1170">
        <v>0</v>
      </c>
      <c r="AD1170" t="s">
        <v>2414</v>
      </c>
    </row>
    <row r="1171" spans="1:30" x14ac:dyDescent="0.25">
      <c r="H1171" t="s">
        <v>2415</v>
      </c>
    </row>
    <row r="1172" spans="1:30" x14ac:dyDescent="0.25">
      <c r="A1172">
        <v>583</v>
      </c>
      <c r="B1172">
        <v>2016</v>
      </c>
      <c r="C1172" t="s">
        <v>2416</v>
      </c>
      <c r="D1172" t="s">
        <v>2417</v>
      </c>
      <c r="E1172" t="s">
        <v>102</v>
      </c>
      <c r="F1172" t="s">
        <v>2418</v>
      </c>
      <c r="G1172" t="str">
        <f>"00146560"</f>
        <v>00146560</v>
      </c>
      <c r="H1172" t="s">
        <v>2413</v>
      </c>
      <c r="I1172">
        <v>0</v>
      </c>
      <c r="J1172">
        <v>0</v>
      </c>
      <c r="K1172">
        <v>0</v>
      </c>
      <c r="L1172">
        <v>0</v>
      </c>
      <c r="M1172">
        <v>0</v>
      </c>
      <c r="N1172">
        <v>30</v>
      </c>
      <c r="O1172">
        <v>0</v>
      </c>
      <c r="P1172">
        <v>0</v>
      </c>
      <c r="Q1172">
        <v>0</v>
      </c>
      <c r="R1172">
        <v>0</v>
      </c>
      <c r="S1172">
        <v>0</v>
      </c>
      <c r="T1172">
        <v>0</v>
      </c>
      <c r="U1172">
        <v>0</v>
      </c>
      <c r="V1172">
        <v>84</v>
      </c>
      <c r="W1172">
        <v>588</v>
      </c>
      <c r="X1172">
        <v>0</v>
      </c>
      <c r="Z1172">
        <v>1</v>
      </c>
      <c r="AA1172">
        <v>0</v>
      </c>
      <c r="AB1172">
        <v>0</v>
      </c>
      <c r="AC1172">
        <v>0</v>
      </c>
      <c r="AD1172" t="s">
        <v>2414</v>
      </c>
    </row>
    <row r="1173" spans="1:30" x14ac:dyDescent="0.25">
      <c r="H1173" t="s">
        <v>2419</v>
      </c>
    </row>
    <row r="1174" spans="1:30" x14ac:dyDescent="0.25">
      <c r="A1174">
        <v>584</v>
      </c>
      <c r="B1174">
        <v>1020</v>
      </c>
      <c r="C1174" t="s">
        <v>2420</v>
      </c>
      <c r="D1174" t="s">
        <v>490</v>
      </c>
      <c r="E1174" t="s">
        <v>120</v>
      </c>
      <c r="F1174" t="s">
        <v>2421</v>
      </c>
      <c r="G1174" t="str">
        <f>"201406007806"</f>
        <v>201406007806</v>
      </c>
      <c r="H1174" t="s">
        <v>169</v>
      </c>
      <c r="I1174">
        <v>0</v>
      </c>
      <c r="J1174">
        <v>0</v>
      </c>
      <c r="K1174">
        <v>0</v>
      </c>
      <c r="L1174">
        <v>0</v>
      </c>
      <c r="M1174">
        <v>0</v>
      </c>
      <c r="N1174">
        <v>30</v>
      </c>
      <c r="O1174">
        <v>0</v>
      </c>
      <c r="P1174">
        <v>0</v>
      </c>
      <c r="Q1174">
        <v>0</v>
      </c>
      <c r="R1174">
        <v>0</v>
      </c>
      <c r="S1174">
        <v>0</v>
      </c>
      <c r="T1174">
        <v>0</v>
      </c>
      <c r="U1174">
        <v>0</v>
      </c>
      <c r="V1174">
        <v>38</v>
      </c>
      <c r="W1174">
        <v>266</v>
      </c>
      <c r="X1174">
        <v>0</v>
      </c>
      <c r="Z1174">
        <v>0</v>
      </c>
      <c r="AA1174">
        <v>0</v>
      </c>
      <c r="AB1174">
        <v>13</v>
      </c>
      <c r="AC1174">
        <v>221</v>
      </c>
      <c r="AD1174" t="s">
        <v>2422</v>
      </c>
    </row>
    <row r="1175" spans="1:30" x14ac:dyDescent="0.25">
      <c r="H1175" t="s">
        <v>2423</v>
      </c>
    </row>
    <row r="1176" spans="1:30" x14ac:dyDescent="0.25">
      <c r="A1176">
        <v>585</v>
      </c>
      <c r="B1176">
        <v>3068</v>
      </c>
      <c r="C1176" t="s">
        <v>2424</v>
      </c>
      <c r="D1176" t="s">
        <v>95</v>
      </c>
      <c r="E1176" t="s">
        <v>254</v>
      </c>
      <c r="F1176" t="s">
        <v>2425</v>
      </c>
      <c r="G1176" t="str">
        <f>"201601001062"</f>
        <v>201601001062</v>
      </c>
      <c r="H1176" t="s">
        <v>285</v>
      </c>
      <c r="I1176">
        <v>0</v>
      </c>
      <c r="J1176">
        <v>0</v>
      </c>
      <c r="K1176">
        <v>0</v>
      </c>
      <c r="L1176">
        <v>0</v>
      </c>
      <c r="M1176">
        <v>0</v>
      </c>
      <c r="N1176">
        <v>0</v>
      </c>
      <c r="O1176">
        <v>30</v>
      </c>
      <c r="P1176">
        <v>0</v>
      </c>
      <c r="Q1176">
        <v>0</v>
      </c>
      <c r="R1176">
        <v>0</v>
      </c>
      <c r="S1176">
        <v>0</v>
      </c>
      <c r="T1176">
        <v>0</v>
      </c>
      <c r="U1176">
        <v>0</v>
      </c>
      <c r="V1176">
        <v>84</v>
      </c>
      <c r="W1176">
        <v>588</v>
      </c>
      <c r="X1176">
        <v>0</v>
      </c>
      <c r="Z1176">
        <v>0</v>
      </c>
      <c r="AA1176">
        <v>0</v>
      </c>
      <c r="AB1176">
        <v>0</v>
      </c>
      <c r="AC1176">
        <v>0</v>
      </c>
      <c r="AD1176" t="s">
        <v>2426</v>
      </c>
    </row>
    <row r="1177" spans="1:30" x14ac:dyDescent="0.25">
      <c r="H1177" t="s">
        <v>2427</v>
      </c>
    </row>
    <row r="1178" spans="1:30" x14ac:dyDescent="0.25">
      <c r="A1178">
        <v>586</v>
      </c>
      <c r="B1178">
        <v>5660</v>
      </c>
      <c r="C1178" t="s">
        <v>2428</v>
      </c>
      <c r="D1178" t="s">
        <v>106</v>
      </c>
      <c r="E1178" t="s">
        <v>28</v>
      </c>
      <c r="F1178" t="s">
        <v>2429</v>
      </c>
      <c r="G1178" t="str">
        <f>"200802010794"</f>
        <v>200802010794</v>
      </c>
      <c r="H1178" t="s">
        <v>481</v>
      </c>
      <c r="I1178">
        <v>0</v>
      </c>
      <c r="J1178">
        <v>0</v>
      </c>
      <c r="K1178">
        <v>0</v>
      </c>
      <c r="L1178">
        <v>0</v>
      </c>
      <c r="M1178">
        <v>0</v>
      </c>
      <c r="N1178">
        <v>30</v>
      </c>
      <c r="O1178">
        <v>0</v>
      </c>
      <c r="P1178">
        <v>0</v>
      </c>
      <c r="Q1178">
        <v>0</v>
      </c>
      <c r="R1178">
        <v>0</v>
      </c>
      <c r="S1178">
        <v>0</v>
      </c>
      <c r="T1178">
        <v>0</v>
      </c>
      <c r="U1178">
        <v>0</v>
      </c>
      <c r="V1178">
        <v>69</v>
      </c>
      <c r="W1178">
        <v>483</v>
      </c>
      <c r="X1178">
        <v>0</v>
      </c>
      <c r="Z1178">
        <v>0</v>
      </c>
      <c r="AA1178">
        <v>0</v>
      </c>
      <c r="AB1178">
        <v>0</v>
      </c>
      <c r="AC1178">
        <v>0</v>
      </c>
      <c r="AD1178" t="s">
        <v>2430</v>
      </c>
    </row>
    <row r="1179" spans="1:30" x14ac:dyDescent="0.25">
      <c r="H1179" t="s">
        <v>2431</v>
      </c>
    </row>
    <row r="1180" spans="1:30" x14ac:dyDescent="0.25">
      <c r="A1180">
        <v>587</v>
      </c>
      <c r="B1180">
        <v>2969</v>
      </c>
      <c r="C1180" t="s">
        <v>2432</v>
      </c>
      <c r="D1180" t="s">
        <v>2433</v>
      </c>
      <c r="E1180" t="s">
        <v>28</v>
      </c>
      <c r="F1180" t="s">
        <v>2434</v>
      </c>
      <c r="G1180" t="str">
        <f>"00263067"</f>
        <v>00263067</v>
      </c>
      <c r="H1180" t="s">
        <v>2435</v>
      </c>
      <c r="I1180">
        <v>0</v>
      </c>
      <c r="J1180">
        <v>0</v>
      </c>
      <c r="K1180">
        <v>0</v>
      </c>
      <c r="L1180">
        <v>0</v>
      </c>
      <c r="M1180">
        <v>0</v>
      </c>
      <c r="N1180">
        <v>0</v>
      </c>
      <c r="O1180">
        <v>0</v>
      </c>
      <c r="P1180">
        <v>0</v>
      </c>
      <c r="Q1180">
        <v>0</v>
      </c>
      <c r="R1180">
        <v>0</v>
      </c>
      <c r="S1180">
        <v>0</v>
      </c>
      <c r="T1180">
        <v>0</v>
      </c>
      <c r="U1180">
        <v>0</v>
      </c>
      <c r="V1180">
        <v>55</v>
      </c>
      <c r="W1180">
        <v>385</v>
      </c>
      <c r="X1180">
        <v>0</v>
      </c>
      <c r="Z1180">
        <v>1</v>
      </c>
      <c r="AA1180">
        <v>0</v>
      </c>
      <c r="AB1180">
        <v>0</v>
      </c>
      <c r="AC1180">
        <v>0</v>
      </c>
      <c r="AD1180" t="s">
        <v>2436</v>
      </c>
    </row>
    <row r="1181" spans="1:30" x14ac:dyDescent="0.25">
      <c r="H1181">
        <v>1255</v>
      </c>
    </row>
    <row r="1182" spans="1:30" x14ac:dyDescent="0.25">
      <c r="A1182">
        <v>588</v>
      </c>
      <c r="B1182">
        <v>2340</v>
      </c>
      <c r="C1182" t="s">
        <v>2437</v>
      </c>
      <c r="D1182" t="s">
        <v>2438</v>
      </c>
      <c r="E1182" t="s">
        <v>49</v>
      </c>
      <c r="F1182" t="s">
        <v>2439</v>
      </c>
      <c r="G1182" t="str">
        <f>"201406007684"</f>
        <v>201406007684</v>
      </c>
      <c r="H1182" t="s">
        <v>427</v>
      </c>
      <c r="I1182">
        <v>0</v>
      </c>
      <c r="J1182">
        <v>0</v>
      </c>
      <c r="K1182">
        <v>0</v>
      </c>
      <c r="L1182">
        <v>0</v>
      </c>
      <c r="M1182">
        <v>0</v>
      </c>
      <c r="N1182">
        <v>30</v>
      </c>
      <c r="O1182">
        <v>0</v>
      </c>
      <c r="P1182">
        <v>0</v>
      </c>
      <c r="Q1182">
        <v>0</v>
      </c>
      <c r="R1182">
        <v>0</v>
      </c>
      <c r="S1182">
        <v>0</v>
      </c>
      <c r="T1182">
        <v>0</v>
      </c>
      <c r="U1182">
        <v>0</v>
      </c>
      <c r="V1182">
        <v>81</v>
      </c>
      <c r="W1182">
        <v>567</v>
      </c>
      <c r="X1182">
        <v>0</v>
      </c>
      <c r="Z1182">
        <v>0</v>
      </c>
      <c r="AA1182">
        <v>0</v>
      </c>
      <c r="AB1182">
        <v>0</v>
      </c>
      <c r="AC1182">
        <v>0</v>
      </c>
      <c r="AD1182" t="s">
        <v>2440</v>
      </c>
    </row>
    <row r="1183" spans="1:30" x14ac:dyDescent="0.25">
      <c r="H1183" t="s">
        <v>2441</v>
      </c>
    </row>
    <row r="1184" spans="1:30" x14ac:dyDescent="0.25">
      <c r="A1184">
        <v>589</v>
      </c>
      <c r="B1184">
        <v>6092</v>
      </c>
      <c r="C1184" t="s">
        <v>2442</v>
      </c>
      <c r="D1184" t="s">
        <v>218</v>
      </c>
      <c r="E1184" t="s">
        <v>28</v>
      </c>
      <c r="F1184" t="s">
        <v>2443</v>
      </c>
      <c r="G1184" t="str">
        <f>"00293060"</f>
        <v>00293060</v>
      </c>
      <c r="H1184">
        <v>715</v>
      </c>
      <c r="I1184">
        <v>0</v>
      </c>
      <c r="J1184">
        <v>0</v>
      </c>
      <c r="K1184">
        <v>0</v>
      </c>
      <c r="L1184">
        <v>0</v>
      </c>
      <c r="M1184">
        <v>0</v>
      </c>
      <c r="N1184">
        <v>0</v>
      </c>
      <c r="O1184">
        <v>0</v>
      </c>
      <c r="P1184">
        <v>0</v>
      </c>
      <c r="Q1184">
        <v>0</v>
      </c>
      <c r="R1184">
        <v>0</v>
      </c>
      <c r="S1184">
        <v>0</v>
      </c>
      <c r="T1184">
        <v>0</v>
      </c>
      <c r="U1184">
        <v>0</v>
      </c>
      <c r="V1184">
        <v>84</v>
      </c>
      <c r="W1184">
        <v>588</v>
      </c>
      <c r="X1184">
        <v>0</v>
      </c>
      <c r="Z1184">
        <v>2</v>
      </c>
      <c r="AA1184">
        <v>0</v>
      </c>
      <c r="AB1184">
        <v>0</v>
      </c>
      <c r="AC1184">
        <v>0</v>
      </c>
      <c r="AD1184">
        <v>1303</v>
      </c>
    </row>
    <row r="1185" spans="1:30" x14ac:dyDescent="0.25">
      <c r="H1185" t="s">
        <v>2444</v>
      </c>
    </row>
    <row r="1186" spans="1:30" x14ac:dyDescent="0.25">
      <c r="A1186">
        <v>590</v>
      </c>
      <c r="B1186">
        <v>5382</v>
      </c>
      <c r="C1186" t="s">
        <v>2445</v>
      </c>
      <c r="D1186" t="s">
        <v>102</v>
      </c>
      <c r="E1186" t="s">
        <v>2446</v>
      </c>
      <c r="F1186" t="s">
        <v>2447</v>
      </c>
      <c r="G1186" t="str">
        <f>"00364459"</f>
        <v>00364459</v>
      </c>
      <c r="H1186">
        <v>715</v>
      </c>
      <c r="I1186">
        <v>0</v>
      </c>
      <c r="J1186">
        <v>0</v>
      </c>
      <c r="K1186">
        <v>0</v>
      </c>
      <c r="L1186">
        <v>0</v>
      </c>
      <c r="M1186">
        <v>0</v>
      </c>
      <c r="N1186">
        <v>0</v>
      </c>
      <c r="O1186">
        <v>0</v>
      </c>
      <c r="P1186">
        <v>0</v>
      </c>
      <c r="Q1186">
        <v>0</v>
      </c>
      <c r="R1186">
        <v>0</v>
      </c>
      <c r="S1186">
        <v>0</v>
      </c>
      <c r="T1186">
        <v>0</v>
      </c>
      <c r="U1186">
        <v>0</v>
      </c>
      <c r="V1186">
        <v>84</v>
      </c>
      <c r="W1186">
        <v>588</v>
      </c>
      <c r="X1186">
        <v>0</v>
      </c>
      <c r="Z1186">
        <v>2</v>
      </c>
      <c r="AA1186">
        <v>0</v>
      </c>
      <c r="AB1186">
        <v>0</v>
      </c>
      <c r="AC1186">
        <v>0</v>
      </c>
      <c r="AD1186">
        <v>1303</v>
      </c>
    </row>
    <row r="1187" spans="1:30" x14ac:dyDescent="0.25">
      <c r="H1187" t="s">
        <v>2448</v>
      </c>
    </row>
    <row r="1188" spans="1:30" x14ac:dyDescent="0.25">
      <c r="A1188">
        <v>591</v>
      </c>
      <c r="B1188">
        <v>2697</v>
      </c>
      <c r="C1188" t="s">
        <v>2449</v>
      </c>
      <c r="D1188" t="s">
        <v>39</v>
      </c>
      <c r="E1188" t="s">
        <v>255</v>
      </c>
      <c r="F1188" t="s">
        <v>2450</v>
      </c>
      <c r="G1188" t="str">
        <f>"00328594"</f>
        <v>00328594</v>
      </c>
      <c r="H1188" t="s">
        <v>2451</v>
      </c>
      <c r="I1188">
        <v>150</v>
      </c>
      <c r="J1188">
        <v>0</v>
      </c>
      <c r="K1188">
        <v>0</v>
      </c>
      <c r="L1188">
        <v>0</v>
      </c>
      <c r="M1188">
        <v>0</v>
      </c>
      <c r="N1188">
        <v>70</v>
      </c>
      <c r="O1188">
        <v>0</v>
      </c>
      <c r="P1188">
        <v>0</v>
      </c>
      <c r="Q1188">
        <v>0</v>
      </c>
      <c r="R1188">
        <v>30</v>
      </c>
      <c r="S1188">
        <v>0</v>
      </c>
      <c r="T1188">
        <v>0</v>
      </c>
      <c r="U1188">
        <v>0</v>
      </c>
      <c r="V1188">
        <v>29</v>
      </c>
      <c r="W1188">
        <v>203</v>
      </c>
      <c r="X1188">
        <v>0</v>
      </c>
      <c r="Z1188">
        <v>2</v>
      </c>
      <c r="AA1188">
        <v>0</v>
      </c>
      <c r="AB1188">
        <v>0</v>
      </c>
      <c r="AC1188">
        <v>0</v>
      </c>
      <c r="AD1188" t="s">
        <v>2452</v>
      </c>
    </row>
    <row r="1189" spans="1:30" x14ac:dyDescent="0.25">
      <c r="H1189" t="s">
        <v>2453</v>
      </c>
    </row>
    <row r="1190" spans="1:30" x14ac:dyDescent="0.25">
      <c r="A1190">
        <v>592</v>
      </c>
      <c r="B1190">
        <v>3783</v>
      </c>
      <c r="C1190" t="s">
        <v>2454</v>
      </c>
      <c r="D1190" t="s">
        <v>490</v>
      </c>
      <c r="E1190" t="s">
        <v>2455</v>
      </c>
      <c r="F1190" t="s">
        <v>2456</v>
      </c>
      <c r="G1190" t="str">
        <f>"00367081"</f>
        <v>00367081</v>
      </c>
      <c r="H1190" t="s">
        <v>2457</v>
      </c>
      <c r="I1190">
        <v>0</v>
      </c>
      <c r="J1190">
        <v>0</v>
      </c>
      <c r="K1190">
        <v>0</v>
      </c>
      <c r="L1190">
        <v>0</v>
      </c>
      <c r="M1190">
        <v>0</v>
      </c>
      <c r="N1190">
        <v>30</v>
      </c>
      <c r="O1190">
        <v>0</v>
      </c>
      <c r="P1190">
        <v>0</v>
      </c>
      <c r="Q1190">
        <v>0</v>
      </c>
      <c r="R1190">
        <v>0</v>
      </c>
      <c r="S1190">
        <v>0</v>
      </c>
      <c r="T1190">
        <v>0</v>
      </c>
      <c r="U1190">
        <v>0</v>
      </c>
      <c r="V1190">
        <v>84</v>
      </c>
      <c r="W1190">
        <v>588</v>
      </c>
      <c r="X1190">
        <v>0</v>
      </c>
      <c r="Z1190">
        <v>0</v>
      </c>
      <c r="AA1190">
        <v>0</v>
      </c>
      <c r="AB1190">
        <v>0</v>
      </c>
      <c r="AC1190">
        <v>0</v>
      </c>
      <c r="AD1190" t="s">
        <v>2452</v>
      </c>
    </row>
    <row r="1191" spans="1:30" x14ac:dyDescent="0.25">
      <c r="H1191" t="s">
        <v>2458</v>
      </c>
    </row>
    <row r="1192" spans="1:30" x14ac:dyDescent="0.25">
      <c r="A1192">
        <v>593</v>
      </c>
      <c r="B1192">
        <v>2385</v>
      </c>
      <c r="C1192" t="s">
        <v>2459</v>
      </c>
      <c r="D1192" t="s">
        <v>102</v>
      </c>
      <c r="E1192" t="s">
        <v>32</v>
      </c>
      <c r="F1192" t="s">
        <v>2460</v>
      </c>
      <c r="G1192" t="str">
        <f>"201510003687"</f>
        <v>201510003687</v>
      </c>
      <c r="H1192" t="s">
        <v>2457</v>
      </c>
      <c r="I1192">
        <v>0</v>
      </c>
      <c r="J1192">
        <v>0</v>
      </c>
      <c r="K1192">
        <v>0</v>
      </c>
      <c r="L1192">
        <v>0</v>
      </c>
      <c r="M1192">
        <v>0</v>
      </c>
      <c r="N1192">
        <v>30</v>
      </c>
      <c r="O1192">
        <v>0</v>
      </c>
      <c r="P1192">
        <v>0</v>
      </c>
      <c r="Q1192">
        <v>0</v>
      </c>
      <c r="R1192">
        <v>0</v>
      </c>
      <c r="S1192">
        <v>0</v>
      </c>
      <c r="T1192">
        <v>0</v>
      </c>
      <c r="U1192">
        <v>0</v>
      </c>
      <c r="V1192">
        <v>84</v>
      </c>
      <c r="W1192">
        <v>588</v>
      </c>
      <c r="X1192">
        <v>0</v>
      </c>
      <c r="Z1192">
        <v>2</v>
      </c>
      <c r="AA1192">
        <v>0</v>
      </c>
      <c r="AB1192">
        <v>0</v>
      </c>
      <c r="AC1192">
        <v>0</v>
      </c>
      <c r="AD1192" t="s">
        <v>2452</v>
      </c>
    </row>
    <row r="1193" spans="1:30" x14ac:dyDescent="0.25">
      <c r="H1193" t="s">
        <v>2461</v>
      </c>
    </row>
    <row r="1194" spans="1:30" x14ac:dyDescent="0.25">
      <c r="A1194">
        <v>594</v>
      </c>
      <c r="B1194">
        <v>5081</v>
      </c>
      <c r="C1194" t="s">
        <v>2462</v>
      </c>
      <c r="D1194" t="s">
        <v>218</v>
      </c>
      <c r="E1194" t="s">
        <v>389</v>
      </c>
      <c r="F1194" t="s">
        <v>2463</v>
      </c>
      <c r="G1194" t="str">
        <f>"00273232"</f>
        <v>00273232</v>
      </c>
      <c r="H1194" t="s">
        <v>1868</v>
      </c>
      <c r="I1194">
        <v>0</v>
      </c>
      <c r="J1194">
        <v>0</v>
      </c>
      <c r="K1194">
        <v>0</v>
      </c>
      <c r="L1194">
        <v>0</v>
      </c>
      <c r="M1194">
        <v>0</v>
      </c>
      <c r="N1194">
        <v>30</v>
      </c>
      <c r="O1194">
        <v>0</v>
      </c>
      <c r="P1194">
        <v>0</v>
      </c>
      <c r="Q1194">
        <v>0</v>
      </c>
      <c r="R1194">
        <v>0</v>
      </c>
      <c r="S1194">
        <v>0</v>
      </c>
      <c r="T1194">
        <v>0</v>
      </c>
      <c r="U1194">
        <v>0</v>
      </c>
      <c r="V1194">
        <v>75</v>
      </c>
      <c r="W1194">
        <v>525</v>
      </c>
      <c r="X1194">
        <v>0</v>
      </c>
      <c r="Z1194">
        <v>0</v>
      </c>
      <c r="AA1194">
        <v>0</v>
      </c>
      <c r="AB1194">
        <v>0</v>
      </c>
      <c r="AC1194">
        <v>0</v>
      </c>
      <c r="AD1194" t="s">
        <v>2464</v>
      </c>
    </row>
    <row r="1195" spans="1:30" x14ac:dyDescent="0.25">
      <c r="H1195" t="s">
        <v>2465</v>
      </c>
    </row>
    <row r="1196" spans="1:30" x14ac:dyDescent="0.25">
      <c r="A1196">
        <v>595</v>
      </c>
      <c r="B1196">
        <v>2235</v>
      </c>
      <c r="C1196" t="s">
        <v>2466</v>
      </c>
      <c r="D1196" t="s">
        <v>397</v>
      </c>
      <c r="E1196" t="s">
        <v>2467</v>
      </c>
      <c r="F1196" t="s">
        <v>2468</v>
      </c>
      <c r="G1196" t="str">
        <f>"201510000761"</f>
        <v>201510000761</v>
      </c>
      <c r="H1196" t="s">
        <v>363</v>
      </c>
      <c r="I1196">
        <v>0</v>
      </c>
      <c r="J1196">
        <v>0</v>
      </c>
      <c r="K1196">
        <v>0</v>
      </c>
      <c r="L1196">
        <v>0</v>
      </c>
      <c r="M1196">
        <v>0</v>
      </c>
      <c r="N1196">
        <v>30</v>
      </c>
      <c r="O1196">
        <v>0</v>
      </c>
      <c r="P1196">
        <v>0</v>
      </c>
      <c r="Q1196">
        <v>0</v>
      </c>
      <c r="R1196">
        <v>0</v>
      </c>
      <c r="S1196">
        <v>0</v>
      </c>
      <c r="T1196">
        <v>0</v>
      </c>
      <c r="U1196">
        <v>0</v>
      </c>
      <c r="V1196">
        <v>84</v>
      </c>
      <c r="W1196">
        <v>588</v>
      </c>
      <c r="X1196">
        <v>0</v>
      </c>
      <c r="Z1196">
        <v>0</v>
      </c>
      <c r="AA1196">
        <v>0</v>
      </c>
      <c r="AB1196">
        <v>0</v>
      </c>
      <c r="AC1196">
        <v>0</v>
      </c>
      <c r="AD1196" t="s">
        <v>2469</v>
      </c>
    </row>
    <row r="1197" spans="1:30" x14ac:dyDescent="0.25">
      <c r="H1197" t="s">
        <v>2470</v>
      </c>
    </row>
    <row r="1198" spans="1:30" x14ac:dyDescent="0.25">
      <c r="A1198">
        <v>596</v>
      </c>
      <c r="B1198">
        <v>272</v>
      </c>
      <c r="C1198" t="s">
        <v>2471</v>
      </c>
      <c r="D1198" t="s">
        <v>1237</v>
      </c>
      <c r="E1198" t="s">
        <v>102</v>
      </c>
      <c r="F1198" t="s">
        <v>2472</v>
      </c>
      <c r="G1198" t="str">
        <f>"201406010911"</f>
        <v>201406010911</v>
      </c>
      <c r="H1198" t="s">
        <v>2228</v>
      </c>
      <c r="I1198">
        <v>0</v>
      </c>
      <c r="J1198">
        <v>0</v>
      </c>
      <c r="K1198">
        <v>0</v>
      </c>
      <c r="L1198">
        <v>0</v>
      </c>
      <c r="M1198">
        <v>0</v>
      </c>
      <c r="N1198">
        <v>70</v>
      </c>
      <c r="O1198">
        <v>30</v>
      </c>
      <c r="P1198">
        <v>0</v>
      </c>
      <c r="Q1198">
        <v>0</v>
      </c>
      <c r="R1198">
        <v>0</v>
      </c>
      <c r="S1198">
        <v>0</v>
      </c>
      <c r="T1198">
        <v>0</v>
      </c>
      <c r="U1198">
        <v>0</v>
      </c>
      <c r="V1198">
        <v>12</v>
      </c>
      <c r="W1198">
        <v>84</v>
      </c>
      <c r="X1198">
        <v>0</v>
      </c>
      <c r="Z1198">
        <v>2</v>
      </c>
      <c r="AA1198">
        <v>0</v>
      </c>
      <c r="AB1198">
        <v>24</v>
      </c>
      <c r="AC1198">
        <v>408</v>
      </c>
      <c r="AD1198" t="s">
        <v>2473</v>
      </c>
    </row>
    <row r="1199" spans="1:30" x14ac:dyDescent="0.25">
      <c r="H1199" t="s">
        <v>2474</v>
      </c>
    </row>
    <row r="1200" spans="1:30" x14ac:dyDescent="0.25">
      <c r="A1200">
        <v>597</v>
      </c>
      <c r="B1200">
        <v>2635</v>
      </c>
      <c r="C1200" t="s">
        <v>2475</v>
      </c>
      <c r="D1200" t="s">
        <v>218</v>
      </c>
      <c r="E1200" t="s">
        <v>64</v>
      </c>
      <c r="F1200" t="s">
        <v>2476</v>
      </c>
      <c r="G1200" t="str">
        <f>"201405000464"</f>
        <v>201405000464</v>
      </c>
      <c r="H1200">
        <v>682</v>
      </c>
      <c r="I1200">
        <v>0</v>
      </c>
      <c r="J1200">
        <v>0</v>
      </c>
      <c r="K1200">
        <v>0</v>
      </c>
      <c r="L1200">
        <v>0</v>
      </c>
      <c r="M1200">
        <v>0</v>
      </c>
      <c r="N1200">
        <v>30</v>
      </c>
      <c r="O1200">
        <v>0</v>
      </c>
      <c r="P1200">
        <v>0</v>
      </c>
      <c r="Q1200">
        <v>0</v>
      </c>
      <c r="R1200">
        <v>0</v>
      </c>
      <c r="S1200">
        <v>0</v>
      </c>
      <c r="T1200">
        <v>0</v>
      </c>
      <c r="U1200">
        <v>0</v>
      </c>
      <c r="V1200">
        <v>84</v>
      </c>
      <c r="W1200">
        <v>588</v>
      </c>
      <c r="X1200">
        <v>0</v>
      </c>
      <c r="Z1200">
        <v>0</v>
      </c>
      <c r="AA1200">
        <v>0</v>
      </c>
      <c r="AB1200">
        <v>0</v>
      </c>
      <c r="AC1200">
        <v>0</v>
      </c>
      <c r="AD1200">
        <v>1300</v>
      </c>
    </row>
    <row r="1201" spans="1:30" x14ac:dyDescent="0.25">
      <c r="H1201" t="s">
        <v>2477</v>
      </c>
    </row>
    <row r="1202" spans="1:30" x14ac:dyDescent="0.25">
      <c r="A1202">
        <v>598</v>
      </c>
      <c r="B1202">
        <v>3116</v>
      </c>
      <c r="C1202" t="s">
        <v>2478</v>
      </c>
      <c r="D1202" t="s">
        <v>1123</v>
      </c>
      <c r="E1202" t="s">
        <v>102</v>
      </c>
      <c r="F1202" t="s">
        <v>2479</v>
      </c>
      <c r="G1202" t="str">
        <f>"00207958"</f>
        <v>00207958</v>
      </c>
      <c r="H1202">
        <v>682</v>
      </c>
      <c r="I1202">
        <v>0</v>
      </c>
      <c r="J1202">
        <v>0</v>
      </c>
      <c r="K1202">
        <v>0</v>
      </c>
      <c r="L1202">
        <v>0</v>
      </c>
      <c r="M1202">
        <v>0</v>
      </c>
      <c r="N1202">
        <v>30</v>
      </c>
      <c r="O1202">
        <v>0</v>
      </c>
      <c r="P1202">
        <v>0</v>
      </c>
      <c r="Q1202">
        <v>0</v>
      </c>
      <c r="R1202">
        <v>0</v>
      </c>
      <c r="S1202">
        <v>0</v>
      </c>
      <c r="T1202">
        <v>0</v>
      </c>
      <c r="U1202">
        <v>0</v>
      </c>
      <c r="V1202">
        <v>84</v>
      </c>
      <c r="W1202">
        <v>588</v>
      </c>
      <c r="X1202">
        <v>0</v>
      </c>
      <c r="Z1202">
        <v>2</v>
      </c>
      <c r="AA1202">
        <v>0</v>
      </c>
      <c r="AB1202">
        <v>0</v>
      </c>
      <c r="AC1202">
        <v>0</v>
      </c>
      <c r="AD1202">
        <v>1300</v>
      </c>
    </row>
    <row r="1203" spans="1:30" x14ac:dyDescent="0.25">
      <c r="H1203" t="s">
        <v>2480</v>
      </c>
    </row>
    <row r="1204" spans="1:30" x14ac:dyDescent="0.25">
      <c r="A1204">
        <v>599</v>
      </c>
      <c r="B1204">
        <v>5113</v>
      </c>
      <c r="C1204" t="s">
        <v>2368</v>
      </c>
      <c r="D1204" t="s">
        <v>77</v>
      </c>
      <c r="E1204" t="s">
        <v>120</v>
      </c>
      <c r="F1204" t="s">
        <v>2481</v>
      </c>
      <c r="G1204" t="str">
        <f>"00357310"</f>
        <v>00357310</v>
      </c>
      <c r="H1204">
        <v>682</v>
      </c>
      <c r="I1204">
        <v>0</v>
      </c>
      <c r="J1204">
        <v>0</v>
      </c>
      <c r="K1204">
        <v>0</v>
      </c>
      <c r="L1204">
        <v>0</v>
      </c>
      <c r="M1204">
        <v>0</v>
      </c>
      <c r="N1204">
        <v>30</v>
      </c>
      <c r="O1204">
        <v>0</v>
      </c>
      <c r="P1204">
        <v>0</v>
      </c>
      <c r="Q1204">
        <v>0</v>
      </c>
      <c r="R1204">
        <v>0</v>
      </c>
      <c r="S1204">
        <v>0</v>
      </c>
      <c r="T1204">
        <v>0</v>
      </c>
      <c r="U1204">
        <v>0</v>
      </c>
      <c r="V1204">
        <v>84</v>
      </c>
      <c r="W1204">
        <v>588</v>
      </c>
      <c r="X1204">
        <v>0</v>
      </c>
      <c r="Z1204">
        <v>0</v>
      </c>
      <c r="AA1204">
        <v>0</v>
      </c>
      <c r="AB1204">
        <v>0</v>
      </c>
      <c r="AC1204">
        <v>0</v>
      </c>
      <c r="AD1204">
        <v>1300</v>
      </c>
    </row>
    <row r="1205" spans="1:30" x14ac:dyDescent="0.25">
      <c r="H1205" t="s">
        <v>2482</v>
      </c>
    </row>
    <row r="1206" spans="1:30" x14ac:dyDescent="0.25">
      <c r="A1206">
        <v>600</v>
      </c>
      <c r="B1206">
        <v>2253</v>
      </c>
      <c r="C1206" t="s">
        <v>2483</v>
      </c>
      <c r="D1206" t="s">
        <v>2484</v>
      </c>
      <c r="E1206" t="s">
        <v>141</v>
      </c>
      <c r="F1206" t="s">
        <v>2485</v>
      </c>
      <c r="G1206" t="str">
        <f>"201412002770"</f>
        <v>201412002770</v>
      </c>
      <c r="H1206" t="s">
        <v>476</v>
      </c>
      <c r="I1206">
        <v>0</v>
      </c>
      <c r="J1206">
        <v>0</v>
      </c>
      <c r="K1206">
        <v>0</v>
      </c>
      <c r="L1206">
        <v>0</v>
      </c>
      <c r="M1206">
        <v>0</v>
      </c>
      <c r="N1206">
        <v>70</v>
      </c>
      <c r="O1206">
        <v>30</v>
      </c>
      <c r="P1206">
        <v>0</v>
      </c>
      <c r="Q1206">
        <v>0</v>
      </c>
      <c r="R1206">
        <v>0</v>
      </c>
      <c r="S1206">
        <v>0</v>
      </c>
      <c r="T1206">
        <v>0</v>
      </c>
      <c r="U1206">
        <v>0</v>
      </c>
      <c r="V1206">
        <v>35</v>
      </c>
      <c r="W1206">
        <v>245</v>
      </c>
      <c r="X1206">
        <v>0</v>
      </c>
      <c r="Z1206">
        <v>0</v>
      </c>
      <c r="AA1206">
        <v>0</v>
      </c>
      <c r="AB1206">
        <v>13</v>
      </c>
      <c r="AC1206">
        <v>221</v>
      </c>
      <c r="AD1206" t="s">
        <v>2486</v>
      </c>
    </row>
    <row r="1207" spans="1:30" x14ac:dyDescent="0.25">
      <c r="H1207" t="s">
        <v>2487</v>
      </c>
    </row>
    <row r="1208" spans="1:30" x14ac:dyDescent="0.25">
      <c r="A1208">
        <v>601</v>
      </c>
      <c r="B1208">
        <v>4259</v>
      </c>
      <c r="C1208" t="s">
        <v>2488</v>
      </c>
      <c r="D1208" t="s">
        <v>44</v>
      </c>
      <c r="E1208" t="s">
        <v>1016</v>
      </c>
      <c r="F1208" t="s">
        <v>2489</v>
      </c>
      <c r="G1208" t="str">
        <f>"201504005137"</f>
        <v>201504005137</v>
      </c>
      <c r="H1208" t="s">
        <v>2413</v>
      </c>
      <c r="I1208">
        <v>0</v>
      </c>
      <c r="J1208">
        <v>0</v>
      </c>
      <c r="K1208">
        <v>0</v>
      </c>
      <c r="L1208">
        <v>0</v>
      </c>
      <c r="M1208">
        <v>0</v>
      </c>
      <c r="N1208">
        <v>50</v>
      </c>
      <c r="O1208">
        <v>0</v>
      </c>
      <c r="P1208">
        <v>0</v>
      </c>
      <c r="Q1208">
        <v>0</v>
      </c>
      <c r="R1208">
        <v>0</v>
      </c>
      <c r="S1208">
        <v>0</v>
      </c>
      <c r="T1208">
        <v>0</v>
      </c>
      <c r="U1208">
        <v>0</v>
      </c>
      <c r="V1208">
        <v>80</v>
      </c>
      <c r="W1208">
        <v>560</v>
      </c>
      <c r="X1208">
        <v>0</v>
      </c>
      <c r="Z1208">
        <v>0</v>
      </c>
      <c r="AA1208">
        <v>0</v>
      </c>
      <c r="AB1208">
        <v>0</v>
      </c>
      <c r="AC1208">
        <v>0</v>
      </c>
      <c r="AD1208" t="s">
        <v>2486</v>
      </c>
    </row>
    <row r="1209" spans="1:30" x14ac:dyDescent="0.25">
      <c r="H1209" t="s">
        <v>2490</v>
      </c>
    </row>
    <row r="1210" spans="1:30" x14ac:dyDescent="0.25">
      <c r="A1210">
        <v>602</v>
      </c>
      <c r="B1210">
        <v>259</v>
      </c>
      <c r="C1210" t="s">
        <v>2491</v>
      </c>
      <c r="D1210" t="s">
        <v>580</v>
      </c>
      <c r="E1210" t="s">
        <v>959</v>
      </c>
      <c r="F1210" t="s">
        <v>2492</v>
      </c>
      <c r="G1210" t="str">
        <f>"00148227"</f>
        <v>00148227</v>
      </c>
      <c r="H1210" t="s">
        <v>1628</v>
      </c>
      <c r="I1210">
        <v>150</v>
      </c>
      <c r="J1210">
        <v>0</v>
      </c>
      <c r="K1210">
        <v>0</v>
      </c>
      <c r="L1210">
        <v>200</v>
      </c>
      <c r="M1210">
        <v>30</v>
      </c>
      <c r="N1210">
        <v>70</v>
      </c>
      <c r="O1210">
        <v>0</v>
      </c>
      <c r="P1210">
        <v>0</v>
      </c>
      <c r="Q1210">
        <v>0</v>
      </c>
      <c r="R1210">
        <v>0</v>
      </c>
      <c r="S1210">
        <v>0</v>
      </c>
      <c r="T1210">
        <v>0</v>
      </c>
      <c r="U1210">
        <v>0</v>
      </c>
      <c r="V1210">
        <v>6</v>
      </c>
      <c r="W1210">
        <v>42</v>
      </c>
      <c r="X1210">
        <v>0</v>
      </c>
      <c r="Z1210">
        <v>0</v>
      </c>
      <c r="AA1210">
        <v>0</v>
      </c>
      <c r="AB1210">
        <v>0</v>
      </c>
      <c r="AC1210">
        <v>0</v>
      </c>
      <c r="AD1210" t="s">
        <v>2493</v>
      </c>
    </row>
    <row r="1211" spans="1:30" x14ac:dyDescent="0.25">
      <c r="H1211" t="s">
        <v>2494</v>
      </c>
    </row>
    <row r="1212" spans="1:30" x14ac:dyDescent="0.25">
      <c r="A1212">
        <v>603</v>
      </c>
      <c r="B1212">
        <v>1401</v>
      </c>
      <c r="C1212" t="s">
        <v>2495</v>
      </c>
      <c r="D1212" t="s">
        <v>44</v>
      </c>
      <c r="E1212" t="s">
        <v>32</v>
      </c>
      <c r="F1212" t="s">
        <v>2496</v>
      </c>
      <c r="G1212" t="str">
        <f>"201511029499"</f>
        <v>201511029499</v>
      </c>
      <c r="H1212" t="s">
        <v>2497</v>
      </c>
      <c r="I1212">
        <v>0</v>
      </c>
      <c r="J1212">
        <v>0</v>
      </c>
      <c r="K1212">
        <v>0</v>
      </c>
      <c r="L1212">
        <v>0</v>
      </c>
      <c r="M1212">
        <v>0</v>
      </c>
      <c r="N1212">
        <v>30</v>
      </c>
      <c r="O1212">
        <v>0</v>
      </c>
      <c r="P1212">
        <v>0</v>
      </c>
      <c r="Q1212">
        <v>0</v>
      </c>
      <c r="R1212">
        <v>0</v>
      </c>
      <c r="S1212">
        <v>0</v>
      </c>
      <c r="T1212">
        <v>0</v>
      </c>
      <c r="U1212">
        <v>0</v>
      </c>
      <c r="V1212">
        <v>84</v>
      </c>
      <c r="W1212">
        <v>588</v>
      </c>
      <c r="X1212">
        <v>0</v>
      </c>
      <c r="Z1212">
        <v>0</v>
      </c>
      <c r="AA1212">
        <v>0</v>
      </c>
      <c r="AB1212">
        <v>0</v>
      </c>
      <c r="AC1212">
        <v>0</v>
      </c>
      <c r="AD1212" t="s">
        <v>2498</v>
      </c>
    </row>
    <row r="1213" spans="1:30" x14ac:dyDescent="0.25">
      <c r="H1213" t="s">
        <v>2499</v>
      </c>
    </row>
    <row r="1214" spans="1:30" x14ac:dyDescent="0.25">
      <c r="A1214">
        <v>604</v>
      </c>
      <c r="B1214">
        <v>4346</v>
      </c>
      <c r="C1214" t="s">
        <v>2500</v>
      </c>
      <c r="D1214" t="s">
        <v>180</v>
      </c>
      <c r="E1214" t="s">
        <v>743</v>
      </c>
      <c r="F1214" t="s">
        <v>2501</v>
      </c>
      <c r="G1214" t="str">
        <f>"00165816"</f>
        <v>00165816</v>
      </c>
      <c r="H1214" t="s">
        <v>2497</v>
      </c>
      <c r="I1214">
        <v>0</v>
      </c>
      <c r="J1214">
        <v>0</v>
      </c>
      <c r="K1214">
        <v>0</v>
      </c>
      <c r="L1214">
        <v>0</v>
      </c>
      <c r="M1214">
        <v>0</v>
      </c>
      <c r="N1214">
        <v>30</v>
      </c>
      <c r="O1214">
        <v>0</v>
      </c>
      <c r="P1214">
        <v>0</v>
      </c>
      <c r="Q1214">
        <v>0</v>
      </c>
      <c r="R1214">
        <v>0</v>
      </c>
      <c r="S1214">
        <v>0</v>
      </c>
      <c r="T1214">
        <v>0</v>
      </c>
      <c r="U1214">
        <v>0</v>
      </c>
      <c r="V1214">
        <v>84</v>
      </c>
      <c r="W1214">
        <v>588</v>
      </c>
      <c r="X1214">
        <v>0</v>
      </c>
      <c r="Z1214">
        <v>0</v>
      </c>
      <c r="AA1214">
        <v>0</v>
      </c>
      <c r="AB1214">
        <v>0</v>
      </c>
      <c r="AC1214">
        <v>0</v>
      </c>
      <c r="AD1214" t="s">
        <v>2498</v>
      </c>
    </row>
    <row r="1215" spans="1:30" x14ac:dyDescent="0.25">
      <c r="H1215" t="s">
        <v>2502</v>
      </c>
    </row>
    <row r="1216" spans="1:30" x14ac:dyDescent="0.25">
      <c r="A1216">
        <v>605</v>
      </c>
      <c r="B1216">
        <v>779</v>
      </c>
      <c r="C1216" t="s">
        <v>2503</v>
      </c>
      <c r="D1216" t="s">
        <v>615</v>
      </c>
      <c r="E1216" t="s">
        <v>76</v>
      </c>
      <c r="F1216" t="s">
        <v>2504</v>
      </c>
      <c r="G1216" t="str">
        <f>"00187084"</f>
        <v>00187084</v>
      </c>
      <c r="H1216" t="s">
        <v>2497</v>
      </c>
      <c r="I1216">
        <v>0</v>
      </c>
      <c r="J1216">
        <v>0</v>
      </c>
      <c r="K1216">
        <v>0</v>
      </c>
      <c r="L1216">
        <v>0</v>
      </c>
      <c r="M1216">
        <v>0</v>
      </c>
      <c r="N1216">
        <v>30</v>
      </c>
      <c r="O1216">
        <v>0</v>
      </c>
      <c r="P1216">
        <v>0</v>
      </c>
      <c r="Q1216">
        <v>0</v>
      </c>
      <c r="R1216">
        <v>0</v>
      </c>
      <c r="S1216">
        <v>0</v>
      </c>
      <c r="T1216">
        <v>0</v>
      </c>
      <c r="U1216">
        <v>0</v>
      </c>
      <c r="V1216">
        <v>84</v>
      </c>
      <c r="W1216">
        <v>588</v>
      </c>
      <c r="X1216">
        <v>0</v>
      </c>
      <c r="Z1216">
        <v>0</v>
      </c>
      <c r="AA1216">
        <v>0</v>
      </c>
      <c r="AB1216">
        <v>0</v>
      </c>
      <c r="AC1216">
        <v>0</v>
      </c>
      <c r="AD1216" t="s">
        <v>2498</v>
      </c>
    </row>
    <row r="1217" spans="1:30" x14ac:dyDescent="0.25">
      <c r="H1217" t="s">
        <v>2505</v>
      </c>
    </row>
    <row r="1218" spans="1:30" x14ac:dyDescent="0.25">
      <c r="A1218">
        <v>606</v>
      </c>
      <c r="B1218">
        <v>684</v>
      </c>
      <c r="C1218" t="s">
        <v>2506</v>
      </c>
      <c r="D1218" t="s">
        <v>2507</v>
      </c>
      <c r="E1218" t="s">
        <v>2508</v>
      </c>
      <c r="F1218" t="s">
        <v>2509</v>
      </c>
      <c r="G1218" t="str">
        <f>"00251519"</f>
        <v>00251519</v>
      </c>
      <c r="H1218" t="s">
        <v>950</v>
      </c>
      <c r="I1218">
        <v>0</v>
      </c>
      <c r="J1218">
        <v>0</v>
      </c>
      <c r="K1218">
        <v>0</v>
      </c>
      <c r="L1218">
        <v>0</v>
      </c>
      <c r="M1218">
        <v>0</v>
      </c>
      <c r="N1218">
        <v>30</v>
      </c>
      <c r="O1218">
        <v>0</v>
      </c>
      <c r="P1218">
        <v>0</v>
      </c>
      <c r="Q1218">
        <v>0</v>
      </c>
      <c r="R1218">
        <v>0</v>
      </c>
      <c r="S1218">
        <v>0</v>
      </c>
      <c r="T1218">
        <v>0</v>
      </c>
      <c r="U1218">
        <v>0</v>
      </c>
      <c r="V1218">
        <v>30</v>
      </c>
      <c r="W1218">
        <v>210</v>
      </c>
      <c r="X1218">
        <v>0</v>
      </c>
      <c r="Z1218">
        <v>0</v>
      </c>
      <c r="AA1218">
        <v>0</v>
      </c>
      <c r="AB1218">
        <v>24</v>
      </c>
      <c r="AC1218">
        <v>408</v>
      </c>
      <c r="AD1218" t="s">
        <v>2510</v>
      </c>
    </row>
    <row r="1219" spans="1:30" x14ac:dyDescent="0.25">
      <c r="H1219" t="s">
        <v>2511</v>
      </c>
    </row>
    <row r="1220" spans="1:30" x14ac:dyDescent="0.25">
      <c r="A1220">
        <v>607</v>
      </c>
      <c r="B1220">
        <v>2130</v>
      </c>
      <c r="C1220" t="s">
        <v>2512</v>
      </c>
      <c r="D1220" t="s">
        <v>39</v>
      </c>
      <c r="E1220" t="s">
        <v>107</v>
      </c>
      <c r="F1220" t="s">
        <v>2513</v>
      </c>
      <c r="G1220" t="str">
        <f>"201304004496"</f>
        <v>201304004496</v>
      </c>
      <c r="H1220" t="s">
        <v>919</v>
      </c>
      <c r="I1220">
        <v>0</v>
      </c>
      <c r="J1220">
        <v>0</v>
      </c>
      <c r="K1220">
        <v>0</v>
      </c>
      <c r="L1220">
        <v>200</v>
      </c>
      <c r="M1220">
        <v>0</v>
      </c>
      <c r="N1220">
        <v>30</v>
      </c>
      <c r="O1220">
        <v>0</v>
      </c>
      <c r="P1220">
        <v>0</v>
      </c>
      <c r="Q1220">
        <v>0</v>
      </c>
      <c r="R1220">
        <v>0</v>
      </c>
      <c r="S1220">
        <v>0</v>
      </c>
      <c r="T1220">
        <v>0</v>
      </c>
      <c r="U1220">
        <v>0</v>
      </c>
      <c r="V1220">
        <v>46</v>
      </c>
      <c r="W1220">
        <v>322</v>
      </c>
      <c r="X1220">
        <v>0</v>
      </c>
      <c r="Z1220">
        <v>0</v>
      </c>
      <c r="AA1220">
        <v>0</v>
      </c>
      <c r="AB1220">
        <v>0</v>
      </c>
      <c r="AC1220">
        <v>0</v>
      </c>
      <c r="AD1220" t="s">
        <v>2514</v>
      </c>
    </row>
    <row r="1221" spans="1:30" x14ac:dyDescent="0.25">
      <c r="H1221" t="s">
        <v>2515</v>
      </c>
    </row>
    <row r="1222" spans="1:30" x14ac:dyDescent="0.25">
      <c r="A1222">
        <v>608</v>
      </c>
      <c r="B1222">
        <v>3743</v>
      </c>
      <c r="C1222" t="s">
        <v>2516</v>
      </c>
      <c r="D1222" t="s">
        <v>180</v>
      </c>
      <c r="E1222" t="s">
        <v>1375</v>
      </c>
      <c r="F1222" t="s">
        <v>2517</v>
      </c>
      <c r="G1222" t="str">
        <f>"00269216"</f>
        <v>00269216</v>
      </c>
      <c r="H1222" t="s">
        <v>2518</v>
      </c>
      <c r="I1222">
        <v>0</v>
      </c>
      <c r="J1222">
        <v>0</v>
      </c>
      <c r="K1222">
        <v>0</v>
      </c>
      <c r="L1222">
        <v>0</v>
      </c>
      <c r="M1222">
        <v>0</v>
      </c>
      <c r="N1222">
        <v>0</v>
      </c>
      <c r="O1222">
        <v>0</v>
      </c>
      <c r="P1222">
        <v>0</v>
      </c>
      <c r="Q1222">
        <v>0</v>
      </c>
      <c r="R1222">
        <v>0</v>
      </c>
      <c r="S1222">
        <v>0</v>
      </c>
      <c r="T1222">
        <v>0</v>
      </c>
      <c r="U1222">
        <v>0</v>
      </c>
      <c r="V1222">
        <v>84</v>
      </c>
      <c r="W1222">
        <v>588</v>
      </c>
      <c r="X1222">
        <v>0</v>
      </c>
      <c r="Z1222">
        <v>2</v>
      </c>
      <c r="AA1222">
        <v>0</v>
      </c>
      <c r="AB1222">
        <v>0</v>
      </c>
      <c r="AC1222">
        <v>0</v>
      </c>
      <c r="AD1222" t="s">
        <v>2519</v>
      </c>
    </row>
    <row r="1223" spans="1:30" x14ac:dyDescent="0.25">
      <c r="H1223">
        <v>1255</v>
      </c>
    </row>
    <row r="1224" spans="1:30" x14ac:dyDescent="0.25">
      <c r="A1224">
        <v>609</v>
      </c>
      <c r="B1224">
        <v>1691</v>
      </c>
      <c r="C1224" t="s">
        <v>2520</v>
      </c>
      <c r="D1224" t="s">
        <v>2521</v>
      </c>
      <c r="E1224" t="s">
        <v>45</v>
      </c>
      <c r="F1224" t="s">
        <v>2522</v>
      </c>
      <c r="G1224" t="str">
        <f>"201406013978"</f>
        <v>201406013978</v>
      </c>
      <c r="H1224">
        <v>737</v>
      </c>
      <c r="I1224">
        <v>0</v>
      </c>
      <c r="J1224">
        <v>0</v>
      </c>
      <c r="K1224">
        <v>0</v>
      </c>
      <c r="L1224">
        <v>0</v>
      </c>
      <c r="M1224">
        <v>0</v>
      </c>
      <c r="N1224">
        <v>70</v>
      </c>
      <c r="O1224">
        <v>0</v>
      </c>
      <c r="P1224">
        <v>0</v>
      </c>
      <c r="Q1224">
        <v>0</v>
      </c>
      <c r="R1224">
        <v>0</v>
      </c>
      <c r="S1224">
        <v>0</v>
      </c>
      <c r="T1224">
        <v>0</v>
      </c>
      <c r="U1224">
        <v>0</v>
      </c>
      <c r="V1224">
        <v>70</v>
      </c>
      <c r="W1224">
        <v>490</v>
      </c>
      <c r="X1224">
        <v>0</v>
      </c>
      <c r="Z1224">
        <v>0</v>
      </c>
      <c r="AA1224">
        <v>0</v>
      </c>
      <c r="AB1224">
        <v>0</v>
      </c>
      <c r="AC1224">
        <v>0</v>
      </c>
      <c r="AD1224">
        <v>1297</v>
      </c>
    </row>
    <row r="1225" spans="1:30" x14ac:dyDescent="0.25">
      <c r="H1225" t="s">
        <v>2523</v>
      </c>
    </row>
    <row r="1226" spans="1:30" x14ac:dyDescent="0.25">
      <c r="A1226">
        <v>610</v>
      </c>
      <c r="B1226">
        <v>2117</v>
      </c>
      <c r="C1226" t="s">
        <v>2524</v>
      </c>
      <c r="D1226" t="s">
        <v>490</v>
      </c>
      <c r="E1226" t="s">
        <v>2525</v>
      </c>
      <c r="F1226" t="s">
        <v>2526</v>
      </c>
      <c r="G1226" t="str">
        <f>"00323027"</f>
        <v>00323027</v>
      </c>
      <c r="H1226">
        <v>693</v>
      </c>
      <c r="I1226">
        <v>0</v>
      </c>
      <c r="J1226">
        <v>0</v>
      </c>
      <c r="K1226">
        <v>0</v>
      </c>
      <c r="L1226">
        <v>0</v>
      </c>
      <c r="M1226">
        <v>0</v>
      </c>
      <c r="N1226">
        <v>30</v>
      </c>
      <c r="O1226">
        <v>0</v>
      </c>
      <c r="P1226">
        <v>0</v>
      </c>
      <c r="Q1226">
        <v>0</v>
      </c>
      <c r="R1226">
        <v>0</v>
      </c>
      <c r="S1226">
        <v>0</v>
      </c>
      <c r="T1226">
        <v>0</v>
      </c>
      <c r="U1226">
        <v>0</v>
      </c>
      <c r="V1226">
        <v>82</v>
      </c>
      <c r="W1226">
        <v>574</v>
      </c>
      <c r="X1226">
        <v>0</v>
      </c>
      <c r="Z1226">
        <v>0</v>
      </c>
      <c r="AA1226">
        <v>0</v>
      </c>
      <c r="AB1226">
        <v>0</v>
      </c>
      <c r="AC1226">
        <v>0</v>
      </c>
      <c r="AD1226">
        <v>1297</v>
      </c>
    </row>
    <row r="1227" spans="1:30" x14ac:dyDescent="0.25">
      <c r="H1227" t="s">
        <v>2527</v>
      </c>
    </row>
    <row r="1228" spans="1:30" x14ac:dyDescent="0.25">
      <c r="A1228">
        <v>611</v>
      </c>
      <c r="B1228">
        <v>1448</v>
      </c>
      <c r="C1228" t="s">
        <v>2528</v>
      </c>
      <c r="D1228" t="s">
        <v>166</v>
      </c>
      <c r="E1228" t="s">
        <v>77</v>
      </c>
      <c r="F1228" t="s">
        <v>2529</v>
      </c>
      <c r="G1228" t="str">
        <f>"00202814"</f>
        <v>00202814</v>
      </c>
      <c r="H1228">
        <v>649</v>
      </c>
      <c r="I1228">
        <v>0</v>
      </c>
      <c r="J1228">
        <v>0</v>
      </c>
      <c r="K1228">
        <v>0</v>
      </c>
      <c r="L1228">
        <v>0</v>
      </c>
      <c r="M1228">
        <v>0</v>
      </c>
      <c r="N1228">
        <v>30</v>
      </c>
      <c r="O1228">
        <v>0</v>
      </c>
      <c r="P1228">
        <v>30</v>
      </c>
      <c r="Q1228">
        <v>0</v>
      </c>
      <c r="R1228">
        <v>0</v>
      </c>
      <c r="S1228">
        <v>0</v>
      </c>
      <c r="T1228">
        <v>0</v>
      </c>
      <c r="U1228">
        <v>0</v>
      </c>
      <c r="V1228">
        <v>84</v>
      </c>
      <c r="W1228">
        <v>588</v>
      </c>
      <c r="X1228">
        <v>0</v>
      </c>
      <c r="Z1228">
        <v>0</v>
      </c>
      <c r="AA1228">
        <v>0</v>
      </c>
      <c r="AB1228">
        <v>0</v>
      </c>
      <c r="AC1228">
        <v>0</v>
      </c>
      <c r="AD1228">
        <v>1297</v>
      </c>
    </row>
    <row r="1229" spans="1:30" x14ac:dyDescent="0.25">
      <c r="H1229" t="s">
        <v>2530</v>
      </c>
    </row>
    <row r="1230" spans="1:30" x14ac:dyDescent="0.25">
      <c r="A1230">
        <v>612</v>
      </c>
      <c r="B1230">
        <v>3927</v>
      </c>
      <c r="C1230" t="s">
        <v>2531</v>
      </c>
      <c r="D1230" t="s">
        <v>283</v>
      </c>
      <c r="E1230" t="s">
        <v>1016</v>
      </c>
      <c r="F1230" t="s">
        <v>2532</v>
      </c>
      <c r="G1230" t="str">
        <f>"201410010562"</f>
        <v>201410010562</v>
      </c>
      <c r="H1230" t="s">
        <v>2228</v>
      </c>
      <c r="I1230">
        <v>0</v>
      </c>
      <c r="J1230">
        <v>0</v>
      </c>
      <c r="K1230">
        <v>0</v>
      </c>
      <c r="L1230">
        <v>0</v>
      </c>
      <c r="M1230">
        <v>0</v>
      </c>
      <c r="N1230">
        <v>0</v>
      </c>
      <c r="O1230">
        <v>0</v>
      </c>
      <c r="P1230">
        <v>0</v>
      </c>
      <c r="Q1230">
        <v>0</v>
      </c>
      <c r="R1230">
        <v>0</v>
      </c>
      <c r="S1230">
        <v>0</v>
      </c>
      <c r="T1230">
        <v>0</v>
      </c>
      <c r="U1230">
        <v>0</v>
      </c>
      <c r="V1230">
        <v>84</v>
      </c>
      <c r="W1230">
        <v>588</v>
      </c>
      <c r="X1230">
        <v>0</v>
      </c>
      <c r="Z1230">
        <v>0</v>
      </c>
      <c r="AA1230">
        <v>0</v>
      </c>
      <c r="AB1230">
        <v>0</v>
      </c>
      <c r="AC1230">
        <v>0</v>
      </c>
      <c r="AD1230" t="s">
        <v>2533</v>
      </c>
    </row>
    <row r="1231" spans="1:30" x14ac:dyDescent="0.25">
      <c r="H1231" t="s">
        <v>2534</v>
      </c>
    </row>
    <row r="1232" spans="1:30" x14ac:dyDescent="0.25">
      <c r="A1232">
        <v>613</v>
      </c>
      <c r="B1232">
        <v>4618</v>
      </c>
      <c r="C1232" t="s">
        <v>2535</v>
      </c>
      <c r="D1232" t="s">
        <v>180</v>
      </c>
      <c r="E1232" t="s">
        <v>254</v>
      </c>
      <c r="F1232" t="s">
        <v>2536</v>
      </c>
      <c r="G1232" t="str">
        <f>"201406003157"</f>
        <v>201406003157</v>
      </c>
      <c r="H1232" t="s">
        <v>2228</v>
      </c>
      <c r="I1232">
        <v>0</v>
      </c>
      <c r="J1232">
        <v>0</v>
      </c>
      <c r="K1232">
        <v>0</v>
      </c>
      <c r="L1232">
        <v>0</v>
      </c>
      <c r="M1232">
        <v>0</v>
      </c>
      <c r="N1232">
        <v>0</v>
      </c>
      <c r="O1232">
        <v>0</v>
      </c>
      <c r="P1232">
        <v>0</v>
      </c>
      <c r="Q1232">
        <v>0</v>
      </c>
      <c r="R1232">
        <v>0</v>
      </c>
      <c r="S1232">
        <v>0</v>
      </c>
      <c r="T1232">
        <v>0</v>
      </c>
      <c r="U1232">
        <v>0</v>
      </c>
      <c r="V1232">
        <v>84</v>
      </c>
      <c r="W1232">
        <v>588</v>
      </c>
      <c r="X1232">
        <v>0</v>
      </c>
      <c r="Z1232">
        <v>0</v>
      </c>
      <c r="AA1232">
        <v>0</v>
      </c>
      <c r="AB1232">
        <v>0</v>
      </c>
      <c r="AC1232">
        <v>0</v>
      </c>
      <c r="AD1232" t="s">
        <v>2533</v>
      </c>
    </row>
    <row r="1233" spans="1:30" x14ac:dyDescent="0.25">
      <c r="H1233" t="s">
        <v>2537</v>
      </c>
    </row>
    <row r="1234" spans="1:30" x14ac:dyDescent="0.25">
      <c r="A1234">
        <v>614</v>
      </c>
      <c r="B1234">
        <v>986</v>
      </c>
      <c r="C1234" t="s">
        <v>2538</v>
      </c>
      <c r="D1234" t="s">
        <v>629</v>
      </c>
      <c r="E1234" t="s">
        <v>49</v>
      </c>
      <c r="F1234" t="s">
        <v>2539</v>
      </c>
      <c r="G1234" t="str">
        <f>"00148935"</f>
        <v>00148935</v>
      </c>
      <c r="H1234" t="s">
        <v>2228</v>
      </c>
      <c r="I1234">
        <v>0</v>
      </c>
      <c r="J1234">
        <v>0</v>
      </c>
      <c r="K1234">
        <v>0</v>
      </c>
      <c r="L1234">
        <v>0</v>
      </c>
      <c r="M1234">
        <v>0</v>
      </c>
      <c r="N1234">
        <v>0</v>
      </c>
      <c r="O1234">
        <v>0</v>
      </c>
      <c r="P1234">
        <v>0</v>
      </c>
      <c r="Q1234">
        <v>0</v>
      </c>
      <c r="R1234">
        <v>0</v>
      </c>
      <c r="S1234">
        <v>0</v>
      </c>
      <c r="T1234">
        <v>0</v>
      </c>
      <c r="U1234">
        <v>0</v>
      </c>
      <c r="V1234">
        <v>84</v>
      </c>
      <c r="W1234">
        <v>588</v>
      </c>
      <c r="X1234">
        <v>0</v>
      </c>
      <c r="Z1234">
        <v>0</v>
      </c>
      <c r="AA1234">
        <v>0</v>
      </c>
      <c r="AB1234">
        <v>0</v>
      </c>
      <c r="AC1234">
        <v>0</v>
      </c>
      <c r="AD1234" t="s">
        <v>2533</v>
      </c>
    </row>
    <row r="1235" spans="1:30" x14ac:dyDescent="0.25">
      <c r="H1235" t="s">
        <v>2540</v>
      </c>
    </row>
    <row r="1236" spans="1:30" x14ac:dyDescent="0.25">
      <c r="A1236">
        <v>615</v>
      </c>
      <c r="B1236">
        <v>4377</v>
      </c>
      <c r="C1236" t="s">
        <v>2541</v>
      </c>
      <c r="D1236" t="s">
        <v>218</v>
      </c>
      <c r="E1236" t="s">
        <v>120</v>
      </c>
      <c r="F1236" t="s">
        <v>2542</v>
      </c>
      <c r="G1236" t="str">
        <f>"00107672"</f>
        <v>00107672</v>
      </c>
      <c r="H1236" t="s">
        <v>243</v>
      </c>
      <c r="I1236">
        <v>150</v>
      </c>
      <c r="J1236">
        <v>0</v>
      </c>
      <c r="K1236">
        <v>0</v>
      </c>
      <c r="L1236">
        <v>0</v>
      </c>
      <c r="M1236">
        <v>0</v>
      </c>
      <c r="N1236">
        <v>0</v>
      </c>
      <c r="O1236">
        <v>0</v>
      </c>
      <c r="P1236">
        <v>0</v>
      </c>
      <c r="Q1236">
        <v>0</v>
      </c>
      <c r="R1236">
        <v>0</v>
      </c>
      <c r="S1236">
        <v>0</v>
      </c>
      <c r="T1236">
        <v>0</v>
      </c>
      <c r="U1236">
        <v>0</v>
      </c>
      <c r="V1236">
        <v>41</v>
      </c>
      <c r="W1236">
        <v>287</v>
      </c>
      <c r="X1236">
        <v>0</v>
      </c>
      <c r="Z1236">
        <v>0</v>
      </c>
      <c r="AA1236">
        <v>0</v>
      </c>
      <c r="AB1236">
        <v>0</v>
      </c>
      <c r="AC1236">
        <v>0</v>
      </c>
      <c r="AD1236" t="s">
        <v>2543</v>
      </c>
    </row>
    <row r="1237" spans="1:30" x14ac:dyDescent="0.25">
      <c r="H1237">
        <v>1255</v>
      </c>
    </row>
    <row r="1238" spans="1:30" x14ac:dyDescent="0.25">
      <c r="A1238">
        <v>616</v>
      </c>
      <c r="B1238">
        <v>3582</v>
      </c>
      <c r="C1238" t="s">
        <v>2544</v>
      </c>
      <c r="D1238" t="s">
        <v>28</v>
      </c>
      <c r="E1238" t="s">
        <v>102</v>
      </c>
      <c r="F1238" t="s">
        <v>2545</v>
      </c>
      <c r="G1238" t="str">
        <f>"00005179"</f>
        <v>00005179</v>
      </c>
      <c r="H1238" t="s">
        <v>2546</v>
      </c>
      <c r="I1238">
        <v>0</v>
      </c>
      <c r="J1238">
        <v>0</v>
      </c>
      <c r="K1238">
        <v>0</v>
      </c>
      <c r="L1238">
        <v>200</v>
      </c>
      <c r="M1238">
        <v>0</v>
      </c>
      <c r="N1238">
        <v>50</v>
      </c>
      <c r="O1238">
        <v>0</v>
      </c>
      <c r="P1238">
        <v>30</v>
      </c>
      <c r="Q1238">
        <v>0</v>
      </c>
      <c r="R1238">
        <v>0</v>
      </c>
      <c r="S1238">
        <v>0</v>
      </c>
      <c r="T1238">
        <v>0</v>
      </c>
      <c r="U1238">
        <v>0</v>
      </c>
      <c r="V1238">
        <v>18</v>
      </c>
      <c r="W1238">
        <v>126</v>
      </c>
      <c r="X1238">
        <v>0</v>
      </c>
      <c r="Z1238">
        <v>0</v>
      </c>
      <c r="AA1238">
        <v>0</v>
      </c>
      <c r="AB1238">
        <v>0</v>
      </c>
      <c r="AC1238">
        <v>0</v>
      </c>
      <c r="AD1238" t="s">
        <v>2547</v>
      </c>
    </row>
    <row r="1239" spans="1:30" x14ac:dyDescent="0.25">
      <c r="H1239" t="s">
        <v>2548</v>
      </c>
    </row>
    <row r="1240" spans="1:30" x14ac:dyDescent="0.25">
      <c r="A1240">
        <v>617</v>
      </c>
      <c r="B1240">
        <v>4322</v>
      </c>
      <c r="C1240" t="s">
        <v>2549</v>
      </c>
      <c r="D1240" t="s">
        <v>449</v>
      </c>
      <c r="E1240" t="s">
        <v>2550</v>
      </c>
      <c r="F1240" t="s">
        <v>2551</v>
      </c>
      <c r="G1240" t="str">
        <f>"00333828"</f>
        <v>00333828</v>
      </c>
      <c r="H1240" t="s">
        <v>2552</v>
      </c>
      <c r="I1240">
        <v>0</v>
      </c>
      <c r="J1240">
        <v>0</v>
      </c>
      <c r="K1240">
        <v>0</v>
      </c>
      <c r="L1240">
        <v>0</v>
      </c>
      <c r="M1240">
        <v>0</v>
      </c>
      <c r="N1240">
        <v>50</v>
      </c>
      <c r="O1240">
        <v>0</v>
      </c>
      <c r="P1240">
        <v>0</v>
      </c>
      <c r="Q1240">
        <v>0</v>
      </c>
      <c r="R1240">
        <v>0</v>
      </c>
      <c r="S1240">
        <v>0</v>
      </c>
      <c r="T1240">
        <v>0</v>
      </c>
      <c r="U1240">
        <v>0</v>
      </c>
      <c r="V1240">
        <v>81</v>
      </c>
      <c r="W1240">
        <v>567</v>
      </c>
      <c r="X1240">
        <v>0</v>
      </c>
      <c r="Z1240">
        <v>0</v>
      </c>
      <c r="AA1240">
        <v>0</v>
      </c>
      <c r="AB1240">
        <v>0</v>
      </c>
      <c r="AC1240">
        <v>0</v>
      </c>
      <c r="AD1240" t="s">
        <v>2553</v>
      </c>
    </row>
    <row r="1241" spans="1:30" x14ac:dyDescent="0.25">
      <c r="H1241" t="s">
        <v>2554</v>
      </c>
    </row>
    <row r="1242" spans="1:30" x14ac:dyDescent="0.25">
      <c r="A1242">
        <v>618</v>
      </c>
      <c r="B1242">
        <v>6032</v>
      </c>
      <c r="C1242" t="s">
        <v>2555</v>
      </c>
      <c r="D1242" t="s">
        <v>2556</v>
      </c>
      <c r="E1242" t="s">
        <v>84</v>
      </c>
      <c r="F1242" t="s">
        <v>2557</v>
      </c>
      <c r="G1242" t="str">
        <f>"00368816"</f>
        <v>00368816</v>
      </c>
      <c r="H1242">
        <v>715</v>
      </c>
      <c r="I1242">
        <v>0</v>
      </c>
      <c r="J1242">
        <v>0</v>
      </c>
      <c r="K1242">
        <v>0</v>
      </c>
      <c r="L1242">
        <v>0</v>
      </c>
      <c r="M1242">
        <v>0</v>
      </c>
      <c r="N1242">
        <v>50</v>
      </c>
      <c r="O1242">
        <v>0</v>
      </c>
      <c r="P1242">
        <v>0</v>
      </c>
      <c r="Q1242">
        <v>0</v>
      </c>
      <c r="R1242">
        <v>0</v>
      </c>
      <c r="S1242">
        <v>0</v>
      </c>
      <c r="T1242">
        <v>0</v>
      </c>
      <c r="U1242">
        <v>0</v>
      </c>
      <c r="V1242">
        <v>32</v>
      </c>
      <c r="W1242">
        <v>224</v>
      </c>
      <c r="X1242">
        <v>0</v>
      </c>
      <c r="Z1242">
        <v>0</v>
      </c>
      <c r="AA1242">
        <v>0</v>
      </c>
      <c r="AB1242">
        <v>18</v>
      </c>
      <c r="AC1242">
        <v>306</v>
      </c>
      <c r="AD1242">
        <v>1295</v>
      </c>
    </row>
    <row r="1243" spans="1:30" x14ac:dyDescent="0.25">
      <c r="H1243" t="s">
        <v>570</v>
      </c>
    </row>
    <row r="1244" spans="1:30" x14ac:dyDescent="0.25">
      <c r="A1244">
        <v>619</v>
      </c>
      <c r="B1244">
        <v>4037</v>
      </c>
      <c r="C1244" t="s">
        <v>2558</v>
      </c>
      <c r="D1244" t="s">
        <v>2559</v>
      </c>
      <c r="E1244" t="s">
        <v>859</v>
      </c>
      <c r="F1244" t="s">
        <v>2560</v>
      </c>
      <c r="G1244" t="str">
        <f>"00348678"</f>
        <v>00348678</v>
      </c>
      <c r="H1244" t="s">
        <v>2160</v>
      </c>
      <c r="I1244">
        <v>0</v>
      </c>
      <c r="J1244">
        <v>0</v>
      </c>
      <c r="K1244">
        <v>0</v>
      </c>
      <c r="L1244">
        <v>0</v>
      </c>
      <c r="M1244">
        <v>0</v>
      </c>
      <c r="N1244">
        <v>30</v>
      </c>
      <c r="O1244">
        <v>0</v>
      </c>
      <c r="P1244">
        <v>0</v>
      </c>
      <c r="Q1244">
        <v>0</v>
      </c>
      <c r="R1244">
        <v>0</v>
      </c>
      <c r="S1244">
        <v>0</v>
      </c>
      <c r="T1244">
        <v>0</v>
      </c>
      <c r="U1244">
        <v>0</v>
      </c>
      <c r="V1244">
        <v>84</v>
      </c>
      <c r="W1244">
        <v>588</v>
      </c>
      <c r="X1244">
        <v>0</v>
      </c>
      <c r="Z1244">
        <v>0</v>
      </c>
      <c r="AA1244">
        <v>0</v>
      </c>
      <c r="AB1244">
        <v>0</v>
      </c>
      <c r="AC1244">
        <v>0</v>
      </c>
      <c r="AD1244" t="s">
        <v>2561</v>
      </c>
    </row>
    <row r="1245" spans="1:30" x14ac:dyDescent="0.25">
      <c r="H1245" t="s">
        <v>2562</v>
      </c>
    </row>
    <row r="1246" spans="1:30" x14ac:dyDescent="0.25">
      <c r="A1246">
        <v>620</v>
      </c>
      <c r="B1246">
        <v>428</v>
      </c>
      <c r="C1246" t="s">
        <v>2563</v>
      </c>
      <c r="D1246" t="s">
        <v>218</v>
      </c>
      <c r="E1246" t="s">
        <v>28</v>
      </c>
      <c r="F1246" t="s">
        <v>2564</v>
      </c>
      <c r="G1246" t="str">
        <f>"201405000753"</f>
        <v>201405000753</v>
      </c>
      <c r="H1246" t="s">
        <v>2565</v>
      </c>
      <c r="I1246">
        <v>0</v>
      </c>
      <c r="J1246">
        <v>0</v>
      </c>
      <c r="K1246">
        <v>0</v>
      </c>
      <c r="L1246">
        <v>200</v>
      </c>
      <c r="M1246">
        <v>0</v>
      </c>
      <c r="N1246">
        <v>30</v>
      </c>
      <c r="O1246">
        <v>0</v>
      </c>
      <c r="P1246">
        <v>0</v>
      </c>
      <c r="Q1246">
        <v>0</v>
      </c>
      <c r="R1246">
        <v>0</v>
      </c>
      <c r="S1246">
        <v>0</v>
      </c>
      <c r="T1246">
        <v>0</v>
      </c>
      <c r="U1246">
        <v>0</v>
      </c>
      <c r="V1246">
        <v>26</v>
      </c>
      <c r="W1246">
        <v>182</v>
      </c>
      <c r="X1246">
        <v>0</v>
      </c>
      <c r="Z1246">
        <v>1</v>
      </c>
      <c r="AA1246">
        <v>0</v>
      </c>
      <c r="AB1246">
        <v>0</v>
      </c>
      <c r="AC1246">
        <v>0</v>
      </c>
      <c r="AD1246" t="s">
        <v>2566</v>
      </c>
    </row>
    <row r="1247" spans="1:30" x14ac:dyDescent="0.25">
      <c r="H1247" t="s">
        <v>2567</v>
      </c>
    </row>
    <row r="1248" spans="1:30" x14ac:dyDescent="0.25">
      <c r="A1248">
        <v>621</v>
      </c>
      <c r="B1248">
        <v>3869</v>
      </c>
      <c r="C1248" t="s">
        <v>1374</v>
      </c>
      <c r="D1248" t="s">
        <v>2568</v>
      </c>
      <c r="E1248" t="s">
        <v>28</v>
      </c>
      <c r="F1248" t="s">
        <v>2569</v>
      </c>
      <c r="G1248" t="str">
        <f>"00362138"</f>
        <v>00362138</v>
      </c>
      <c r="H1248" t="s">
        <v>1356</v>
      </c>
      <c r="I1248">
        <v>0</v>
      </c>
      <c r="J1248">
        <v>0</v>
      </c>
      <c r="K1248">
        <v>0</v>
      </c>
      <c r="L1248">
        <v>0</v>
      </c>
      <c r="M1248">
        <v>0</v>
      </c>
      <c r="N1248">
        <v>30</v>
      </c>
      <c r="O1248">
        <v>0</v>
      </c>
      <c r="P1248">
        <v>0</v>
      </c>
      <c r="Q1248">
        <v>0</v>
      </c>
      <c r="R1248">
        <v>0</v>
      </c>
      <c r="S1248">
        <v>0</v>
      </c>
      <c r="T1248">
        <v>0</v>
      </c>
      <c r="U1248">
        <v>0</v>
      </c>
      <c r="V1248">
        <v>78</v>
      </c>
      <c r="W1248">
        <v>546</v>
      </c>
      <c r="X1248">
        <v>0</v>
      </c>
      <c r="Z1248">
        <v>0</v>
      </c>
      <c r="AA1248">
        <v>0</v>
      </c>
      <c r="AB1248">
        <v>0</v>
      </c>
      <c r="AC1248">
        <v>0</v>
      </c>
      <c r="AD1248" t="s">
        <v>2570</v>
      </c>
    </row>
    <row r="1249" spans="1:30" x14ac:dyDescent="0.25">
      <c r="H1249" t="s">
        <v>2571</v>
      </c>
    </row>
    <row r="1250" spans="1:30" x14ac:dyDescent="0.25">
      <c r="A1250">
        <v>622</v>
      </c>
      <c r="B1250">
        <v>6303</v>
      </c>
      <c r="C1250" t="s">
        <v>2572</v>
      </c>
      <c r="D1250" t="s">
        <v>2573</v>
      </c>
      <c r="E1250" t="s">
        <v>2574</v>
      </c>
      <c r="F1250" t="s">
        <v>2575</v>
      </c>
      <c r="G1250" t="str">
        <f>"00195562"</f>
        <v>00195562</v>
      </c>
      <c r="H1250">
        <v>759</v>
      </c>
      <c r="I1250">
        <v>0</v>
      </c>
      <c r="J1250">
        <v>0</v>
      </c>
      <c r="K1250">
        <v>0</v>
      </c>
      <c r="L1250">
        <v>0</v>
      </c>
      <c r="M1250">
        <v>0</v>
      </c>
      <c r="N1250">
        <v>30</v>
      </c>
      <c r="O1250">
        <v>0</v>
      </c>
      <c r="P1250">
        <v>0</v>
      </c>
      <c r="Q1250">
        <v>0</v>
      </c>
      <c r="R1250">
        <v>0</v>
      </c>
      <c r="S1250">
        <v>0</v>
      </c>
      <c r="T1250">
        <v>0</v>
      </c>
      <c r="U1250">
        <v>0</v>
      </c>
      <c r="V1250">
        <v>72</v>
      </c>
      <c r="W1250">
        <v>504</v>
      </c>
      <c r="X1250">
        <v>0</v>
      </c>
      <c r="Z1250">
        <v>0</v>
      </c>
      <c r="AA1250">
        <v>0</v>
      </c>
      <c r="AB1250">
        <v>0</v>
      </c>
      <c r="AC1250">
        <v>0</v>
      </c>
      <c r="AD1250">
        <v>1293</v>
      </c>
    </row>
    <row r="1251" spans="1:30" x14ac:dyDescent="0.25">
      <c r="H1251" t="s">
        <v>2576</v>
      </c>
    </row>
    <row r="1252" spans="1:30" x14ac:dyDescent="0.25">
      <c r="A1252">
        <v>623</v>
      </c>
      <c r="B1252">
        <v>1274</v>
      </c>
      <c r="C1252" t="s">
        <v>2577</v>
      </c>
      <c r="D1252" t="s">
        <v>2578</v>
      </c>
      <c r="E1252" t="s">
        <v>102</v>
      </c>
      <c r="F1252" t="s">
        <v>2579</v>
      </c>
      <c r="G1252" t="str">
        <f>"00088751"</f>
        <v>00088751</v>
      </c>
      <c r="H1252">
        <v>770</v>
      </c>
      <c r="I1252">
        <v>0</v>
      </c>
      <c r="J1252">
        <v>0</v>
      </c>
      <c r="K1252">
        <v>0</v>
      </c>
      <c r="L1252">
        <v>200</v>
      </c>
      <c r="M1252">
        <v>0</v>
      </c>
      <c r="N1252">
        <v>50</v>
      </c>
      <c r="O1252">
        <v>0</v>
      </c>
      <c r="P1252">
        <v>0</v>
      </c>
      <c r="Q1252">
        <v>0</v>
      </c>
      <c r="R1252">
        <v>0</v>
      </c>
      <c r="S1252">
        <v>0</v>
      </c>
      <c r="T1252">
        <v>0</v>
      </c>
      <c r="U1252">
        <v>0</v>
      </c>
      <c r="V1252">
        <v>0</v>
      </c>
      <c r="W1252">
        <v>0</v>
      </c>
      <c r="X1252">
        <v>0</v>
      </c>
      <c r="Z1252">
        <v>2</v>
      </c>
      <c r="AA1252">
        <v>0</v>
      </c>
      <c r="AB1252">
        <v>16</v>
      </c>
      <c r="AC1252">
        <v>272</v>
      </c>
      <c r="AD1252">
        <v>1292</v>
      </c>
    </row>
    <row r="1253" spans="1:30" x14ac:dyDescent="0.25">
      <c r="H1253" t="s">
        <v>2580</v>
      </c>
    </row>
    <row r="1254" spans="1:30" x14ac:dyDescent="0.25">
      <c r="A1254">
        <v>624</v>
      </c>
      <c r="B1254">
        <v>4273</v>
      </c>
      <c r="C1254" t="s">
        <v>2581</v>
      </c>
      <c r="D1254" t="s">
        <v>2582</v>
      </c>
      <c r="E1254" t="s">
        <v>102</v>
      </c>
      <c r="F1254" t="s">
        <v>2583</v>
      </c>
      <c r="G1254" t="str">
        <f>"201511030580"</f>
        <v>201511030580</v>
      </c>
      <c r="H1254">
        <v>704</v>
      </c>
      <c r="I1254">
        <v>0</v>
      </c>
      <c r="J1254">
        <v>0</v>
      </c>
      <c r="K1254">
        <v>0</v>
      </c>
      <c r="L1254">
        <v>0</v>
      </c>
      <c r="M1254">
        <v>0</v>
      </c>
      <c r="N1254">
        <v>0</v>
      </c>
      <c r="O1254">
        <v>0</v>
      </c>
      <c r="P1254">
        <v>0</v>
      </c>
      <c r="Q1254">
        <v>0</v>
      </c>
      <c r="R1254">
        <v>0</v>
      </c>
      <c r="S1254">
        <v>0</v>
      </c>
      <c r="T1254">
        <v>0</v>
      </c>
      <c r="U1254">
        <v>0</v>
      </c>
      <c r="V1254">
        <v>84</v>
      </c>
      <c r="W1254">
        <v>588</v>
      </c>
      <c r="X1254">
        <v>0</v>
      </c>
      <c r="Z1254">
        <v>0</v>
      </c>
      <c r="AA1254">
        <v>0</v>
      </c>
      <c r="AB1254">
        <v>0</v>
      </c>
      <c r="AC1254">
        <v>0</v>
      </c>
      <c r="AD1254">
        <v>1292</v>
      </c>
    </row>
    <row r="1255" spans="1:30" x14ac:dyDescent="0.25">
      <c r="H1255" t="s">
        <v>2584</v>
      </c>
    </row>
    <row r="1256" spans="1:30" x14ac:dyDescent="0.25">
      <c r="A1256">
        <v>625</v>
      </c>
      <c r="B1256">
        <v>2085</v>
      </c>
      <c r="C1256" t="s">
        <v>2585</v>
      </c>
      <c r="D1256" t="s">
        <v>120</v>
      </c>
      <c r="E1256" t="s">
        <v>181</v>
      </c>
      <c r="F1256" t="s">
        <v>2586</v>
      </c>
      <c r="G1256" t="str">
        <f>"201406004952"</f>
        <v>201406004952</v>
      </c>
      <c r="H1256" t="s">
        <v>1796</v>
      </c>
      <c r="I1256">
        <v>0</v>
      </c>
      <c r="J1256">
        <v>0</v>
      </c>
      <c r="K1256">
        <v>0</v>
      </c>
      <c r="L1256">
        <v>0</v>
      </c>
      <c r="M1256">
        <v>0</v>
      </c>
      <c r="N1256">
        <v>70</v>
      </c>
      <c r="O1256">
        <v>0</v>
      </c>
      <c r="P1256">
        <v>0</v>
      </c>
      <c r="Q1256">
        <v>0</v>
      </c>
      <c r="R1256">
        <v>0</v>
      </c>
      <c r="S1256">
        <v>0</v>
      </c>
      <c r="T1256">
        <v>0</v>
      </c>
      <c r="U1256">
        <v>0</v>
      </c>
      <c r="V1256">
        <v>18</v>
      </c>
      <c r="W1256">
        <v>126</v>
      </c>
      <c r="X1256">
        <v>0</v>
      </c>
      <c r="Z1256">
        <v>0</v>
      </c>
      <c r="AA1256">
        <v>0</v>
      </c>
      <c r="AB1256">
        <v>24</v>
      </c>
      <c r="AC1256">
        <v>408</v>
      </c>
      <c r="AD1256" t="s">
        <v>2587</v>
      </c>
    </row>
    <row r="1257" spans="1:30" x14ac:dyDescent="0.25">
      <c r="H1257" t="s">
        <v>2588</v>
      </c>
    </row>
    <row r="1258" spans="1:30" x14ac:dyDescent="0.25">
      <c r="A1258">
        <v>626</v>
      </c>
      <c r="B1258">
        <v>4226</v>
      </c>
      <c r="C1258" t="s">
        <v>2589</v>
      </c>
      <c r="D1258" t="s">
        <v>141</v>
      </c>
      <c r="E1258" t="s">
        <v>142</v>
      </c>
      <c r="F1258" t="s">
        <v>2590</v>
      </c>
      <c r="G1258" t="str">
        <f>"00228317"</f>
        <v>00228317</v>
      </c>
      <c r="H1258" t="s">
        <v>1986</v>
      </c>
      <c r="I1258">
        <v>0</v>
      </c>
      <c r="J1258">
        <v>0</v>
      </c>
      <c r="K1258">
        <v>0</v>
      </c>
      <c r="L1258">
        <v>0</v>
      </c>
      <c r="M1258">
        <v>0</v>
      </c>
      <c r="N1258">
        <v>30</v>
      </c>
      <c r="O1258">
        <v>0</v>
      </c>
      <c r="P1258">
        <v>70</v>
      </c>
      <c r="Q1258">
        <v>0</v>
      </c>
      <c r="R1258">
        <v>0</v>
      </c>
      <c r="S1258">
        <v>0</v>
      </c>
      <c r="T1258">
        <v>0</v>
      </c>
      <c r="U1258">
        <v>0</v>
      </c>
      <c r="V1258">
        <v>77</v>
      </c>
      <c r="W1258">
        <v>539</v>
      </c>
      <c r="X1258">
        <v>0</v>
      </c>
      <c r="Z1258">
        <v>0</v>
      </c>
      <c r="AA1258">
        <v>0</v>
      </c>
      <c r="AB1258">
        <v>0</v>
      </c>
      <c r="AC1258">
        <v>0</v>
      </c>
      <c r="AD1258" t="s">
        <v>2591</v>
      </c>
    </row>
    <row r="1259" spans="1:30" x14ac:dyDescent="0.25">
      <c r="H1259" t="s">
        <v>2592</v>
      </c>
    </row>
    <row r="1260" spans="1:30" x14ac:dyDescent="0.25">
      <c r="A1260">
        <v>627</v>
      </c>
      <c r="B1260">
        <v>2886</v>
      </c>
      <c r="C1260" t="s">
        <v>2593</v>
      </c>
      <c r="D1260" t="s">
        <v>1237</v>
      </c>
      <c r="E1260" t="s">
        <v>45</v>
      </c>
      <c r="F1260" t="s">
        <v>2594</v>
      </c>
      <c r="G1260" t="str">
        <f>"201510002460"</f>
        <v>201510002460</v>
      </c>
      <c r="H1260">
        <v>759</v>
      </c>
      <c r="I1260">
        <v>0</v>
      </c>
      <c r="J1260">
        <v>0</v>
      </c>
      <c r="K1260">
        <v>0</v>
      </c>
      <c r="L1260">
        <v>0</v>
      </c>
      <c r="M1260">
        <v>0</v>
      </c>
      <c r="N1260">
        <v>70</v>
      </c>
      <c r="O1260">
        <v>0</v>
      </c>
      <c r="P1260">
        <v>0</v>
      </c>
      <c r="Q1260">
        <v>0</v>
      </c>
      <c r="R1260">
        <v>0</v>
      </c>
      <c r="S1260">
        <v>0</v>
      </c>
      <c r="T1260">
        <v>0</v>
      </c>
      <c r="U1260">
        <v>0</v>
      </c>
      <c r="V1260">
        <v>66</v>
      </c>
      <c r="W1260">
        <v>462</v>
      </c>
      <c r="X1260">
        <v>0</v>
      </c>
      <c r="Z1260">
        <v>2</v>
      </c>
      <c r="AA1260">
        <v>0</v>
      </c>
      <c r="AB1260">
        <v>0</v>
      </c>
      <c r="AC1260">
        <v>0</v>
      </c>
      <c r="AD1260">
        <v>1291</v>
      </c>
    </row>
    <row r="1261" spans="1:30" x14ac:dyDescent="0.25">
      <c r="H1261" t="s">
        <v>2595</v>
      </c>
    </row>
    <row r="1262" spans="1:30" x14ac:dyDescent="0.25">
      <c r="A1262">
        <v>628</v>
      </c>
      <c r="B1262">
        <v>3825</v>
      </c>
      <c r="C1262" t="s">
        <v>2596</v>
      </c>
      <c r="D1262" t="s">
        <v>283</v>
      </c>
      <c r="E1262" t="s">
        <v>28</v>
      </c>
      <c r="F1262" t="s">
        <v>2597</v>
      </c>
      <c r="G1262" t="str">
        <f>"201402001950"</f>
        <v>201402001950</v>
      </c>
      <c r="H1262" t="s">
        <v>2598</v>
      </c>
      <c r="I1262">
        <v>0</v>
      </c>
      <c r="J1262">
        <v>0</v>
      </c>
      <c r="K1262">
        <v>0</v>
      </c>
      <c r="L1262">
        <v>0</v>
      </c>
      <c r="M1262">
        <v>0</v>
      </c>
      <c r="N1262">
        <v>0</v>
      </c>
      <c r="O1262">
        <v>0</v>
      </c>
      <c r="P1262">
        <v>0</v>
      </c>
      <c r="Q1262">
        <v>0</v>
      </c>
      <c r="R1262">
        <v>0</v>
      </c>
      <c r="S1262">
        <v>0</v>
      </c>
      <c r="T1262">
        <v>0</v>
      </c>
      <c r="U1262">
        <v>0</v>
      </c>
      <c r="V1262">
        <v>34</v>
      </c>
      <c r="W1262">
        <v>238</v>
      </c>
      <c r="X1262">
        <v>0</v>
      </c>
      <c r="Z1262">
        <v>0</v>
      </c>
      <c r="AA1262">
        <v>0</v>
      </c>
      <c r="AB1262">
        <v>24</v>
      </c>
      <c r="AC1262">
        <v>408</v>
      </c>
      <c r="AD1262" t="s">
        <v>2599</v>
      </c>
    </row>
    <row r="1263" spans="1:30" x14ac:dyDescent="0.25">
      <c r="H1263" t="s">
        <v>2600</v>
      </c>
    </row>
    <row r="1264" spans="1:30" x14ac:dyDescent="0.25">
      <c r="A1264">
        <v>629</v>
      </c>
      <c r="B1264">
        <v>976</v>
      </c>
      <c r="C1264" t="s">
        <v>2601</v>
      </c>
      <c r="D1264" t="s">
        <v>236</v>
      </c>
      <c r="E1264" t="s">
        <v>542</v>
      </c>
      <c r="F1264" t="s">
        <v>2602</v>
      </c>
      <c r="G1264" t="str">
        <f>"00195820"</f>
        <v>00195820</v>
      </c>
      <c r="H1264" t="s">
        <v>872</v>
      </c>
      <c r="I1264">
        <v>0</v>
      </c>
      <c r="J1264">
        <v>0</v>
      </c>
      <c r="K1264">
        <v>0</v>
      </c>
      <c r="L1264">
        <v>0</v>
      </c>
      <c r="M1264">
        <v>0</v>
      </c>
      <c r="N1264">
        <v>0</v>
      </c>
      <c r="O1264">
        <v>0</v>
      </c>
      <c r="P1264">
        <v>0</v>
      </c>
      <c r="Q1264">
        <v>0</v>
      </c>
      <c r="R1264">
        <v>0</v>
      </c>
      <c r="S1264">
        <v>0</v>
      </c>
      <c r="T1264">
        <v>0</v>
      </c>
      <c r="U1264">
        <v>0</v>
      </c>
      <c r="V1264">
        <v>84</v>
      </c>
      <c r="W1264">
        <v>588</v>
      </c>
      <c r="X1264">
        <v>0</v>
      </c>
      <c r="Z1264">
        <v>1</v>
      </c>
      <c r="AA1264">
        <v>0</v>
      </c>
      <c r="AB1264">
        <v>0</v>
      </c>
      <c r="AC1264">
        <v>0</v>
      </c>
      <c r="AD1264" t="s">
        <v>2603</v>
      </c>
    </row>
    <row r="1265" spans="1:30" x14ac:dyDescent="0.25">
      <c r="H1265" t="s">
        <v>2604</v>
      </c>
    </row>
    <row r="1266" spans="1:30" x14ac:dyDescent="0.25">
      <c r="A1266">
        <v>630</v>
      </c>
      <c r="B1266">
        <v>1262</v>
      </c>
      <c r="C1266" t="s">
        <v>2605</v>
      </c>
      <c r="D1266" t="s">
        <v>1077</v>
      </c>
      <c r="E1266" t="s">
        <v>756</v>
      </c>
      <c r="F1266" t="s">
        <v>2606</v>
      </c>
      <c r="G1266" t="str">
        <f>"201412002960"</f>
        <v>201412002960</v>
      </c>
      <c r="H1266" t="s">
        <v>198</v>
      </c>
      <c r="I1266">
        <v>0</v>
      </c>
      <c r="J1266">
        <v>0</v>
      </c>
      <c r="K1266">
        <v>0</v>
      </c>
      <c r="L1266">
        <v>0</v>
      </c>
      <c r="M1266">
        <v>0</v>
      </c>
      <c r="N1266">
        <v>0</v>
      </c>
      <c r="O1266">
        <v>0</v>
      </c>
      <c r="P1266">
        <v>0</v>
      </c>
      <c r="Q1266">
        <v>0</v>
      </c>
      <c r="R1266">
        <v>0</v>
      </c>
      <c r="S1266">
        <v>0</v>
      </c>
      <c r="T1266">
        <v>0</v>
      </c>
      <c r="U1266">
        <v>0</v>
      </c>
      <c r="V1266">
        <v>80</v>
      </c>
      <c r="W1266">
        <v>560</v>
      </c>
      <c r="X1266">
        <v>0</v>
      </c>
      <c r="Z1266">
        <v>0</v>
      </c>
      <c r="AA1266">
        <v>0</v>
      </c>
      <c r="AB1266">
        <v>0</v>
      </c>
      <c r="AC1266">
        <v>0</v>
      </c>
      <c r="AD1266" t="s">
        <v>2607</v>
      </c>
    </row>
    <row r="1267" spans="1:30" x14ac:dyDescent="0.25">
      <c r="H1267" t="s">
        <v>2608</v>
      </c>
    </row>
    <row r="1268" spans="1:30" x14ac:dyDescent="0.25">
      <c r="A1268">
        <v>631</v>
      </c>
      <c r="B1268">
        <v>815</v>
      </c>
      <c r="C1268" t="s">
        <v>2609</v>
      </c>
      <c r="D1268" t="s">
        <v>2610</v>
      </c>
      <c r="E1268" t="s">
        <v>1850</v>
      </c>
      <c r="F1268" t="s">
        <v>2611</v>
      </c>
      <c r="G1268" t="str">
        <f>"201402007188"</f>
        <v>201402007188</v>
      </c>
      <c r="H1268">
        <v>671</v>
      </c>
      <c r="I1268">
        <v>0</v>
      </c>
      <c r="J1268">
        <v>0</v>
      </c>
      <c r="K1268">
        <v>0</v>
      </c>
      <c r="L1268">
        <v>0</v>
      </c>
      <c r="M1268">
        <v>0</v>
      </c>
      <c r="N1268">
        <v>30</v>
      </c>
      <c r="O1268">
        <v>0</v>
      </c>
      <c r="P1268">
        <v>0</v>
      </c>
      <c r="Q1268">
        <v>0</v>
      </c>
      <c r="R1268">
        <v>0</v>
      </c>
      <c r="S1268">
        <v>0</v>
      </c>
      <c r="T1268">
        <v>0</v>
      </c>
      <c r="U1268">
        <v>0</v>
      </c>
      <c r="V1268">
        <v>84</v>
      </c>
      <c r="W1268">
        <v>588</v>
      </c>
      <c r="X1268">
        <v>0</v>
      </c>
      <c r="Z1268">
        <v>0</v>
      </c>
      <c r="AA1268">
        <v>0</v>
      </c>
      <c r="AB1268">
        <v>0</v>
      </c>
      <c r="AC1268">
        <v>0</v>
      </c>
      <c r="AD1268">
        <v>1289</v>
      </c>
    </row>
    <row r="1269" spans="1:30" x14ac:dyDescent="0.25">
      <c r="H1269" t="s">
        <v>2612</v>
      </c>
    </row>
    <row r="1270" spans="1:30" x14ac:dyDescent="0.25">
      <c r="A1270">
        <v>632</v>
      </c>
      <c r="B1270">
        <v>3715</v>
      </c>
      <c r="C1270" t="s">
        <v>2613</v>
      </c>
      <c r="D1270" t="s">
        <v>181</v>
      </c>
      <c r="E1270" t="s">
        <v>28</v>
      </c>
      <c r="F1270" t="s">
        <v>2614</v>
      </c>
      <c r="G1270" t="str">
        <f>"201401000491"</f>
        <v>201401000491</v>
      </c>
      <c r="H1270">
        <v>671</v>
      </c>
      <c r="I1270">
        <v>0</v>
      </c>
      <c r="J1270">
        <v>0</v>
      </c>
      <c r="K1270">
        <v>0</v>
      </c>
      <c r="L1270">
        <v>0</v>
      </c>
      <c r="M1270">
        <v>0</v>
      </c>
      <c r="N1270">
        <v>30</v>
      </c>
      <c r="O1270">
        <v>0</v>
      </c>
      <c r="P1270">
        <v>0</v>
      </c>
      <c r="Q1270">
        <v>0</v>
      </c>
      <c r="R1270">
        <v>0</v>
      </c>
      <c r="S1270">
        <v>0</v>
      </c>
      <c r="T1270">
        <v>0</v>
      </c>
      <c r="U1270">
        <v>0</v>
      </c>
      <c r="V1270">
        <v>84</v>
      </c>
      <c r="W1270">
        <v>588</v>
      </c>
      <c r="X1270">
        <v>0</v>
      </c>
      <c r="Z1270">
        <v>0</v>
      </c>
      <c r="AA1270">
        <v>0</v>
      </c>
      <c r="AB1270">
        <v>0</v>
      </c>
      <c r="AC1270">
        <v>0</v>
      </c>
      <c r="AD1270">
        <v>1289</v>
      </c>
    </row>
    <row r="1271" spans="1:30" x14ac:dyDescent="0.25">
      <c r="H1271" t="s">
        <v>2615</v>
      </c>
    </row>
    <row r="1272" spans="1:30" x14ac:dyDescent="0.25">
      <c r="A1272">
        <v>633</v>
      </c>
      <c r="B1272">
        <v>755</v>
      </c>
      <c r="C1272" t="s">
        <v>2616</v>
      </c>
      <c r="D1272" t="s">
        <v>2617</v>
      </c>
      <c r="E1272" t="s">
        <v>700</v>
      </c>
      <c r="F1272" t="s">
        <v>2618</v>
      </c>
      <c r="G1272" t="str">
        <f>"200908000307"</f>
        <v>200908000307</v>
      </c>
      <c r="H1272" t="s">
        <v>527</v>
      </c>
      <c r="I1272">
        <v>0</v>
      </c>
      <c r="J1272">
        <v>0</v>
      </c>
      <c r="K1272">
        <v>0</v>
      </c>
      <c r="L1272">
        <v>200</v>
      </c>
      <c r="M1272">
        <v>0</v>
      </c>
      <c r="N1272">
        <v>0</v>
      </c>
      <c r="O1272">
        <v>0</v>
      </c>
      <c r="P1272">
        <v>0</v>
      </c>
      <c r="Q1272">
        <v>0</v>
      </c>
      <c r="R1272">
        <v>0</v>
      </c>
      <c r="S1272">
        <v>0</v>
      </c>
      <c r="T1272">
        <v>0</v>
      </c>
      <c r="U1272">
        <v>0</v>
      </c>
      <c r="V1272">
        <v>48</v>
      </c>
      <c r="W1272">
        <v>336</v>
      </c>
      <c r="X1272">
        <v>0</v>
      </c>
      <c r="Z1272">
        <v>0</v>
      </c>
      <c r="AA1272">
        <v>0</v>
      </c>
      <c r="AB1272">
        <v>0</v>
      </c>
      <c r="AC1272">
        <v>0</v>
      </c>
      <c r="AD1272" t="s">
        <v>2619</v>
      </c>
    </row>
    <row r="1273" spans="1:30" x14ac:dyDescent="0.25">
      <c r="H1273" t="s">
        <v>2620</v>
      </c>
    </row>
    <row r="1274" spans="1:30" x14ac:dyDescent="0.25">
      <c r="A1274">
        <v>634</v>
      </c>
      <c r="B1274">
        <v>2523</v>
      </c>
      <c r="C1274" t="s">
        <v>2306</v>
      </c>
      <c r="D1274" t="s">
        <v>28</v>
      </c>
      <c r="E1274" t="s">
        <v>255</v>
      </c>
      <c r="F1274" t="s">
        <v>2621</v>
      </c>
      <c r="G1274" t="str">
        <f>"201305000017"</f>
        <v>201305000017</v>
      </c>
      <c r="H1274">
        <v>649</v>
      </c>
      <c r="I1274">
        <v>0</v>
      </c>
      <c r="J1274">
        <v>0</v>
      </c>
      <c r="K1274">
        <v>0</v>
      </c>
      <c r="L1274">
        <v>0</v>
      </c>
      <c r="M1274">
        <v>0</v>
      </c>
      <c r="N1274">
        <v>50</v>
      </c>
      <c r="O1274">
        <v>0</v>
      </c>
      <c r="P1274">
        <v>0</v>
      </c>
      <c r="Q1274">
        <v>0</v>
      </c>
      <c r="R1274">
        <v>0</v>
      </c>
      <c r="S1274">
        <v>0</v>
      </c>
      <c r="T1274">
        <v>0</v>
      </c>
      <c r="U1274">
        <v>0</v>
      </c>
      <c r="V1274">
        <v>84</v>
      </c>
      <c r="W1274">
        <v>588</v>
      </c>
      <c r="X1274">
        <v>0</v>
      </c>
      <c r="Z1274">
        <v>2</v>
      </c>
      <c r="AA1274">
        <v>0</v>
      </c>
      <c r="AB1274">
        <v>0</v>
      </c>
      <c r="AC1274">
        <v>0</v>
      </c>
      <c r="AD1274">
        <v>1287</v>
      </c>
    </row>
    <row r="1275" spans="1:30" x14ac:dyDescent="0.25">
      <c r="H1275" t="s">
        <v>2622</v>
      </c>
    </row>
    <row r="1276" spans="1:30" x14ac:dyDescent="0.25">
      <c r="A1276">
        <v>635</v>
      </c>
      <c r="B1276">
        <v>5282</v>
      </c>
      <c r="C1276" t="s">
        <v>2623</v>
      </c>
      <c r="D1276" t="s">
        <v>218</v>
      </c>
      <c r="E1276" t="s">
        <v>32</v>
      </c>
      <c r="F1276" t="s">
        <v>2624</v>
      </c>
      <c r="G1276" t="str">
        <f>"201511034768"</f>
        <v>201511034768</v>
      </c>
      <c r="H1276">
        <v>649</v>
      </c>
      <c r="I1276">
        <v>0</v>
      </c>
      <c r="J1276">
        <v>0</v>
      </c>
      <c r="K1276">
        <v>0</v>
      </c>
      <c r="L1276">
        <v>0</v>
      </c>
      <c r="M1276">
        <v>0</v>
      </c>
      <c r="N1276">
        <v>0</v>
      </c>
      <c r="O1276">
        <v>0</v>
      </c>
      <c r="P1276">
        <v>0</v>
      </c>
      <c r="Q1276">
        <v>0</v>
      </c>
      <c r="R1276">
        <v>0</v>
      </c>
      <c r="S1276">
        <v>0</v>
      </c>
      <c r="T1276">
        <v>0</v>
      </c>
      <c r="U1276">
        <v>0</v>
      </c>
      <c r="V1276">
        <v>79</v>
      </c>
      <c r="W1276">
        <v>553</v>
      </c>
      <c r="X1276">
        <v>0</v>
      </c>
      <c r="Z1276">
        <v>0</v>
      </c>
      <c r="AA1276">
        <v>0</v>
      </c>
      <c r="AB1276">
        <v>5</v>
      </c>
      <c r="AC1276">
        <v>85</v>
      </c>
      <c r="AD1276">
        <v>1287</v>
      </c>
    </row>
    <row r="1277" spans="1:30" x14ac:dyDescent="0.25">
      <c r="H1277" t="s">
        <v>2625</v>
      </c>
    </row>
    <row r="1278" spans="1:30" x14ac:dyDescent="0.25">
      <c r="A1278">
        <v>636</v>
      </c>
      <c r="B1278">
        <v>2726</v>
      </c>
      <c r="C1278" t="s">
        <v>2626</v>
      </c>
      <c r="D1278" t="s">
        <v>384</v>
      </c>
      <c r="E1278" t="s">
        <v>102</v>
      </c>
      <c r="F1278" t="s">
        <v>2627</v>
      </c>
      <c r="G1278" t="str">
        <f>"00347427"</f>
        <v>00347427</v>
      </c>
      <c r="H1278" t="s">
        <v>2628</v>
      </c>
      <c r="I1278">
        <v>0</v>
      </c>
      <c r="J1278">
        <v>0</v>
      </c>
      <c r="K1278">
        <v>0</v>
      </c>
      <c r="L1278">
        <v>0</v>
      </c>
      <c r="M1278">
        <v>0</v>
      </c>
      <c r="N1278">
        <v>30</v>
      </c>
      <c r="O1278">
        <v>0</v>
      </c>
      <c r="P1278">
        <v>0</v>
      </c>
      <c r="Q1278">
        <v>0</v>
      </c>
      <c r="R1278">
        <v>0</v>
      </c>
      <c r="S1278">
        <v>0</v>
      </c>
      <c r="T1278">
        <v>0</v>
      </c>
      <c r="U1278">
        <v>0</v>
      </c>
      <c r="V1278">
        <v>84</v>
      </c>
      <c r="W1278">
        <v>588</v>
      </c>
      <c r="X1278">
        <v>0</v>
      </c>
      <c r="Z1278">
        <v>0</v>
      </c>
      <c r="AA1278">
        <v>0</v>
      </c>
      <c r="AB1278">
        <v>0</v>
      </c>
      <c r="AC1278">
        <v>0</v>
      </c>
      <c r="AD1278" t="s">
        <v>2629</v>
      </c>
    </row>
    <row r="1279" spans="1:30" x14ac:dyDescent="0.25">
      <c r="H1279" t="s">
        <v>2630</v>
      </c>
    </row>
    <row r="1280" spans="1:30" x14ac:dyDescent="0.25">
      <c r="A1280">
        <v>637</v>
      </c>
      <c r="B1280">
        <v>917</v>
      </c>
      <c r="C1280" t="s">
        <v>2631</v>
      </c>
      <c r="D1280" t="s">
        <v>2632</v>
      </c>
      <c r="E1280" t="s">
        <v>28</v>
      </c>
      <c r="F1280" t="s">
        <v>2633</v>
      </c>
      <c r="G1280" t="str">
        <f>"200801006564"</f>
        <v>200801006564</v>
      </c>
      <c r="H1280" t="s">
        <v>900</v>
      </c>
      <c r="I1280">
        <v>0</v>
      </c>
      <c r="J1280">
        <v>0</v>
      </c>
      <c r="K1280">
        <v>0</v>
      </c>
      <c r="L1280">
        <v>0</v>
      </c>
      <c r="M1280">
        <v>0</v>
      </c>
      <c r="N1280">
        <v>0</v>
      </c>
      <c r="O1280">
        <v>0</v>
      </c>
      <c r="P1280">
        <v>0</v>
      </c>
      <c r="Q1280">
        <v>0</v>
      </c>
      <c r="R1280">
        <v>0</v>
      </c>
      <c r="S1280">
        <v>0</v>
      </c>
      <c r="T1280">
        <v>0</v>
      </c>
      <c r="U1280">
        <v>0</v>
      </c>
      <c r="V1280">
        <v>84</v>
      </c>
      <c r="W1280">
        <v>588</v>
      </c>
      <c r="X1280">
        <v>0</v>
      </c>
      <c r="Z1280">
        <v>2</v>
      </c>
      <c r="AA1280">
        <v>0</v>
      </c>
      <c r="AB1280">
        <v>0</v>
      </c>
      <c r="AC1280">
        <v>0</v>
      </c>
      <c r="AD1280" t="s">
        <v>2634</v>
      </c>
    </row>
    <row r="1281" spans="1:30" x14ac:dyDescent="0.25">
      <c r="H1281" t="s">
        <v>2635</v>
      </c>
    </row>
    <row r="1282" spans="1:30" x14ac:dyDescent="0.25">
      <c r="A1282">
        <v>638</v>
      </c>
      <c r="B1282">
        <v>6125</v>
      </c>
      <c r="C1282" t="s">
        <v>2528</v>
      </c>
      <c r="D1282" t="s">
        <v>225</v>
      </c>
      <c r="E1282" t="s">
        <v>669</v>
      </c>
      <c r="F1282" t="s">
        <v>2636</v>
      </c>
      <c r="G1282" t="str">
        <f>"00184116"</f>
        <v>00184116</v>
      </c>
      <c r="H1282" t="s">
        <v>2637</v>
      </c>
      <c r="I1282">
        <v>0</v>
      </c>
      <c r="J1282">
        <v>0</v>
      </c>
      <c r="K1282">
        <v>0</v>
      </c>
      <c r="L1282">
        <v>0</v>
      </c>
      <c r="M1282">
        <v>0</v>
      </c>
      <c r="N1282">
        <v>30</v>
      </c>
      <c r="O1282">
        <v>0</v>
      </c>
      <c r="P1282">
        <v>0</v>
      </c>
      <c r="Q1282">
        <v>0</v>
      </c>
      <c r="R1282">
        <v>0</v>
      </c>
      <c r="S1282">
        <v>0</v>
      </c>
      <c r="T1282">
        <v>0</v>
      </c>
      <c r="U1282">
        <v>0</v>
      </c>
      <c r="V1282">
        <v>84</v>
      </c>
      <c r="W1282">
        <v>588</v>
      </c>
      <c r="X1282">
        <v>0</v>
      </c>
      <c r="Z1282">
        <v>2</v>
      </c>
      <c r="AA1282">
        <v>0</v>
      </c>
      <c r="AB1282">
        <v>0</v>
      </c>
      <c r="AC1282">
        <v>0</v>
      </c>
      <c r="AD1282" t="s">
        <v>2638</v>
      </c>
    </row>
    <row r="1283" spans="1:30" x14ac:dyDescent="0.25">
      <c r="H1283" t="s">
        <v>2639</v>
      </c>
    </row>
    <row r="1284" spans="1:30" x14ac:dyDescent="0.25">
      <c r="A1284">
        <v>639</v>
      </c>
      <c r="B1284">
        <v>6065</v>
      </c>
      <c r="C1284" t="s">
        <v>2640</v>
      </c>
      <c r="D1284" t="s">
        <v>2641</v>
      </c>
      <c r="E1284" t="s">
        <v>1850</v>
      </c>
      <c r="F1284" t="s">
        <v>2642</v>
      </c>
      <c r="G1284" t="str">
        <f>"00271075"</f>
        <v>00271075</v>
      </c>
      <c r="H1284" t="s">
        <v>1549</v>
      </c>
      <c r="I1284">
        <v>0</v>
      </c>
      <c r="J1284">
        <v>0</v>
      </c>
      <c r="K1284">
        <v>0</v>
      </c>
      <c r="L1284">
        <v>0</v>
      </c>
      <c r="M1284">
        <v>0</v>
      </c>
      <c r="N1284">
        <v>0</v>
      </c>
      <c r="O1284">
        <v>0</v>
      </c>
      <c r="P1284">
        <v>0</v>
      </c>
      <c r="Q1284">
        <v>0</v>
      </c>
      <c r="R1284">
        <v>0</v>
      </c>
      <c r="S1284">
        <v>0</v>
      </c>
      <c r="T1284">
        <v>0</v>
      </c>
      <c r="U1284">
        <v>0</v>
      </c>
      <c r="V1284">
        <v>84</v>
      </c>
      <c r="W1284">
        <v>588</v>
      </c>
      <c r="X1284">
        <v>0</v>
      </c>
      <c r="Z1284">
        <v>0</v>
      </c>
      <c r="AA1284">
        <v>0</v>
      </c>
      <c r="AB1284">
        <v>0</v>
      </c>
      <c r="AC1284">
        <v>0</v>
      </c>
      <c r="AD1284" t="s">
        <v>2643</v>
      </c>
    </row>
    <row r="1285" spans="1:30" x14ac:dyDescent="0.25">
      <c r="H1285" t="s">
        <v>2644</v>
      </c>
    </row>
    <row r="1286" spans="1:30" x14ac:dyDescent="0.25">
      <c r="A1286">
        <v>640</v>
      </c>
      <c r="B1286">
        <v>1785</v>
      </c>
      <c r="C1286" t="s">
        <v>2645</v>
      </c>
      <c r="D1286" t="s">
        <v>2646</v>
      </c>
      <c r="E1286" t="s">
        <v>389</v>
      </c>
      <c r="F1286" t="s">
        <v>2647</v>
      </c>
      <c r="G1286" t="str">
        <f>"201511036003"</f>
        <v>201511036003</v>
      </c>
      <c r="H1286" t="s">
        <v>1388</v>
      </c>
      <c r="I1286">
        <v>0</v>
      </c>
      <c r="J1286">
        <v>0</v>
      </c>
      <c r="K1286">
        <v>0</v>
      </c>
      <c r="L1286">
        <v>200</v>
      </c>
      <c r="M1286">
        <v>0</v>
      </c>
      <c r="N1286">
        <v>30</v>
      </c>
      <c r="O1286">
        <v>0</v>
      </c>
      <c r="P1286">
        <v>0</v>
      </c>
      <c r="Q1286">
        <v>0</v>
      </c>
      <c r="R1286">
        <v>0</v>
      </c>
      <c r="S1286">
        <v>0</v>
      </c>
      <c r="T1286">
        <v>0</v>
      </c>
      <c r="U1286">
        <v>0</v>
      </c>
      <c r="V1286">
        <v>47</v>
      </c>
      <c r="W1286">
        <v>329</v>
      </c>
      <c r="X1286">
        <v>0</v>
      </c>
      <c r="Z1286">
        <v>0</v>
      </c>
      <c r="AA1286">
        <v>0</v>
      </c>
      <c r="AB1286">
        <v>0</v>
      </c>
      <c r="AC1286">
        <v>0</v>
      </c>
      <c r="AD1286" t="s">
        <v>2648</v>
      </c>
    </row>
    <row r="1287" spans="1:30" x14ac:dyDescent="0.25">
      <c r="H1287" t="s">
        <v>2649</v>
      </c>
    </row>
    <row r="1288" spans="1:30" x14ac:dyDescent="0.25">
      <c r="A1288">
        <v>641</v>
      </c>
      <c r="B1288">
        <v>649</v>
      </c>
      <c r="C1288" t="s">
        <v>2650</v>
      </c>
      <c r="D1288" t="s">
        <v>2651</v>
      </c>
      <c r="E1288" t="s">
        <v>102</v>
      </c>
      <c r="F1288" t="s">
        <v>2652</v>
      </c>
      <c r="G1288" t="str">
        <f>"00007114"</f>
        <v>00007114</v>
      </c>
      <c r="H1288" t="s">
        <v>631</v>
      </c>
      <c r="I1288">
        <v>0</v>
      </c>
      <c r="J1288">
        <v>0</v>
      </c>
      <c r="K1288">
        <v>0</v>
      </c>
      <c r="L1288">
        <v>0</v>
      </c>
      <c r="M1288">
        <v>0</v>
      </c>
      <c r="N1288">
        <v>30</v>
      </c>
      <c r="O1288">
        <v>0</v>
      </c>
      <c r="P1288">
        <v>0</v>
      </c>
      <c r="Q1288">
        <v>0</v>
      </c>
      <c r="R1288">
        <v>0</v>
      </c>
      <c r="S1288">
        <v>0</v>
      </c>
      <c r="T1288">
        <v>0</v>
      </c>
      <c r="U1288">
        <v>0</v>
      </c>
      <c r="V1288">
        <v>66</v>
      </c>
      <c r="W1288">
        <v>462</v>
      </c>
      <c r="X1288">
        <v>0</v>
      </c>
      <c r="Z1288">
        <v>0</v>
      </c>
      <c r="AA1288">
        <v>0</v>
      </c>
      <c r="AB1288">
        <v>4</v>
      </c>
      <c r="AC1288">
        <v>68</v>
      </c>
      <c r="AD1288" t="s">
        <v>2653</v>
      </c>
    </row>
    <row r="1289" spans="1:30" x14ac:dyDescent="0.25">
      <c r="H1289" t="s">
        <v>2654</v>
      </c>
    </row>
    <row r="1290" spans="1:30" x14ac:dyDescent="0.25">
      <c r="A1290">
        <v>642</v>
      </c>
      <c r="B1290">
        <v>2365</v>
      </c>
      <c r="C1290" t="s">
        <v>2655</v>
      </c>
      <c r="D1290" t="s">
        <v>39</v>
      </c>
      <c r="E1290" t="s">
        <v>1145</v>
      </c>
      <c r="F1290" t="s">
        <v>2656</v>
      </c>
      <c r="G1290" t="str">
        <f>"201406007154"</f>
        <v>201406007154</v>
      </c>
      <c r="H1290">
        <v>693</v>
      </c>
      <c r="I1290">
        <v>0</v>
      </c>
      <c r="J1290">
        <v>0</v>
      </c>
      <c r="K1290">
        <v>0</v>
      </c>
      <c r="L1290">
        <v>0</v>
      </c>
      <c r="M1290">
        <v>0</v>
      </c>
      <c r="N1290">
        <v>70</v>
      </c>
      <c r="O1290">
        <v>50</v>
      </c>
      <c r="P1290">
        <v>0</v>
      </c>
      <c r="Q1290">
        <v>0</v>
      </c>
      <c r="R1290">
        <v>0</v>
      </c>
      <c r="S1290">
        <v>0</v>
      </c>
      <c r="T1290">
        <v>0</v>
      </c>
      <c r="U1290">
        <v>0</v>
      </c>
      <c r="V1290">
        <v>67</v>
      </c>
      <c r="W1290">
        <v>469</v>
      </c>
      <c r="X1290">
        <v>0</v>
      </c>
      <c r="Z1290">
        <v>0</v>
      </c>
      <c r="AA1290">
        <v>0</v>
      </c>
      <c r="AB1290">
        <v>0</v>
      </c>
      <c r="AC1290">
        <v>0</v>
      </c>
      <c r="AD1290">
        <v>1282</v>
      </c>
    </row>
    <row r="1291" spans="1:30" x14ac:dyDescent="0.25">
      <c r="H1291" t="s">
        <v>2657</v>
      </c>
    </row>
    <row r="1292" spans="1:30" x14ac:dyDescent="0.25">
      <c r="A1292">
        <v>643</v>
      </c>
      <c r="B1292">
        <v>143</v>
      </c>
      <c r="C1292" t="s">
        <v>2658</v>
      </c>
      <c r="D1292" t="s">
        <v>70</v>
      </c>
      <c r="E1292" t="s">
        <v>2659</v>
      </c>
      <c r="F1292" t="s">
        <v>2660</v>
      </c>
      <c r="G1292" t="str">
        <f>"00293713"</f>
        <v>00293713</v>
      </c>
      <c r="H1292" t="s">
        <v>861</v>
      </c>
      <c r="I1292">
        <v>0</v>
      </c>
      <c r="J1292">
        <v>0</v>
      </c>
      <c r="K1292">
        <v>0</v>
      </c>
      <c r="L1292">
        <v>0</v>
      </c>
      <c r="M1292">
        <v>0</v>
      </c>
      <c r="N1292">
        <v>30</v>
      </c>
      <c r="O1292">
        <v>0</v>
      </c>
      <c r="P1292">
        <v>0</v>
      </c>
      <c r="Q1292">
        <v>0</v>
      </c>
      <c r="R1292">
        <v>0</v>
      </c>
      <c r="S1292">
        <v>0</v>
      </c>
      <c r="T1292">
        <v>0</v>
      </c>
      <c r="U1292">
        <v>0</v>
      </c>
      <c r="V1292">
        <v>84</v>
      </c>
      <c r="W1292">
        <v>588</v>
      </c>
      <c r="X1292">
        <v>0</v>
      </c>
      <c r="Z1292">
        <v>0</v>
      </c>
      <c r="AA1292">
        <v>0</v>
      </c>
      <c r="AB1292">
        <v>0</v>
      </c>
      <c r="AC1292">
        <v>0</v>
      </c>
      <c r="AD1292" t="s">
        <v>2661</v>
      </c>
    </row>
    <row r="1293" spans="1:30" x14ac:dyDescent="0.25">
      <c r="H1293" t="s">
        <v>2662</v>
      </c>
    </row>
    <row r="1294" spans="1:30" x14ac:dyDescent="0.25">
      <c r="A1294">
        <v>644</v>
      </c>
      <c r="B1294">
        <v>4610</v>
      </c>
      <c r="C1294" t="s">
        <v>2663</v>
      </c>
      <c r="D1294" t="s">
        <v>397</v>
      </c>
      <c r="E1294" t="s">
        <v>1084</v>
      </c>
      <c r="F1294" t="s">
        <v>2664</v>
      </c>
      <c r="G1294" t="str">
        <f>"200803000350"</f>
        <v>200803000350</v>
      </c>
      <c r="H1294">
        <v>770</v>
      </c>
      <c r="I1294">
        <v>0</v>
      </c>
      <c r="J1294">
        <v>0</v>
      </c>
      <c r="K1294">
        <v>0</v>
      </c>
      <c r="L1294">
        <v>0</v>
      </c>
      <c r="M1294">
        <v>0</v>
      </c>
      <c r="N1294">
        <v>0</v>
      </c>
      <c r="O1294">
        <v>0</v>
      </c>
      <c r="P1294">
        <v>0</v>
      </c>
      <c r="Q1294">
        <v>0</v>
      </c>
      <c r="R1294">
        <v>0</v>
      </c>
      <c r="S1294">
        <v>0</v>
      </c>
      <c r="T1294">
        <v>0</v>
      </c>
      <c r="U1294">
        <v>0</v>
      </c>
      <c r="V1294">
        <v>73</v>
      </c>
      <c r="W1294">
        <v>511</v>
      </c>
      <c r="X1294">
        <v>0</v>
      </c>
      <c r="Z1294">
        <v>0</v>
      </c>
      <c r="AA1294">
        <v>0</v>
      </c>
      <c r="AB1294">
        <v>0</v>
      </c>
      <c r="AC1294">
        <v>0</v>
      </c>
      <c r="AD1294">
        <v>1281</v>
      </c>
    </row>
    <row r="1295" spans="1:30" x14ac:dyDescent="0.25">
      <c r="H1295" t="s">
        <v>2665</v>
      </c>
    </row>
    <row r="1296" spans="1:30" x14ac:dyDescent="0.25">
      <c r="A1296">
        <v>645</v>
      </c>
      <c r="B1296">
        <v>4479</v>
      </c>
      <c r="C1296" t="s">
        <v>2666</v>
      </c>
      <c r="D1296" t="s">
        <v>120</v>
      </c>
      <c r="E1296" t="s">
        <v>368</v>
      </c>
      <c r="F1296" t="s">
        <v>2667</v>
      </c>
      <c r="G1296" t="str">
        <f>"00338453"</f>
        <v>00338453</v>
      </c>
      <c r="H1296">
        <v>693</v>
      </c>
      <c r="I1296">
        <v>0</v>
      </c>
      <c r="J1296">
        <v>0</v>
      </c>
      <c r="K1296">
        <v>0</v>
      </c>
      <c r="L1296">
        <v>0</v>
      </c>
      <c r="M1296">
        <v>0</v>
      </c>
      <c r="N1296">
        <v>0</v>
      </c>
      <c r="O1296">
        <v>0</v>
      </c>
      <c r="P1296">
        <v>0</v>
      </c>
      <c r="Q1296">
        <v>0</v>
      </c>
      <c r="R1296">
        <v>0</v>
      </c>
      <c r="S1296">
        <v>0</v>
      </c>
      <c r="T1296">
        <v>0</v>
      </c>
      <c r="U1296">
        <v>0</v>
      </c>
      <c r="V1296">
        <v>84</v>
      </c>
      <c r="W1296">
        <v>588</v>
      </c>
      <c r="X1296">
        <v>0</v>
      </c>
      <c r="Z1296">
        <v>2</v>
      </c>
      <c r="AA1296">
        <v>0</v>
      </c>
      <c r="AB1296">
        <v>0</v>
      </c>
      <c r="AC1296">
        <v>0</v>
      </c>
      <c r="AD1296">
        <v>1281</v>
      </c>
    </row>
    <row r="1297" spans="1:30" x14ac:dyDescent="0.25">
      <c r="H1297" t="s">
        <v>2668</v>
      </c>
    </row>
    <row r="1298" spans="1:30" x14ac:dyDescent="0.25">
      <c r="A1298">
        <v>646</v>
      </c>
      <c r="B1298">
        <v>3069</v>
      </c>
      <c r="C1298" t="s">
        <v>2669</v>
      </c>
      <c r="D1298" t="s">
        <v>76</v>
      </c>
      <c r="E1298" t="s">
        <v>28</v>
      </c>
      <c r="F1298" t="s">
        <v>2670</v>
      </c>
      <c r="G1298" t="str">
        <f>"201402005994"</f>
        <v>201402005994</v>
      </c>
      <c r="H1298">
        <v>693</v>
      </c>
      <c r="I1298">
        <v>0</v>
      </c>
      <c r="J1298">
        <v>0</v>
      </c>
      <c r="K1298">
        <v>0</v>
      </c>
      <c r="L1298">
        <v>0</v>
      </c>
      <c r="M1298">
        <v>0</v>
      </c>
      <c r="N1298">
        <v>0</v>
      </c>
      <c r="O1298">
        <v>0</v>
      </c>
      <c r="P1298">
        <v>0</v>
      </c>
      <c r="Q1298">
        <v>0</v>
      </c>
      <c r="R1298">
        <v>0</v>
      </c>
      <c r="S1298">
        <v>0</v>
      </c>
      <c r="T1298">
        <v>0</v>
      </c>
      <c r="U1298">
        <v>0</v>
      </c>
      <c r="V1298">
        <v>84</v>
      </c>
      <c r="W1298">
        <v>588</v>
      </c>
      <c r="X1298">
        <v>0</v>
      </c>
      <c r="Z1298">
        <v>0</v>
      </c>
      <c r="AA1298">
        <v>0</v>
      </c>
      <c r="AB1298">
        <v>0</v>
      </c>
      <c r="AC1298">
        <v>0</v>
      </c>
      <c r="AD1298">
        <v>1281</v>
      </c>
    </row>
    <row r="1299" spans="1:30" x14ac:dyDescent="0.25">
      <c r="H1299" t="s">
        <v>2671</v>
      </c>
    </row>
    <row r="1300" spans="1:30" x14ac:dyDescent="0.25">
      <c r="A1300">
        <v>647</v>
      </c>
      <c r="B1300">
        <v>3185</v>
      </c>
      <c r="C1300" t="s">
        <v>2672</v>
      </c>
      <c r="D1300" t="s">
        <v>49</v>
      </c>
      <c r="E1300" t="s">
        <v>254</v>
      </c>
      <c r="F1300" t="s">
        <v>2673</v>
      </c>
      <c r="G1300" t="str">
        <f>"201411000839"</f>
        <v>201411000839</v>
      </c>
      <c r="H1300" t="s">
        <v>562</v>
      </c>
      <c r="I1300">
        <v>0</v>
      </c>
      <c r="J1300">
        <v>0</v>
      </c>
      <c r="K1300">
        <v>0</v>
      </c>
      <c r="L1300">
        <v>0</v>
      </c>
      <c r="M1300">
        <v>0</v>
      </c>
      <c r="N1300">
        <v>30</v>
      </c>
      <c r="O1300">
        <v>0</v>
      </c>
      <c r="P1300">
        <v>0</v>
      </c>
      <c r="Q1300">
        <v>0</v>
      </c>
      <c r="R1300">
        <v>0</v>
      </c>
      <c r="S1300">
        <v>0</v>
      </c>
      <c r="T1300">
        <v>0</v>
      </c>
      <c r="U1300">
        <v>0</v>
      </c>
      <c r="V1300">
        <v>73</v>
      </c>
      <c r="W1300">
        <v>511</v>
      </c>
      <c r="X1300">
        <v>0</v>
      </c>
      <c r="Z1300">
        <v>0</v>
      </c>
      <c r="AA1300">
        <v>0</v>
      </c>
      <c r="AB1300">
        <v>0</v>
      </c>
      <c r="AC1300">
        <v>0</v>
      </c>
      <c r="AD1300" t="s">
        <v>2674</v>
      </c>
    </row>
    <row r="1301" spans="1:30" x14ac:dyDescent="0.25">
      <c r="H1301" t="s">
        <v>2675</v>
      </c>
    </row>
    <row r="1302" spans="1:30" x14ac:dyDescent="0.25">
      <c r="A1302">
        <v>648</v>
      </c>
      <c r="B1302">
        <v>2687</v>
      </c>
      <c r="C1302" t="s">
        <v>2676</v>
      </c>
      <c r="D1302" t="s">
        <v>444</v>
      </c>
      <c r="E1302" t="s">
        <v>102</v>
      </c>
      <c r="F1302" t="s">
        <v>2677</v>
      </c>
      <c r="G1302" t="str">
        <f>"00333490"</f>
        <v>00333490</v>
      </c>
      <c r="H1302">
        <v>660</v>
      </c>
      <c r="I1302">
        <v>0</v>
      </c>
      <c r="J1302">
        <v>0</v>
      </c>
      <c r="K1302">
        <v>0</v>
      </c>
      <c r="L1302">
        <v>0</v>
      </c>
      <c r="M1302">
        <v>0</v>
      </c>
      <c r="N1302">
        <v>30</v>
      </c>
      <c r="O1302">
        <v>0</v>
      </c>
      <c r="P1302">
        <v>0</v>
      </c>
      <c r="Q1302">
        <v>0</v>
      </c>
      <c r="R1302">
        <v>0</v>
      </c>
      <c r="S1302">
        <v>0</v>
      </c>
      <c r="T1302">
        <v>0</v>
      </c>
      <c r="U1302">
        <v>0</v>
      </c>
      <c r="V1302">
        <v>84</v>
      </c>
      <c r="W1302">
        <v>588</v>
      </c>
      <c r="X1302">
        <v>0</v>
      </c>
      <c r="Z1302">
        <v>0</v>
      </c>
      <c r="AA1302">
        <v>0</v>
      </c>
      <c r="AB1302">
        <v>0</v>
      </c>
      <c r="AC1302">
        <v>0</v>
      </c>
      <c r="AD1302">
        <v>1278</v>
      </c>
    </row>
    <row r="1303" spans="1:30" x14ac:dyDescent="0.25">
      <c r="H1303" t="s">
        <v>2678</v>
      </c>
    </row>
    <row r="1304" spans="1:30" x14ac:dyDescent="0.25">
      <c r="A1304">
        <v>649</v>
      </c>
      <c r="B1304">
        <v>4420</v>
      </c>
      <c r="C1304" t="s">
        <v>2679</v>
      </c>
      <c r="D1304" t="s">
        <v>1248</v>
      </c>
      <c r="E1304" t="s">
        <v>120</v>
      </c>
      <c r="F1304" t="s">
        <v>2680</v>
      </c>
      <c r="G1304" t="str">
        <f>"00229220"</f>
        <v>00229220</v>
      </c>
      <c r="H1304">
        <v>660</v>
      </c>
      <c r="I1304">
        <v>0</v>
      </c>
      <c r="J1304">
        <v>0</v>
      </c>
      <c r="K1304">
        <v>0</v>
      </c>
      <c r="L1304">
        <v>0</v>
      </c>
      <c r="M1304">
        <v>0</v>
      </c>
      <c r="N1304">
        <v>30</v>
      </c>
      <c r="O1304">
        <v>0</v>
      </c>
      <c r="P1304">
        <v>0</v>
      </c>
      <c r="Q1304">
        <v>0</v>
      </c>
      <c r="R1304">
        <v>0</v>
      </c>
      <c r="S1304">
        <v>0</v>
      </c>
      <c r="T1304">
        <v>0</v>
      </c>
      <c r="U1304">
        <v>0</v>
      </c>
      <c r="V1304">
        <v>84</v>
      </c>
      <c r="W1304">
        <v>588</v>
      </c>
      <c r="X1304">
        <v>0</v>
      </c>
      <c r="Z1304">
        <v>0</v>
      </c>
      <c r="AA1304">
        <v>0</v>
      </c>
      <c r="AB1304">
        <v>0</v>
      </c>
      <c r="AC1304">
        <v>0</v>
      </c>
      <c r="AD1304">
        <v>1278</v>
      </c>
    </row>
    <row r="1305" spans="1:30" x14ac:dyDescent="0.25">
      <c r="H1305" t="s">
        <v>2681</v>
      </c>
    </row>
    <row r="1306" spans="1:30" x14ac:dyDescent="0.25">
      <c r="A1306">
        <v>650</v>
      </c>
      <c r="B1306">
        <v>5597</v>
      </c>
      <c r="C1306" t="s">
        <v>1497</v>
      </c>
      <c r="D1306" t="s">
        <v>1077</v>
      </c>
      <c r="E1306" t="s">
        <v>28</v>
      </c>
      <c r="F1306" t="s">
        <v>2682</v>
      </c>
      <c r="G1306" t="str">
        <f>"201406008053"</f>
        <v>201406008053</v>
      </c>
      <c r="H1306" t="s">
        <v>1007</v>
      </c>
      <c r="I1306">
        <v>0</v>
      </c>
      <c r="J1306">
        <v>0</v>
      </c>
      <c r="K1306">
        <v>0</v>
      </c>
      <c r="L1306">
        <v>0</v>
      </c>
      <c r="M1306">
        <v>0</v>
      </c>
      <c r="N1306">
        <v>30</v>
      </c>
      <c r="O1306">
        <v>0</v>
      </c>
      <c r="P1306">
        <v>0</v>
      </c>
      <c r="Q1306">
        <v>0</v>
      </c>
      <c r="R1306">
        <v>0</v>
      </c>
      <c r="S1306">
        <v>0</v>
      </c>
      <c r="T1306">
        <v>0</v>
      </c>
      <c r="U1306">
        <v>0</v>
      </c>
      <c r="V1306">
        <v>84</v>
      </c>
      <c r="W1306">
        <v>588</v>
      </c>
      <c r="X1306">
        <v>0</v>
      </c>
      <c r="Z1306">
        <v>1</v>
      </c>
      <c r="AA1306">
        <v>0</v>
      </c>
      <c r="AB1306">
        <v>0</v>
      </c>
      <c r="AC1306">
        <v>0</v>
      </c>
      <c r="AD1306" t="s">
        <v>2683</v>
      </c>
    </row>
    <row r="1307" spans="1:30" x14ac:dyDescent="0.25">
      <c r="H1307" t="s">
        <v>2325</v>
      </c>
    </row>
    <row r="1308" spans="1:30" x14ac:dyDescent="0.25">
      <c r="A1308">
        <v>651</v>
      </c>
      <c r="B1308">
        <v>2018</v>
      </c>
      <c r="C1308" t="s">
        <v>2684</v>
      </c>
      <c r="D1308" t="s">
        <v>2685</v>
      </c>
      <c r="E1308" t="s">
        <v>77</v>
      </c>
      <c r="F1308" t="s">
        <v>2686</v>
      </c>
      <c r="G1308" t="str">
        <f>"201511024303"</f>
        <v>201511024303</v>
      </c>
      <c r="H1308" t="s">
        <v>198</v>
      </c>
      <c r="I1308">
        <v>0</v>
      </c>
      <c r="J1308">
        <v>0</v>
      </c>
      <c r="K1308">
        <v>0</v>
      </c>
      <c r="L1308">
        <v>0</v>
      </c>
      <c r="M1308">
        <v>0</v>
      </c>
      <c r="N1308">
        <v>0</v>
      </c>
      <c r="O1308">
        <v>0</v>
      </c>
      <c r="P1308">
        <v>0</v>
      </c>
      <c r="Q1308">
        <v>0</v>
      </c>
      <c r="R1308">
        <v>0</v>
      </c>
      <c r="S1308">
        <v>0</v>
      </c>
      <c r="T1308">
        <v>0</v>
      </c>
      <c r="U1308">
        <v>0</v>
      </c>
      <c r="V1308">
        <v>78</v>
      </c>
      <c r="W1308">
        <v>546</v>
      </c>
      <c r="X1308">
        <v>0</v>
      </c>
      <c r="Z1308">
        <v>0</v>
      </c>
      <c r="AA1308">
        <v>0</v>
      </c>
      <c r="AB1308">
        <v>0</v>
      </c>
      <c r="AC1308">
        <v>0</v>
      </c>
      <c r="AD1308" t="s">
        <v>2687</v>
      </c>
    </row>
    <row r="1309" spans="1:30" x14ac:dyDescent="0.25">
      <c r="H1309" t="s">
        <v>2688</v>
      </c>
    </row>
    <row r="1310" spans="1:30" x14ac:dyDescent="0.25">
      <c r="A1310">
        <v>652</v>
      </c>
      <c r="B1310">
        <v>2270</v>
      </c>
      <c r="C1310" t="s">
        <v>2689</v>
      </c>
      <c r="D1310" t="s">
        <v>120</v>
      </c>
      <c r="E1310" t="s">
        <v>49</v>
      </c>
      <c r="F1310" t="s">
        <v>2690</v>
      </c>
      <c r="G1310" t="str">
        <f>"00325554"</f>
        <v>00325554</v>
      </c>
      <c r="H1310">
        <v>759</v>
      </c>
      <c r="I1310">
        <v>0</v>
      </c>
      <c r="J1310">
        <v>0</v>
      </c>
      <c r="K1310">
        <v>0</v>
      </c>
      <c r="L1310">
        <v>200</v>
      </c>
      <c r="M1310">
        <v>0</v>
      </c>
      <c r="N1310">
        <v>50</v>
      </c>
      <c r="O1310">
        <v>0</v>
      </c>
      <c r="P1310">
        <v>0</v>
      </c>
      <c r="Q1310">
        <v>0</v>
      </c>
      <c r="R1310">
        <v>0</v>
      </c>
      <c r="S1310">
        <v>0</v>
      </c>
      <c r="T1310">
        <v>0</v>
      </c>
      <c r="U1310">
        <v>0</v>
      </c>
      <c r="V1310">
        <v>38</v>
      </c>
      <c r="W1310">
        <v>266</v>
      </c>
      <c r="X1310">
        <v>0</v>
      </c>
      <c r="Z1310">
        <v>0</v>
      </c>
      <c r="AA1310">
        <v>0</v>
      </c>
      <c r="AB1310">
        <v>0</v>
      </c>
      <c r="AC1310">
        <v>0</v>
      </c>
      <c r="AD1310">
        <v>1275</v>
      </c>
    </row>
    <row r="1311" spans="1:30" x14ac:dyDescent="0.25">
      <c r="H1311" t="s">
        <v>2691</v>
      </c>
    </row>
    <row r="1312" spans="1:30" x14ac:dyDescent="0.25">
      <c r="A1312">
        <v>653</v>
      </c>
      <c r="B1312">
        <v>5499</v>
      </c>
      <c r="C1312" t="s">
        <v>2692</v>
      </c>
      <c r="D1312" t="s">
        <v>40</v>
      </c>
      <c r="E1312" t="s">
        <v>142</v>
      </c>
      <c r="F1312" t="s">
        <v>2693</v>
      </c>
      <c r="G1312" t="str">
        <f>"201412005714"</f>
        <v>201412005714</v>
      </c>
      <c r="H1312" t="s">
        <v>2628</v>
      </c>
      <c r="I1312">
        <v>0</v>
      </c>
      <c r="J1312">
        <v>0</v>
      </c>
      <c r="K1312">
        <v>0</v>
      </c>
      <c r="L1312">
        <v>200</v>
      </c>
      <c r="M1312">
        <v>0</v>
      </c>
      <c r="N1312">
        <v>0</v>
      </c>
      <c r="O1312">
        <v>0</v>
      </c>
      <c r="P1312">
        <v>0</v>
      </c>
      <c r="Q1312">
        <v>0</v>
      </c>
      <c r="R1312">
        <v>0</v>
      </c>
      <c r="S1312">
        <v>0</v>
      </c>
      <c r="T1312">
        <v>0</v>
      </c>
      <c r="U1312">
        <v>0</v>
      </c>
      <c r="V1312">
        <v>58</v>
      </c>
      <c r="W1312">
        <v>406</v>
      </c>
      <c r="X1312">
        <v>0</v>
      </c>
      <c r="Z1312">
        <v>0</v>
      </c>
      <c r="AA1312">
        <v>0</v>
      </c>
      <c r="AB1312">
        <v>0</v>
      </c>
      <c r="AC1312">
        <v>0</v>
      </c>
      <c r="AD1312" t="s">
        <v>2694</v>
      </c>
    </row>
    <row r="1313" spans="1:30" x14ac:dyDescent="0.25">
      <c r="H1313" t="s">
        <v>2695</v>
      </c>
    </row>
    <row r="1314" spans="1:30" x14ac:dyDescent="0.25">
      <c r="A1314">
        <v>654</v>
      </c>
      <c r="B1314">
        <v>993</v>
      </c>
      <c r="C1314" t="s">
        <v>2696</v>
      </c>
      <c r="D1314" t="s">
        <v>218</v>
      </c>
      <c r="E1314" t="s">
        <v>2697</v>
      </c>
      <c r="F1314" t="s">
        <v>2698</v>
      </c>
      <c r="G1314" t="str">
        <f>"201406004251"</f>
        <v>201406004251</v>
      </c>
      <c r="H1314" t="s">
        <v>739</v>
      </c>
      <c r="I1314">
        <v>0</v>
      </c>
      <c r="J1314">
        <v>0</v>
      </c>
      <c r="K1314">
        <v>0</v>
      </c>
      <c r="L1314">
        <v>200</v>
      </c>
      <c r="M1314">
        <v>0</v>
      </c>
      <c r="N1314">
        <v>50</v>
      </c>
      <c r="O1314">
        <v>0</v>
      </c>
      <c r="P1314">
        <v>0</v>
      </c>
      <c r="Q1314">
        <v>0</v>
      </c>
      <c r="R1314">
        <v>0</v>
      </c>
      <c r="S1314">
        <v>0</v>
      </c>
      <c r="T1314">
        <v>0</v>
      </c>
      <c r="U1314">
        <v>0</v>
      </c>
      <c r="V1314">
        <v>40</v>
      </c>
      <c r="W1314">
        <v>280</v>
      </c>
      <c r="X1314">
        <v>0</v>
      </c>
      <c r="Z1314">
        <v>0</v>
      </c>
      <c r="AA1314">
        <v>0</v>
      </c>
      <c r="AB1314">
        <v>0</v>
      </c>
      <c r="AC1314">
        <v>0</v>
      </c>
      <c r="AD1314" t="s">
        <v>2699</v>
      </c>
    </row>
    <row r="1315" spans="1:30" x14ac:dyDescent="0.25">
      <c r="H1315" t="s">
        <v>2700</v>
      </c>
    </row>
    <row r="1316" spans="1:30" x14ac:dyDescent="0.25">
      <c r="A1316">
        <v>655</v>
      </c>
      <c r="B1316">
        <v>5570</v>
      </c>
      <c r="C1316" t="s">
        <v>2701</v>
      </c>
      <c r="D1316" t="s">
        <v>218</v>
      </c>
      <c r="E1316" t="s">
        <v>389</v>
      </c>
      <c r="F1316" t="s">
        <v>2702</v>
      </c>
      <c r="G1316" t="str">
        <f>"201412005812"</f>
        <v>201412005812</v>
      </c>
      <c r="H1316" t="s">
        <v>2703</v>
      </c>
      <c r="I1316">
        <v>0</v>
      </c>
      <c r="J1316">
        <v>0</v>
      </c>
      <c r="K1316">
        <v>0</v>
      </c>
      <c r="L1316">
        <v>0</v>
      </c>
      <c r="M1316">
        <v>0</v>
      </c>
      <c r="N1316">
        <v>0</v>
      </c>
      <c r="O1316">
        <v>0</v>
      </c>
      <c r="P1316">
        <v>0</v>
      </c>
      <c r="Q1316">
        <v>0</v>
      </c>
      <c r="R1316">
        <v>0</v>
      </c>
      <c r="S1316">
        <v>0</v>
      </c>
      <c r="T1316">
        <v>0</v>
      </c>
      <c r="U1316">
        <v>0</v>
      </c>
      <c r="V1316">
        <v>84</v>
      </c>
      <c r="W1316">
        <v>588</v>
      </c>
      <c r="X1316">
        <v>0</v>
      </c>
      <c r="Z1316">
        <v>0</v>
      </c>
      <c r="AA1316">
        <v>0</v>
      </c>
      <c r="AB1316">
        <v>0</v>
      </c>
      <c r="AC1316">
        <v>0</v>
      </c>
      <c r="AD1316" t="s">
        <v>2704</v>
      </c>
    </row>
    <row r="1317" spans="1:30" x14ac:dyDescent="0.25">
      <c r="H1317" t="s">
        <v>2705</v>
      </c>
    </row>
    <row r="1318" spans="1:30" x14ac:dyDescent="0.25">
      <c r="A1318">
        <v>656</v>
      </c>
      <c r="B1318">
        <v>2680</v>
      </c>
      <c r="C1318" t="s">
        <v>2706</v>
      </c>
      <c r="D1318" t="s">
        <v>598</v>
      </c>
      <c r="E1318" t="s">
        <v>77</v>
      </c>
      <c r="F1318" t="s">
        <v>2707</v>
      </c>
      <c r="G1318" t="str">
        <f>"00220528"</f>
        <v>00220528</v>
      </c>
      <c r="H1318" t="s">
        <v>427</v>
      </c>
      <c r="I1318">
        <v>0</v>
      </c>
      <c r="J1318">
        <v>0</v>
      </c>
      <c r="K1318">
        <v>0</v>
      </c>
      <c r="L1318">
        <v>0</v>
      </c>
      <c r="M1318">
        <v>0</v>
      </c>
      <c r="N1318">
        <v>0</v>
      </c>
      <c r="O1318">
        <v>0</v>
      </c>
      <c r="P1318">
        <v>0</v>
      </c>
      <c r="Q1318">
        <v>0</v>
      </c>
      <c r="R1318">
        <v>0</v>
      </c>
      <c r="S1318">
        <v>0</v>
      </c>
      <c r="T1318">
        <v>0</v>
      </c>
      <c r="U1318">
        <v>0</v>
      </c>
      <c r="V1318">
        <v>81</v>
      </c>
      <c r="W1318">
        <v>567</v>
      </c>
      <c r="X1318">
        <v>0</v>
      </c>
      <c r="Z1318">
        <v>0</v>
      </c>
      <c r="AA1318">
        <v>0</v>
      </c>
      <c r="AB1318">
        <v>0</v>
      </c>
      <c r="AC1318">
        <v>0</v>
      </c>
      <c r="AD1318" t="s">
        <v>2708</v>
      </c>
    </row>
    <row r="1319" spans="1:30" x14ac:dyDescent="0.25">
      <c r="H1319" t="s">
        <v>2709</v>
      </c>
    </row>
    <row r="1320" spans="1:30" x14ac:dyDescent="0.25">
      <c r="A1320">
        <v>657</v>
      </c>
      <c r="B1320">
        <v>5046</v>
      </c>
      <c r="C1320" t="s">
        <v>2710</v>
      </c>
      <c r="D1320" t="s">
        <v>102</v>
      </c>
      <c r="E1320" t="s">
        <v>28</v>
      </c>
      <c r="F1320" t="s">
        <v>2711</v>
      </c>
      <c r="G1320" t="str">
        <f>"201402011507"</f>
        <v>201402011507</v>
      </c>
      <c r="H1320">
        <v>737</v>
      </c>
      <c r="I1320">
        <v>0</v>
      </c>
      <c r="J1320">
        <v>0</v>
      </c>
      <c r="K1320">
        <v>0</v>
      </c>
      <c r="L1320">
        <v>200</v>
      </c>
      <c r="M1320">
        <v>0</v>
      </c>
      <c r="N1320">
        <v>0</v>
      </c>
      <c r="O1320">
        <v>0</v>
      </c>
      <c r="P1320">
        <v>0</v>
      </c>
      <c r="Q1320">
        <v>0</v>
      </c>
      <c r="R1320">
        <v>0</v>
      </c>
      <c r="S1320">
        <v>0</v>
      </c>
      <c r="T1320">
        <v>0</v>
      </c>
      <c r="U1320">
        <v>0</v>
      </c>
      <c r="V1320">
        <v>48</v>
      </c>
      <c r="W1320">
        <v>336</v>
      </c>
      <c r="X1320">
        <v>0</v>
      </c>
      <c r="Z1320">
        <v>0</v>
      </c>
      <c r="AA1320">
        <v>0</v>
      </c>
      <c r="AB1320">
        <v>0</v>
      </c>
      <c r="AC1320">
        <v>0</v>
      </c>
      <c r="AD1320">
        <v>1273</v>
      </c>
    </row>
    <row r="1321" spans="1:30" x14ac:dyDescent="0.25">
      <c r="H1321" t="s">
        <v>2712</v>
      </c>
    </row>
    <row r="1322" spans="1:30" x14ac:dyDescent="0.25">
      <c r="A1322">
        <v>658</v>
      </c>
      <c r="B1322">
        <v>603</v>
      </c>
      <c r="C1322" t="s">
        <v>2713</v>
      </c>
      <c r="D1322" t="s">
        <v>76</v>
      </c>
      <c r="E1322" t="s">
        <v>2714</v>
      </c>
      <c r="F1322" t="s">
        <v>2715</v>
      </c>
      <c r="G1322" t="str">
        <f>"201406008982"</f>
        <v>201406008982</v>
      </c>
      <c r="H1322">
        <v>671</v>
      </c>
      <c r="I1322">
        <v>0</v>
      </c>
      <c r="J1322">
        <v>0</v>
      </c>
      <c r="K1322">
        <v>0</v>
      </c>
      <c r="L1322">
        <v>0</v>
      </c>
      <c r="M1322">
        <v>0</v>
      </c>
      <c r="N1322">
        <v>70</v>
      </c>
      <c r="O1322">
        <v>0</v>
      </c>
      <c r="P1322">
        <v>0</v>
      </c>
      <c r="Q1322">
        <v>0</v>
      </c>
      <c r="R1322">
        <v>0</v>
      </c>
      <c r="S1322">
        <v>0</v>
      </c>
      <c r="T1322">
        <v>0</v>
      </c>
      <c r="U1322">
        <v>0</v>
      </c>
      <c r="V1322">
        <v>76</v>
      </c>
      <c r="W1322">
        <v>532</v>
      </c>
      <c r="X1322">
        <v>0</v>
      </c>
      <c r="Z1322">
        <v>0</v>
      </c>
      <c r="AA1322">
        <v>0</v>
      </c>
      <c r="AB1322">
        <v>0</v>
      </c>
      <c r="AC1322">
        <v>0</v>
      </c>
      <c r="AD1322">
        <v>1273</v>
      </c>
    </row>
    <row r="1323" spans="1:30" x14ac:dyDescent="0.25">
      <c r="H1323" t="s">
        <v>2716</v>
      </c>
    </row>
    <row r="1324" spans="1:30" x14ac:dyDescent="0.25">
      <c r="A1324">
        <v>659</v>
      </c>
      <c r="B1324">
        <v>4593</v>
      </c>
      <c r="C1324" t="s">
        <v>2717</v>
      </c>
      <c r="D1324" t="s">
        <v>525</v>
      </c>
      <c r="E1324" t="s">
        <v>756</v>
      </c>
      <c r="F1324" t="s">
        <v>2718</v>
      </c>
      <c r="G1324" t="str">
        <f>"00298055"</f>
        <v>00298055</v>
      </c>
      <c r="H1324" t="s">
        <v>2719</v>
      </c>
      <c r="I1324">
        <v>0</v>
      </c>
      <c r="J1324">
        <v>0</v>
      </c>
      <c r="K1324">
        <v>0</v>
      </c>
      <c r="L1324">
        <v>0</v>
      </c>
      <c r="M1324">
        <v>0</v>
      </c>
      <c r="N1324">
        <v>30</v>
      </c>
      <c r="O1324">
        <v>0</v>
      </c>
      <c r="P1324">
        <v>0</v>
      </c>
      <c r="Q1324">
        <v>0</v>
      </c>
      <c r="R1324">
        <v>0</v>
      </c>
      <c r="S1324">
        <v>0</v>
      </c>
      <c r="T1324">
        <v>0</v>
      </c>
      <c r="U1324">
        <v>0</v>
      </c>
      <c r="V1324">
        <v>63</v>
      </c>
      <c r="W1324">
        <v>441</v>
      </c>
      <c r="X1324">
        <v>0</v>
      </c>
      <c r="Z1324">
        <v>1</v>
      </c>
      <c r="AA1324">
        <v>0</v>
      </c>
      <c r="AB1324">
        <v>0</v>
      </c>
      <c r="AC1324">
        <v>0</v>
      </c>
      <c r="AD1324" t="s">
        <v>2720</v>
      </c>
    </row>
    <row r="1325" spans="1:30" x14ac:dyDescent="0.25">
      <c r="H1325" t="s">
        <v>2721</v>
      </c>
    </row>
    <row r="1326" spans="1:30" x14ac:dyDescent="0.25">
      <c r="A1326">
        <v>660</v>
      </c>
      <c r="B1326">
        <v>261</v>
      </c>
      <c r="C1326" t="s">
        <v>2722</v>
      </c>
      <c r="D1326" t="s">
        <v>32</v>
      </c>
      <c r="E1326" t="s">
        <v>120</v>
      </c>
      <c r="F1326" t="s">
        <v>2723</v>
      </c>
      <c r="G1326" t="str">
        <f>"00269051"</f>
        <v>00269051</v>
      </c>
      <c r="H1326" t="s">
        <v>2724</v>
      </c>
      <c r="I1326">
        <v>0</v>
      </c>
      <c r="J1326">
        <v>0</v>
      </c>
      <c r="K1326">
        <v>0</v>
      </c>
      <c r="L1326">
        <v>0</v>
      </c>
      <c r="M1326">
        <v>0</v>
      </c>
      <c r="N1326">
        <v>30</v>
      </c>
      <c r="O1326">
        <v>0</v>
      </c>
      <c r="P1326">
        <v>0</v>
      </c>
      <c r="Q1326">
        <v>0</v>
      </c>
      <c r="R1326">
        <v>0</v>
      </c>
      <c r="S1326">
        <v>0</v>
      </c>
      <c r="T1326">
        <v>0</v>
      </c>
      <c r="U1326">
        <v>0</v>
      </c>
      <c r="V1326">
        <v>80</v>
      </c>
      <c r="W1326">
        <v>560</v>
      </c>
      <c r="X1326">
        <v>0</v>
      </c>
      <c r="Z1326">
        <v>0</v>
      </c>
      <c r="AA1326">
        <v>0</v>
      </c>
      <c r="AB1326">
        <v>4</v>
      </c>
      <c r="AC1326">
        <v>68</v>
      </c>
      <c r="AD1326" t="s">
        <v>2720</v>
      </c>
    </row>
    <row r="1327" spans="1:30" x14ac:dyDescent="0.25">
      <c r="H1327" t="s">
        <v>2725</v>
      </c>
    </row>
    <row r="1328" spans="1:30" x14ac:dyDescent="0.25">
      <c r="A1328">
        <v>661</v>
      </c>
      <c r="B1328">
        <v>1776</v>
      </c>
      <c r="C1328" t="s">
        <v>2726</v>
      </c>
      <c r="D1328" t="s">
        <v>444</v>
      </c>
      <c r="E1328" t="s">
        <v>2727</v>
      </c>
      <c r="F1328" t="s">
        <v>2728</v>
      </c>
      <c r="G1328" t="str">
        <f>"00311817"</f>
        <v>00311817</v>
      </c>
      <c r="H1328" t="s">
        <v>2457</v>
      </c>
      <c r="I1328">
        <v>0</v>
      </c>
      <c r="J1328">
        <v>0</v>
      </c>
      <c r="K1328">
        <v>0</v>
      </c>
      <c r="L1328">
        <v>0</v>
      </c>
      <c r="M1328">
        <v>0</v>
      </c>
      <c r="N1328">
        <v>0</v>
      </c>
      <c r="O1328">
        <v>0</v>
      </c>
      <c r="P1328">
        <v>0</v>
      </c>
      <c r="Q1328">
        <v>0</v>
      </c>
      <c r="R1328">
        <v>0</v>
      </c>
      <c r="S1328">
        <v>0</v>
      </c>
      <c r="T1328">
        <v>0</v>
      </c>
      <c r="U1328">
        <v>0</v>
      </c>
      <c r="V1328">
        <v>84</v>
      </c>
      <c r="W1328">
        <v>588</v>
      </c>
      <c r="X1328">
        <v>0</v>
      </c>
      <c r="Z1328">
        <v>0</v>
      </c>
      <c r="AA1328">
        <v>0</v>
      </c>
      <c r="AB1328">
        <v>0</v>
      </c>
      <c r="AC1328">
        <v>0</v>
      </c>
      <c r="AD1328" t="s">
        <v>2729</v>
      </c>
    </row>
    <row r="1329" spans="1:30" x14ac:dyDescent="0.25">
      <c r="H1329" t="s">
        <v>2730</v>
      </c>
    </row>
    <row r="1330" spans="1:30" x14ac:dyDescent="0.25">
      <c r="A1330">
        <v>662</v>
      </c>
      <c r="B1330">
        <v>611</v>
      </c>
      <c r="C1330" t="s">
        <v>2731</v>
      </c>
      <c r="D1330" t="s">
        <v>2273</v>
      </c>
      <c r="E1330" t="s">
        <v>167</v>
      </c>
      <c r="F1330" t="s">
        <v>2732</v>
      </c>
      <c r="G1330" t="str">
        <f>"200812000797"</f>
        <v>200812000797</v>
      </c>
      <c r="H1330" t="s">
        <v>2733</v>
      </c>
      <c r="I1330">
        <v>0</v>
      </c>
      <c r="J1330">
        <v>0</v>
      </c>
      <c r="K1330">
        <v>0</v>
      </c>
      <c r="L1330">
        <v>0</v>
      </c>
      <c r="M1330">
        <v>0</v>
      </c>
      <c r="N1330">
        <v>70</v>
      </c>
      <c r="O1330">
        <v>0</v>
      </c>
      <c r="P1330">
        <v>0</v>
      </c>
      <c r="Q1330">
        <v>0</v>
      </c>
      <c r="R1330">
        <v>0</v>
      </c>
      <c r="S1330">
        <v>0</v>
      </c>
      <c r="T1330">
        <v>0</v>
      </c>
      <c r="U1330">
        <v>0</v>
      </c>
      <c r="V1330">
        <v>23</v>
      </c>
      <c r="W1330">
        <v>161</v>
      </c>
      <c r="X1330">
        <v>0</v>
      </c>
      <c r="Z1330">
        <v>0</v>
      </c>
      <c r="AA1330">
        <v>0</v>
      </c>
      <c r="AB1330">
        <v>24</v>
      </c>
      <c r="AC1330">
        <v>408</v>
      </c>
      <c r="AD1330" t="s">
        <v>2734</v>
      </c>
    </row>
    <row r="1331" spans="1:30" x14ac:dyDescent="0.25">
      <c r="H1331" t="s">
        <v>2735</v>
      </c>
    </row>
    <row r="1332" spans="1:30" x14ac:dyDescent="0.25">
      <c r="A1332">
        <v>663</v>
      </c>
      <c r="B1332">
        <v>4515</v>
      </c>
      <c r="C1332" t="s">
        <v>1405</v>
      </c>
      <c r="D1332" t="s">
        <v>120</v>
      </c>
      <c r="E1332" t="s">
        <v>254</v>
      </c>
      <c r="F1332" t="s">
        <v>2736</v>
      </c>
      <c r="G1332" t="str">
        <f>"201406004390"</f>
        <v>201406004390</v>
      </c>
      <c r="H1332" t="s">
        <v>2737</v>
      </c>
      <c r="I1332">
        <v>0</v>
      </c>
      <c r="J1332">
        <v>0</v>
      </c>
      <c r="K1332">
        <v>0</v>
      </c>
      <c r="L1332">
        <v>200</v>
      </c>
      <c r="M1332">
        <v>0</v>
      </c>
      <c r="N1332">
        <v>30</v>
      </c>
      <c r="O1332">
        <v>0</v>
      </c>
      <c r="P1332">
        <v>0</v>
      </c>
      <c r="Q1332">
        <v>0</v>
      </c>
      <c r="R1332">
        <v>0</v>
      </c>
      <c r="S1332">
        <v>0</v>
      </c>
      <c r="T1332">
        <v>0</v>
      </c>
      <c r="U1332">
        <v>0</v>
      </c>
      <c r="V1332">
        <v>19</v>
      </c>
      <c r="W1332">
        <v>133</v>
      </c>
      <c r="X1332">
        <v>0</v>
      </c>
      <c r="Z1332">
        <v>0</v>
      </c>
      <c r="AA1332">
        <v>0</v>
      </c>
      <c r="AB1332">
        <v>0</v>
      </c>
      <c r="AC1332">
        <v>0</v>
      </c>
      <c r="AD1332" t="s">
        <v>2738</v>
      </c>
    </row>
    <row r="1333" spans="1:30" x14ac:dyDescent="0.25">
      <c r="H1333" t="s">
        <v>2739</v>
      </c>
    </row>
    <row r="1334" spans="1:30" x14ac:dyDescent="0.25">
      <c r="A1334">
        <v>664</v>
      </c>
      <c r="B1334">
        <v>5617</v>
      </c>
      <c r="C1334" t="s">
        <v>2740</v>
      </c>
      <c r="D1334" t="s">
        <v>107</v>
      </c>
      <c r="E1334" t="s">
        <v>120</v>
      </c>
      <c r="F1334" t="s">
        <v>2741</v>
      </c>
      <c r="G1334" t="str">
        <f>"201511038208"</f>
        <v>201511038208</v>
      </c>
      <c r="H1334">
        <v>682</v>
      </c>
      <c r="I1334">
        <v>0</v>
      </c>
      <c r="J1334">
        <v>0</v>
      </c>
      <c r="K1334">
        <v>0</v>
      </c>
      <c r="L1334">
        <v>0</v>
      </c>
      <c r="M1334">
        <v>0</v>
      </c>
      <c r="N1334">
        <v>0</v>
      </c>
      <c r="O1334">
        <v>0</v>
      </c>
      <c r="P1334">
        <v>0</v>
      </c>
      <c r="Q1334">
        <v>0</v>
      </c>
      <c r="R1334">
        <v>0</v>
      </c>
      <c r="S1334">
        <v>0</v>
      </c>
      <c r="T1334">
        <v>0</v>
      </c>
      <c r="U1334">
        <v>0</v>
      </c>
      <c r="V1334">
        <v>84</v>
      </c>
      <c r="W1334">
        <v>588</v>
      </c>
      <c r="X1334">
        <v>0</v>
      </c>
      <c r="Z1334">
        <v>0</v>
      </c>
      <c r="AA1334">
        <v>0</v>
      </c>
      <c r="AB1334">
        <v>0</v>
      </c>
      <c r="AC1334">
        <v>0</v>
      </c>
      <c r="AD1334">
        <v>1270</v>
      </c>
    </row>
    <row r="1335" spans="1:30" x14ac:dyDescent="0.25">
      <c r="H1335" t="s">
        <v>2742</v>
      </c>
    </row>
    <row r="1336" spans="1:30" x14ac:dyDescent="0.25">
      <c r="A1336">
        <v>665</v>
      </c>
      <c r="B1336">
        <v>4810</v>
      </c>
      <c r="C1336" t="s">
        <v>2743</v>
      </c>
      <c r="D1336" t="s">
        <v>102</v>
      </c>
      <c r="E1336" t="s">
        <v>32</v>
      </c>
      <c r="F1336" t="s">
        <v>2744</v>
      </c>
      <c r="G1336" t="str">
        <f>"200802011824"</f>
        <v>200802011824</v>
      </c>
      <c r="H1336">
        <v>682</v>
      </c>
      <c r="I1336">
        <v>0</v>
      </c>
      <c r="J1336">
        <v>0</v>
      </c>
      <c r="K1336">
        <v>0</v>
      </c>
      <c r="L1336">
        <v>0</v>
      </c>
      <c r="M1336">
        <v>0</v>
      </c>
      <c r="N1336">
        <v>0</v>
      </c>
      <c r="O1336">
        <v>0</v>
      </c>
      <c r="P1336">
        <v>0</v>
      </c>
      <c r="Q1336">
        <v>0</v>
      </c>
      <c r="R1336">
        <v>0</v>
      </c>
      <c r="S1336">
        <v>0</v>
      </c>
      <c r="T1336">
        <v>0</v>
      </c>
      <c r="U1336">
        <v>0</v>
      </c>
      <c r="V1336">
        <v>84</v>
      </c>
      <c r="W1336">
        <v>588</v>
      </c>
      <c r="X1336">
        <v>0</v>
      </c>
      <c r="Z1336">
        <v>0</v>
      </c>
      <c r="AA1336">
        <v>0</v>
      </c>
      <c r="AB1336">
        <v>0</v>
      </c>
      <c r="AC1336">
        <v>0</v>
      </c>
      <c r="AD1336">
        <v>1270</v>
      </c>
    </row>
    <row r="1337" spans="1:30" x14ac:dyDescent="0.25">
      <c r="H1337" t="s">
        <v>2745</v>
      </c>
    </row>
    <row r="1338" spans="1:30" x14ac:dyDescent="0.25">
      <c r="A1338">
        <v>666</v>
      </c>
      <c r="B1338">
        <v>6056</v>
      </c>
      <c r="C1338" t="s">
        <v>2746</v>
      </c>
      <c r="D1338" t="s">
        <v>218</v>
      </c>
      <c r="E1338" t="s">
        <v>32</v>
      </c>
      <c r="F1338" t="s">
        <v>2747</v>
      </c>
      <c r="G1338" t="str">
        <f>"201406001167"</f>
        <v>201406001167</v>
      </c>
      <c r="H1338" t="s">
        <v>573</v>
      </c>
      <c r="I1338">
        <v>0</v>
      </c>
      <c r="J1338">
        <v>0</v>
      </c>
      <c r="K1338">
        <v>0</v>
      </c>
      <c r="L1338">
        <v>200</v>
      </c>
      <c r="M1338">
        <v>0</v>
      </c>
      <c r="N1338">
        <v>30</v>
      </c>
      <c r="O1338">
        <v>0</v>
      </c>
      <c r="P1338">
        <v>0</v>
      </c>
      <c r="Q1338">
        <v>0</v>
      </c>
      <c r="R1338">
        <v>0</v>
      </c>
      <c r="S1338">
        <v>0</v>
      </c>
      <c r="T1338">
        <v>0</v>
      </c>
      <c r="U1338">
        <v>0</v>
      </c>
      <c r="V1338">
        <v>39</v>
      </c>
      <c r="W1338">
        <v>273</v>
      </c>
      <c r="X1338">
        <v>0</v>
      </c>
      <c r="Z1338">
        <v>1</v>
      </c>
      <c r="AA1338">
        <v>0</v>
      </c>
      <c r="AB1338">
        <v>0</v>
      </c>
      <c r="AC1338">
        <v>0</v>
      </c>
      <c r="AD1338" t="s">
        <v>2748</v>
      </c>
    </row>
    <row r="1339" spans="1:30" x14ac:dyDescent="0.25">
      <c r="H1339" t="s">
        <v>2749</v>
      </c>
    </row>
    <row r="1340" spans="1:30" x14ac:dyDescent="0.25">
      <c r="A1340">
        <v>667</v>
      </c>
      <c r="B1340">
        <v>5724</v>
      </c>
      <c r="C1340" t="s">
        <v>2750</v>
      </c>
      <c r="D1340" t="s">
        <v>218</v>
      </c>
      <c r="E1340" t="s">
        <v>1127</v>
      </c>
      <c r="F1340" t="s">
        <v>2751</v>
      </c>
      <c r="G1340" t="str">
        <f>"00327706"</f>
        <v>00327706</v>
      </c>
      <c r="H1340" t="s">
        <v>2497</v>
      </c>
      <c r="I1340">
        <v>0</v>
      </c>
      <c r="J1340">
        <v>0</v>
      </c>
      <c r="K1340">
        <v>0</v>
      </c>
      <c r="L1340">
        <v>0</v>
      </c>
      <c r="M1340">
        <v>0</v>
      </c>
      <c r="N1340">
        <v>0</v>
      </c>
      <c r="O1340">
        <v>0</v>
      </c>
      <c r="P1340">
        <v>0</v>
      </c>
      <c r="Q1340">
        <v>0</v>
      </c>
      <c r="R1340">
        <v>0</v>
      </c>
      <c r="S1340">
        <v>0</v>
      </c>
      <c r="T1340">
        <v>0</v>
      </c>
      <c r="U1340">
        <v>0</v>
      </c>
      <c r="V1340">
        <v>84</v>
      </c>
      <c r="W1340">
        <v>588</v>
      </c>
      <c r="X1340">
        <v>0</v>
      </c>
      <c r="Z1340">
        <v>0</v>
      </c>
      <c r="AA1340">
        <v>0</v>
      </c>
      <c r="AB1340">
        <v>0</v>
      </c>
      <c r="AC1340">
        <v>0</v>
      </c>
      <c r="AD1340" t="s">
        <v>2752</v>
      </c>
    </row>
    <row r="1341" spans="1:30" x14ac:dyDescent="0.25">
      <c r="H1341" t="s">
        <v>2753</v>
      </c>
    </row>
    <row r="1342" spans="1:30" x14ac:dyDescent="0.25">
      <c r="A1342">
        <v>668</v>
      </c>
      <c r="B1342">
        <v>2136</v>
      </c>
      <c r="C1342" t="s">
        <v>2754</v>
      </c>
      <c r="D1342" t="s">
        <v>788</v>
      </c>
      <c r="E1342" t="s">
        <v>859</v>
      </c>
      <c r="F1342" t="s">
        <v>2755</v>
      </c>
      <c r="G1342" t="str">
        <f>"00148367"</f>
        <v>00148367</v>
      </c>
      <c r="H1342">
        <v>781</v>
      </c>
      <c r="I1342">
        <v>150</v>
      </c>
      <c r="J1342">
        <v>0</v>
      </c>
      <c r="K1342">
        <v>0</v>
      </c>
      <c r="L1342">
        <v>0</v>
      </c>
      <c r="M1342">
        <v>0</v>
      </c>
      <c r="N1342">
        <v>70</v>
      </c>
      <c r="O1342">
        <v>0</v>
      </c>
      <c r="P1342">
        <v>0</v>
      </c>
      <c r="Q1342">
        <v>0</v>
      </c>
      <c r="R1342">
        <v>0</v>
      </c>
      <c r="S1342">
        <v>0</v>
      </c>
      <c r="T1342">
        <v>0</v>
      </c>
      <c r="U1342">
        <v>0</v>
      </c>
      <c r="V1342">
        <v>38</v>
      </c>
      <c r="W1342">
        <v>266</v>
      </c>
      <c r="X1342">
        <v>0</v>
      </c>
      <c r="Z1342">
        <v>0</v>
      </c>
      <c r="AA1342">
        <v>0</v>
      </c>
      <c r="AB1342">
        <v>0</v>
      </c>
      <c r="AC1342">
        <v>0</v>
      </c>
      <c r="AD1342">
        <v>1267</v>
      </c>
    </row>
    <row r="1343" spans="1:30" x14ac:dyDescent="0.25">
      <c r="H1343" t="s">
        <v>570</v>
      </c>
    </row>
    <row r="1344" spans="1:30" x14ac:dyDescent="0.25">
      <c r="A1344">
        <v>669</v>
      </c>
      <c r="B1344">
        <v>1405</v>
      </c>
      <c r="C1344" t="s">
        <v>2756</v>
      </c>
      <c r="D1344" t="s">
        <v>2757</v>
      </c>
      <c r="E1344" t="s">
        <v>1145</v>
      </c>
      <c r="F1344" t="s">
        <v>2758</v>
      </c>
      <c r="G1344" t="str">
        <f>"201511013032"</f>
        <v>201511013032</v>
      </c>
      <c r="H1344">
        <v>649</v>
      </c>
      <c r="I1344">
        <v>0</v>
      </c>
      <c r="J1344">
        <v>0</v>
      </c>
      <c r="K1344">
        <v>0</v>
      </c>
      <c r="L1344">
        <v>0</v>
      </c>
      <c r="M1344">
        <v>0</v>
      </c>
      <c r="N1344">
        <v>30</v>
      </c>
      <c r="O1344">
        <v>0</v>
      </c>
      <c r="P1344">
        <v>0</v>
      </c>
      <c r="Q1344">
        <v>0</v>
      </c>
      <c r="R1344">
        <v>0</v>
      </c>
      <c r="S1344">
        <v>0</v>
      </c>
      <c r="T1344">
        <v>0</v>
      </c>
      <c r="U1344">
        <v>0</v>
      </c>
      <c r="V1344">
        <v>84</v>
      </c>
      <c r="W1344">
        <v>588</v>
      </c>
      <c r="X1344">
        <v>0</v>
      </c>
      <c r="Z1344">
        <v>0</v>
      </c>
      <c r="AA1344">
        <v>0</v>
      </c>
      <c r="AB1344">
        <v>0</v>
      </c>
      <c r="AC1344">
        <v>0</v>
      </c>
      <c r="AD1344">
        <v>1267</v>
      </c>
    </row>
    <row r="1345" spans="1:30" x14ac:dyDescent="0.25">
      <c r="H1345" t="s">
        <v>2759</v>
      </c>
    </row>
    <row r="1346" spans="1:30" x14ac:dyDescent="0.25">
      <c r="A1346">
        <v>670</v>
      </c>
      <c r="B1346">
        <v>5595</v>
      </c>
      <c r="C1346" t="s">
        <v>2760</v>
      </c>
      <c r="D1346" t="s">
        <v>315</v>
      </c>
      <c r="E1346" t="s">
        <v>107</v>
      </c>
      <c r="F1346" t="s">
        <v>2761</v>
      </c>
      <c r="G1346" t="str">
        <f>"00264326"</f>
        <v>00264326</v>
      </c>
      <c r="H1346">
        <v>649</v>
      </c>
      <c r="I1346">
        <v>0</v>
      </c>
      <c r="J1346">
        <v>0</v>
      </c>
      <c r="K1346">
        <v>0</v>
      </c>
      <c r="L1346">
        <v>0</v>
      </c>
      <c r="M1346">
        <v>0</v>
      </c>
      <c r="N1346">
        <v>30</v>
      </c>
      <c r="O1346">
        <v>0</v>
      </c>
      <c r="P1346">
        <v>0</v>
      </c>
      <c r="Q1346">
        <v>0</v>
      </c>
      <c r="R1346">
        <v>0</v>
      </c>
      <c r="S1346">
        <v>0</v>
      </c>
      <c r="T1346">
        <v>0</v>
      </c>
      <c r="U1346">
        <v>0</v>
      </c>
      <c r="V1346">
        <v>84</v>
      </c>
      <c r="W1346">
        <v>588</v>
      </c>
      <c r="X1346">
        <v>0</v>
      </c>
      <c r="Z1346">
        <v>2</v>
      </c>
      <c r="AA1346">
        <v>0</v>
      </c>
      <c r="AB1346">
        <v>0</v>
      </c>
      <c r="AC1346">
        <v>0</v>
      </c>
      <c r="AD1346">
        <v>1267</v>
      </c>
    </row>
    <row r="1347" spans="1:30" x14ac:dyDescent="0.25">
      <c r="H1347" t="s">
        <v>2762</v>
      </c>
    </row>
    <row r="1348" spans="1:30" x14ac:dyDescent="0.25">
      <c r="A1348">
        <v>671</v>
      </c>
      <c r="B1348">
        <v>1096</v>
      </c>
      <c r="C1348" t="s">
        <v>2763</v>
      </c>
      <c r="D1348" t="s">
        <v>2764</v>
      </c>
      <c r="E1348" t="s">
        <v>167</v>
      </c>
      <c r="F1348" t="s">
        <v>2765</v>
      </c>
      <c r="G1348" t="str">
        <f>"00142532"</f>
        <v>00142532</v>
      </c>
      <c r="H1348" t="s">
        <v>2552</v>
      </c>
      <c r="I1348">
        <v>0</v>
      </c>
      <c r="J1348">
        <v>0</v>
      </c>
      <c r="K1348">
        <v>0</v>
      </c>
      <c r="L1348">
        <v>0</v>
      </c>
      <c r="M1348">
        <v>0</v>
      </c>
      <c r="N1348">
        <v>0</v>
      </c>
      <c r="O1348">
        <v>0</v>
      </c>
      <c r="P1348">
        <v>0</v>
      </c>
      <c r="Q1348">
        <v>0</v>
      </c>
      <c r="R1348">
        <v>0</v>
      </c>
      <c r="S1348">
        <v>0</v>
      </c>
      <c r="T1348">
        <v>0</v>
      </c>
      <c r="U1348">
        <v>0</v>
      </c>
      <c r="V1348">
        <v>84</v>
      </c>
      <c r="W1348">
        <v>588</v>
      </c>
      <c r="X1348">
        <v>0</v>
      </c>
      <c r="Z1348">
        <v>0</v>
      </c>
      <c r="AA1348">
        <v>0</v>
      </c>
      <c r="AB1348">
        <v>0</v>
      </c>
      <c r="AC1348">
        <v>0</v>
      </c>
      <c r="AD1348" t="s">
        <v>2766</v>
      </c>
    </row>
    <row r="1349" spans="1:30" x14ac:dyDescent="0.25">
      <c r="H1349" t="s">
        <v>2767</v>
      </c>
    </row>
    <row r="1350" spans="1:30" x14ac:dyDescent="0.25">
      <c r="A1350">
        <v>672</v>
      </c>
      <c r="B1350">
        <v>5000</v>
      </c>
      <c r="C1350" t="s">
        <v>2768</v>
      </c>
      <c r="D1350" t="s">
        <v>102</v>
      </c>
      <c r="E1350" t="s">
        <v>49</v>
      </c>
      <c r="F1350" t="s">
        <v>2769</v>
      </c>
      <c r="G1350" t="str">
        <f>"201406012171"</f>
        <v>201406012171</v>
      </c>
      <c r="H1350" t="s">
        <v>527</v>
      </c>
      <c r="I1350">
        <v>150</v>
      </c>
      <c r="J1350">
        <v>0</v>
      </c>
      <c r="K1350">
        <v>0</v>
      </c>
      <c r="L1350">
        <v>0</v>
      </c>
      <c r="M1350">
        <v>0</v>
      </c>
      <c r="N1350">
        <v>0</v>
      </c>
      <c r="O1350">
        <v>0</v>
      </c>
      <c r="P1350">
        <v>0</v>
      </c>
      <c r="Q1350">
        <v>0</v>
      </c>
      <c r="R1350">
        <v>0</v>
      </c>
      <c r="S1350">
        <v>0</v>
      </c>
      <c r="T1350">
        <v>0</v>
      </c>
      <c r="U1350">
        <v>0</v>
      </c>
      <c r="V1350">
        <v>52</v>
      </c>
      <c r="W1350">
        <v>364</v>
      </c>
      <c r="X1350">
        <v>0</v>
      </c>
      <c r="Z1350">
        <v>1</v>
      </c>
      <c r="AA1350">
        <v>0</v>
      </c>
      <c r="AB1350">
        <v>0</v>
      </c>
      <c r="AC1350">
        <v>0</v>
      </c>
      <c r="AD1350" t="s">
        <v>2770</v>
      </c>
    </row>
    <row r="1351" spans="1:30" x14ac:dyDescent="0.25">
      <c r="H1351" t="s">
        <v>2771</v>
      </c>
    </row>
    <row r="1352" spans="1:30" x14ac:dyDescent="0.25">
      <c r="A1352">
        <v>673</v>
      </c>
      <c r="B1352">
        <v>1340</v>
      </c>
      <c r="C1352" t="s">
        <v>2772</v>
      </c>
      <c r="D1352" t="s">
        <v>580</v>
      </c>
      <c r="E1352" t="s">
        <v>859</v>
      </c>
      <c r="F1352" t="s">
        <v>2773</v>
      </c>
      <c r="G1352" t="str">
        <f>"201511007452"</f>
        <v>201511007452</v>
      </c>
      <c r="H1352">
        <v>814</v>
      </c>
      <c r="I1352">
        <v>0</v>
      </c>
      <c r="J1352">
        <v>0</v>
      </c>
      <c r="K1352">
        <v>0</v>
      </c>
      <c r="L1352">
        <v>0</v>
      </c>
      <c r="M1352">
        <v>0</v>
      </c>
      <c r="N1352">
        <v>30</v>
      </c>
      <c r="O1352">
        <v>0</v>
      </c>
      <c r="P1352">
        <v>0</v>
      </c>
      <c r="Q1352">
        <v>50</v>
      </c>
      <c r="R1352">
        <v>30</v>
      </c>
      <c r="S1352">
        <v>0</v>
      </c>
      <c r="T1352">
        <v>0</v>
      </c>
      <c r="U1352">
        <v>0</v>
      </c>
      <c r="V1352">
        <v>27</v>
      </c>
      <c r="W1352">
        <v>189</v>
      </c>
      <c r="X1352">
        <v>0</v>
      </c>
      <c r="Z1352">
        <v>0</v>
      </c>
      <c r="AA1352">
        <v>0</v>
      </c>
      <c r="AB1352">
        <v>9</v>
      </c>
      <c r="AC1352">
        <v>153</v>
      </c>
      <c r="AD1352">
        <v>1266</v>
      </c>
    </row>
    <row r="1353" spans="1:30" x14ac:dyDescent="0.25">
      <c r="H1353" t="s">
        <v>2774</v>
      </c>
    </row>
    <row r="1354" spans="1:30" x14ac:dyDescent="0.25">
      <c r="A1354">
        <v>674</v>
      </c>
      <c r="B1354">
        <v>4599</v>
      </c>
      <c r="C1354" t="s">
        <v>2775</v>
      </c>
      <c r="D1354" t="s">
        <v>236</v>
      </c>
      <c r="E1354" t="s">
        <v>2351</v>
      </c>
      <c r="F1354" t="s">
        <v>2776</v>
      </c>
      <c r="G1354" t="str">
        <f>"200802009819"</f>
        <v>200802009819</v>
      </c>
      <c r="H1354" t="s">
        <v>59</v>
      </c>
      <c r="I1354">
        <v>0</v>
      </c>
      <c r="J1354">
        <v>0</v>
      </c>
      <c r="K1354">
        <v>0</v>
      </c>
      <c r="L1354">
        <v>0</v>
      </c>
      <c r="M1354">
        <v>0</v>
      </c>
      <c r="N1354">
        <v>30</v>
      </c>
      <c r="O1354">
        <v>0</v>
      </c>
      <c r="P1354">
        <v>0</v>
      </c>
      <c r="Q1354">
        <v>0</v>
      </c>
      <c r="R1354">
        <v>0</v>
      </c>
      <c r="S1354">
        <v>0</v>
      </c>
      <c r="T1354">
        <v>0</v>
      </c>
      <c r="U1354">
        <v>0</v>
      </c>
      <c r="V1354">
        <v>72</v>
      </c>
      <c r="W1354">
        <v>504</v>
      </c>
      <c r="X1354">
        <v>0</v>
      </c>
      <c r="Z1354">
        <v>0</v>
      </c>
      <c r="AA1354">
        <v>0</v>
      </c>
      <c r="AB1354">
        <v>0</v>
      </c>
      <c r="AC1354">
        <v>0</v>
      </c>
      <c r="AD1354" t="s">
        <v>2777</v>
      </c>
    </row>
    <row r="1355" spans="1:30" x14ac:dyDescent="0.25">
      <c r="H1355" t="s">
        <v>1527</v>
      </c>
    </row>
    <row r="1356" spans="1:30" x14ac:dyDescent="0.25">
      <c r="A1356">
        <v>675</v>
      </c>
      <c r="B1356">
        <v>3514</v>
      </c>
      <c r="C1356" t="s">
        <v>2778</v>
      </c>
      <c r="D1356" t="s">
        <v>135</v>
      </c>
      <c r="E1356" t="s">
        <v>120</v>
      </c>
      <c r="F1356" t="s">
        <v>2779</v>
      </c>
      <c r="G1356" t="str">
        <f>"00361421"</f>
        <v>00361421</v>
      </c>
      <c r="H1356">
        <v>792</v>
      </c>
      <c r="I1356">
        <v>0</v>
      </c>
      <c r="J1356">
        <v>0</v>
      </c>
      <c r="K1356">
        <v>0</v>
      </c>
      <c r="L1356">
        <v>0</v>
      </c>
      <c r="M1356">
        <v>0</v>
      </c>
      <c r="N1356">
        <v>30</v>
      </c>
      <c r="O1356">
        <v>0</v>
      </c>
      <c r="P1356">
        <v>0</v>
      </c>
      <c r="Q1356">
        <v>0</v>
      </c>
      <c r="R1356">
        <v>0</v>
      </c>
      <c r="S1356">
        <v>0</v>
      </c>
      <c r="T1356">
        <v>0</v>
      </c>
      <c r="U1356">
        <v>0</v>
      </c>
      <c r="V1356">
        <v>63</v>
      </c>
      <c r="W1356">
        <v>441</v>
      </c>
      <c r="X1356">
        <v>0</v>
      </c>
      <c r="Z1356">
        <v>0</v>
      </c>
      <c r="AA1356">
        <v>0</v>
      </c>
      <c r="AB1356">
        <v>0</v>
      </c>
      <c r="AC1356">
        <v>0</v>
      </c>
      <c r="AD1356">
        <v>1263</v>
      </c>
    </row>
    <row r="1357" spans="1:30" x14ac:dyDescent="0.25">
      <c r="H1357" t="s">
        <v>2780</v>
      </c>
    </row>
    <row r="1358" spans="1:30" x14ac:dyDescent="0.25">
      <c r="A1358">
        <v>676</v>
      </c>
      <c r="B1358">
        <v>3502</v>
      </c>
      <c r="C1358" t="s">
        <v>2781</v>
      </c>
      <c r="D1358" t="s">
        <v>107</v>
      </c>
      <c r="E1358" t="s">
        <v>230</v>
      </c>
      <c r="F1358" t="s">
        <v>2782</v>
      </c>
      <c r="G1358" t="str">
        <f>"200811000739"</f>
        <v>200811000739</v>
      </c>
      <c r="H1358" t="s">
        <v>2598</v>
      </c>
      <c r="I1358">
        <v>0</v>
      </c>
      <c r="J1358">
        <v>0</v>
      </c>
      <c r="K1358">
        <v>0</v>
      </c>
      <c r="L1358">
        <v>0</v>
      </c>
      <c r="M1358">
        <v>0</v>
      </c>
      <c r="N1358">
        <v>30</v>
      </c>
      <c r="O1358">
        <v>0</v>
      </c>
      <c r="P1358">
        <v>0</v>
      </c>
      <c r="Q1358">
        <v>0</v>
      </c>
      <c r="R1358">
        <v>0</v>
      </c>
      <c r="S1358">
        <v>0</v>
      </c>
      <c r="T1358">
        <v>0</v>
      </c>
      <c r="U1358">
        <v>0</v>
      </c>
      <c r="V1358">
        <v>84</v>
      </c>
      <c r="W1358">
        <v>588</v>
      </c>
      <c r="X1358">
        <v>0</v>
      </c>
      <c r="Z1358">
        <v>2</v>
      </c>
      <c r="AA1358">
        <v>0</v>
      </c>
      <c r="AB1358">
        <v>0</v>
      </c>
      <c r="AC1358">
        <v>0</v>
      </c>
      <c r="AD1358" t="s">
        <v>2783</v>
      </c>
    </row>
    <row r="1359" spans="1:30" x14ac:dyDescent="0.25">
      <c r="H1359" t="s">
        <v>2784</v>
      </c>
    </row>
    <row r="1360" spans="1:30" x14ac:dyDescent="0.25">
      <c r="A1360">
        <v>677</v>
      </c>
      <c r="B1360">
        <v>324</v>
      </c>
      <c r="C1360" t="s">
        <v>2785</v>
      </c>
      <c r="D1360" t="s">
        <v>2024</v>
      </c>
      <c r="E1360" t="s">
        <v>1507</v>
      </c>
      <c r="F1360" t="s">
        <v>2786</v>
      </c>
      <c r="G1360" t="str">
        <f>"00301004"</f>
        <v>00301004</v>
      </c>
      <c r="H1360" t="s">
        <v>1884</v>
      </c>
      <c r="I1360">
        <v>0</v>
      </c>
      <c r="J1360">
        <v>0</v>
      </c>
      <c r="K1360">
        <v>0</v>
      </c>
      <c r="L1360">
        <v>0</v>
      </c>
      <c r="M1360">
        <v>0</v>
      </c>
      <c r="N1360">
        <v>70</v>
      </c>
      <c r="O1360">
        <v>0</v>
      </c>
      <c r="P1360">
        <v>0</v>
      </c>
      <c r="Q1360">
        <v>0</v>
      </c>
      <c r="R1360">
        <v>0</v>
      </c>
      <c r="S1360">
        <v>0</v>
      </c>
      <c r="T1360">
        <v>0</v>
      </c>
      <c r="U1360">
        <v>0</v>
      </c>
      <c r="V1360">
        <v>64</v>
      </c>
      <c r="W1360">
        <v>448</v>
      </c>
      <c r="X1360">
        <v>0</v>
      </c>
      <c r="Z1360">
        <v>0</v>
      </c>
      <c r="AA1360">
        <v>0</v>
      </c>
      <c r="AB1360">
        <v>0</v>
      </c>
      <c r="AC1360">
        <v>0</v>
      </c>
      <c r="AD1360" t="s">
        <v>2787</v>
      </c>
    </row>
    <row r="1361" spans="1:30" x14ac:dyDescent="0.25">
      <c r="H1361" t="s">
        <v>2788</v>
      </c>
    </row>
    <row r="1362" spans="1:30" x14ac:dyDescent="0.25">
      <c r="A1362">
        <v>678</v>
      </c>
      <c r="B1362">
        <v>1202</v>
      </c>
      <c r="C1362" t="s">
        <v>2789</v>
      </c>
      <c r="D1362" t="s">
        <v>28</v>
      </c>
      <c r="E1362" t="s">
        <v>32</v>
      </c>
      <c r="F1362" t="s">
        <v>2790</v>
      </c>
      <c r="G1362" t="str">
        <f>"00227624"</f>
        <v>00227624</v>
      </c>
      <c r="H1362" t="s">
        <v>913</v>
      </c>
      <c r="I1362">
        <v>0</v>
      </c>
      <c r="J1362">
        <v>0</v>
      </c>
      <c r="K1362">
        <v>0</v>
      </c>
      <c r="L1362">
        <v>0</v>
      </c>
      <c r="M1362">
        <v>0</v>
      </c>
      <c r="N1362">
        <v>0</v>
      </c>
      <c r="O1362">
        <v>0</v>
      </c>
      <c r="P1362">
        <v>0</v>
      </c>
      <c r="Q1362">
        <v>0</v>
      </c>
      <c r="R1362">
        <v>0</v>
      </c>
      <c r="S1362">
        <v>0</v>
      </c>
      <c r="T1362">
        <v>0</v>
      </c>
      <c r="U1362">
        <v>0</v>
      </c>
      <c r="V1362">
        <v>84</v>
      </c>
      <c r="W1362">
        <v>588</v>
      </c>
      <c r="X1362">
        <v>0</v>
      </c>
      <c r="Z1362">
        <v>0</v>
      </c>
      <c r="AA1362">
        <v>0</v>
      </c>
      <c r="AB1362">
        <v>0</v>
      </c>
      <c r="AC1362">
        <v>0</v>
      </c>
      <c r="AD1362" t="s">
        <v>2791</v>
      </c>
    </row>
    <row r="1363" spans="1:30" x14ac:dyDescent="0.25">
      <c r="H1363" t="s">
        <v>2792</v>
      </c>
    </row>
    <row r="1364" spans="1:30" x14ac:dyDescent="0.25">
      <c r="A1364">
        <v>679</v>
      </c>
      <c r="B1364">
        <v>5361</v>
      </c>
      <c r="C1364" t="s">
        <v>308</v>
      </c>
      <c r="D1364" t="s">
        <v>580</v>
      </c>
      <c r="E1364" t="s">
        <v>49</v>
      </c>
      <c r="F1364" t="s">
        <v>2793</v>
      </c>
      <c r="G1364" t="str">
        <f>"201405001482"</f>
        <v>201405001482</v>
      </c>
      <c r="H1364" t="s">
        <v>339</v>
      </c>
      <c r="I1364">
        <v>0</v>
      </c>
      <c r="J1364">
        <v>0</v>
      </c>
      <c r="K1364">
        <v>0</v>
      </c>
      <c r="L1364">
        <v>0</v>
      </c>
      <c r="M1364">
        <v>0</v>
      </c>
      <c r="N1364">
        <v>0</v>
      </c>
      <c r="O1364">
        <v>0</v>
      </c>
      <c r="P1364">
        <v>0</v>
      </c>
      <c r="Q1364">
        <v>30</v>
      </c>
      <c r="R1364">
        <v>0</v>
      </c>
      <c r="S1364">
        <v>0</v>
      </c>
      <c r="T1364">
        <v>0</v>
      </c>
      <c r="U1364">
        <v>0</v>
      </c>
      <c r="V1364">
        <v>68</v>
      </c>
      <c r="W1364">
        <v>476</v>
      </c>
      <c r="X1364">
        <v>0</v>
      </c>
      <c r="Z1364">
        <v>0</v>
      </c>
      <c r="AA1364">
        <v>0</v>
      </c>
      <c r="AB1364">
        <v>0</v>
      </c>
      <c r="AC1364">
        <v>0</v>
      </c>
      <c r="AD1364" t="s">
        <v>2794</v>
      </c>
    </row>
    <row r="1365" spans="1:30" x14ac:dyDescent="0.25">
      <c r="H1365" t="s">
        <v>2795</v>
      </c>
    </row>
    <row r="1366" spans="1:30" x14ac:dyDescent="0.25">
      <c r="A1366">
        <v>680</v>
      </c>
      <c r="B1366">
        <v>5622</v>
      </c>
      <c r="C1366" t="s">
        <v>2796</v>
      </c>
      <c r="D1366" t="s">
        <v>309</v>
      </c>
      <c r="E1366" t="s">
        <v>28</v>
      </c>
      <c r="F1366" t="s">
        <v>2797</v>
      </c>
      <c r="G1366" t="str">
        <f>"00339596"</f>
        <v>00339596</v>
      </c>
      <c r="H1366" t="s">
        <v>2798</v>
      </c>
      <c r="I1366">
        <v>0</v>
      </c>
      <c r="J1366">
        <v>0</v>
      </c>
      <c r="K1366">
        <v>0</v>
      </c>
      <c r="L1366">
        <v>0</v>
      </c>
      <c r="M1366">
        <v>0</v>
      </c>
      <c r="N1366">
        <v>0</v>
      </c>
      <c r="O1366">
        <v>0</v>
      </c>
      <c r="P1366">
        <v>0</v>
      </c>
      <c r="Q1366">
        <v>0</v>
      </c>
      <c r="R1366">
        <v>0</v>
      </c>
      <c r="S1366">
        <v>0</v>
      </c>
      <c r="T1366">
        <v>0</v>
      </c>
      <c r="U1366">
        <v>0</v>
      </c>
      <c r="V1366">
        <v>84</v>
      </c>
      <c r="W1366">
        <v>588</v>
      </c>
      <c r="X1366">
        <v>0</v>
      </c>
      <c r="Z1366">
        <v>0</v>
      </c>
      <c r="AA1366">
        <v>0</v>
      </c>
      <c r="AB1366">
        <v>0</v>
      </c>
      <c r="AC1366">
        <v>0</v>
      </c>
      <c r="AD1366" t="s">
        <v>2799</v>
      </c>
    </row>
    <row r="1367" spans="1:30" x14ac:dyDescent="0.25">
      <c r="H1367" t="s">
        <v>2800</v>
      </c>
    </row>
    <row r="1368" spans="1:30" x14ac:dyDescent="0.25">
      <c r="A1368">
        <v>681</v>
      </c>
      <c r="B1368">
        <v>4202</v>
      </c>
      <c r="C1368" t="s">
        <v>2801</v>
      </c>
      <c r="D1368" t="s">
        <v>236</v>
      </c>
      <c r="E1368" t="s">
        <v>102</v>
      </c>
      <c r="F1368" t="s">
        <v>2802</v>
      </c>
      <c r="G1368" t="str">
        <f>"201511041942"</f>
        <v>201511041942</v>
      </c>
      <c r="H1368" t="s">
        <v>1393</v>
      </c>
      <c r="I1368">
        <v>0</v>
      </c>
      <c r="J1368">
        <v>0</v>
      </c>
      <c r="K1368">
        <v>0</v>
      </c>
      <c r="L1368">
        <v>0</v>
      </c>
      <c r="M1368">
        <v>0</v>
      </c>
      <c r="N1368">
        <v>0</v>
      </c>
      <c r="O1368">
        <v>0</v>
      </c>
      <c r="P1368">
        <v>0</v>
      </c>
      <c r="Q1368">
        <v>0</v>
      </c>
      <c r="R1368">
        <v>0</v>
      </c>
      <c r="S1368">
        <v>0</v>
      </c>
      <c r="T1368">
        <v>0</v>
      </c>
      <c r="U1368">
        <v>0</v>
      </c>
      <c r="V1368">
        <v>64</v>
      </c>
      <c r="W1368">
        <v>448</v>
      </c>
      <c r="X1368">
        <v>0</v>
      </c>
      <c r="Z1368">
        <v>0</v>
      </c>
      <c r="AA1368">
        <v>0</v>
      </c>
      <c r="AB1368">
        <v>0</v>
      </c>
      <c r="AC1368">
        <v>0</v>
      </c>
      <c r="AD1368" t="s">
        <v>2803</v>
      </c>
    </row>
    <row r="1369" spans="1:30" x14ac:dyDescent="0.25">
      <c r="H1369" t="s">
        <v>2804</v>
      </c>
    </row>
    <row r="1370" spans="1:30" x14ac:dyDescent="0.25">
      <c r="A1370">
        <v>682</v>
      </c>
      <c r="B1370">
        <v>4846</v>
      </c>
      <c r="C1370" t="s">
        <v>2805</v>
      </c>
      <c r="D1370" t="s">
        <v>56</v>
      </c>
      <c r="E1370" t="s">
        <v>254</v>
      </c>
      <c r="F1370" t="s">
        <v>2806</v>
      </c>
      <c r="G1370" t="str">
        <f>"200712004341"</f>
        <v>200712004341</v>
      </c>
      <c r="H1370">
        <v>671</v>
      </c>
      <c r="I1370">
        <v>0</v>
      </c>
      <c r="J1370">
        <v>0</v>
      </c>
      <c r="K1370">
        <v>0</v>
      </c>
      <c r="L1370">
        <v>0</v>
      </c>
      <c r="M1370">
        <v>0</v>
      </c>
      <c r="N1370">
        <v>0</v>
      </c>
      <c r="O1370">
        <v>0</v>
      </c>
      <c r="P1370">
        <v>0</v>
      </c>
      <c r="Q1370">
        <v>0</v>
      </c>
      <c r="R1370">
        <v>0</v>
      </c>
      <c r="S1370">
        <v>0</v>
      </c>
      <c r="T1370">
        <v>0</v>
      </c>
      <c r="U1370">
        <v>0</v>
      </c>
      <c r="V1370">
        <v>84</v>
      </c>
      <c r="W1370">
        <v>588</v>
      </c>
      <c r="X1370">
        <v>0</v>
      </c>
      <c r="Z1370">
        <v>0</v>
      </c>
      <c r="AA1370">
        <v>0</v>
      </c>
      <c r="AB1370">
        <v>0</v>
      </c>
      <c r="AC1370">
        <v>0</v>
      </c>
      <c r="AD1370">
        <v>1259</v>
      </c>
    </row>
    <row r="1371" spans="1:30" x14ac:dyDescent="0.25">
      <c r="H1371" t="s">
        <v>2807</v>
      </c>
    </row>
    <row r="1372" spans="1:30" x14ac:dyDescent="0.25">
      <c r="A1372">
        <v>683</v>
      </c>
      <c r="B1372">
        <v>1578</v>
      </c>
      <c r="C1372" t="s">
        <v>2808</v>
      </c>
      <c r="D1372" t="s">
        <v>49</v>
      </c>
      <c r="E1372" t="s">
        <v>84</v>
      </c>
      <c r="F1372" t="s">
        <v>2809</v>
      </c>
      <c r="G1372" t="str">
        <f>"00254999"</f>
        <v>00254999</v>
      </c>
      <c r="H1372" t="s">
        <v>1796</v>
      </c>
      <c r="I1372">
        <v>0</v>
      </c>
      <c r="J1372">
        <v>0</v>
      </c>
      <c r="K1372">
        <v>0</v>
      </c>
      <c r="L1372">
        <v>0</v>
      </c>
      <c r="M1372">
        <v>0</v>
      </c>
      <c r="N1372">
        <v>30</v>
      </c>
      <c r="O1372">
        <v>0</v>
      </c>
      <c r="P1372">
        <v>30</v>
      </c>
      <c r="Q1372">
        <v>0</v>
      </c>
      <c r="R1372">
        <v>0</v>
      </c>
      <c r="S1372">
        <v>0</v>
      </c>
      <c r="T1372">
        <v>0</v>
      </c>
      <c r="U1372">
        <v>0</v>
      </c>
      <c r="V1372">
        <v>73</v>
      </c>
      <c r="W1372">
        <v>511</v>
      </c>
      <c r="X1372">
        <v>0</v>
      </c>
      <c r="Z1372">
        <v>0</v>
      </c>
      <c r="AA1372">
        <v>0</v>
      </c>
      <c r="AB1372">
        <v>0</v>
      </c>
      <c r="AC1372">
        <v>0</v>
      </c>
      <c r="AD1372" t="s">
        <v>2810</v>
      </c>
    </row>
    <row r="1373" spans="1:30" x14ac:dyDescent="0.25">
      <c r="H1373" t="s">
        <v>1527</v>
      </c>
    </row>
    <row r="1374" spans="1:30" x14ac:dyDescent="0.25">
      <c r="A1374">
        <v>684</v>
      </c>
      <c r="B1374">
        <v>278</v>
      </c>
      <c r="C1374" t="s">
        <v>2811</v>
      </c>
      <c r="D1374" t="s">
        <v>2812</v>
      </c>
      <c r="E1374" t="s">
        <v>2813</v>
      </c>
      <c r="F1374" t="s">
        <v>2814</v>
      </c>
      <c r="G1374" t="str">
        <f>"00262692"</f>
        <v>00262692</v>
      </c>
      <c r="H1374" t="s">
        <v>285</v>
      </c>
      <c r="I1374">
        <v>0</v>
      </c>
      <c r="J1374">
        <v>0</v>
      </c>
      <c r="K1374">
        <v>0</v>
      </c>
      <c r="L1374">
        <v>0</v>
      </c>
      <c r="M1374">
        <v>0</v>
      </c>
      <c r="N1374">
        <v>50</v>
      </c>
      <c r="O1374">
        <v>0</v>
      </c>
      <c r="P1374">
        <v>0</v>
      </c>
      <c r="Q1374">
        <v>0</v>
      </c>
      <c r="R1374">
        <v>0</v>
      </c>
      <c r="S1374">
        <v>0</v>
      </c>
      <c r="T1374">
        <v>0</v>
      </c>
      <c r="U1374">
        <v>0</v>
      </c>
      <c r="V1374">
        <v>74</v>
      </c>
      <c r="W1374">
        <v>518</v>
      </c>
      <c r="X1374">
        <v>0</v>
      </c>
      <c r="Z1374">
        <v>0</v>
      </c>
      <c r="AA1374">
        <v>0</v>
      </c>
      <c r="AB1374">
        <v>0</v>
      </c>
      <c r="AC1374">
        <v>0</v>
      </c>
      <c r="AD1374" t="s">
        <v>2815</v>
      </c>
    </row>
    <row r="1375" spans="1:30" x14ac:dyDescent="0.25">
      <c r="H1375" t="s">
        <v>2816</v>
      </c>
    </row>
    <row r="1376" spans="1:30" x14ac:dyDescent="0.25">
      <c r="A1376">
        <v>685</v>
      </c>
      <c r="B1376">
        <v>6069</v>
      </c>
      <c r="C1376" t="s">
        <v>618</v>
      </c>
      <c r="D1376" t="s">
        <v>218</v>
      </c>
      <c r="E1376" t="s">
        <v>49</v>
      </c>
      <c r="F1376" t="s">
        <v>2817</v>
      </c>
      <c r="G1376" t="str">
        <f>"00364350"</f>
        <v>00364350</v>
      </c>
      <c r="H1376">
        <v>638</v>
      </c>
      <c r="I1376">
        <v>0</v>
      </c>
      <c r="J1376">
        <v>0</v>
      </c>
      <c r="K1376">
        <v>0</v>
      </c>
      <c r="L1376">
        <v>0</v>
      </c>
      <c r="M1376">
        <v>0</v>
      </c>
      <c r="N1376">
        <v>30</v>
      </c>
      <c r="O1376">
        <v>0</v>
      </c>
      <c r="P1376">
        <v>0</v>
      </c>
      <c r="Q1376">
        <v>0</v>
      </c>
      <c r="R1376">
        <v>0</v>
      </c>
      <c r="S1376">
        <v>0</v>
      </c>
      <c r="T1376">
        <v>0</v>
      </c>
      <c r="U1376">
        <v>0</v>
      </c>
      <c r="V1376">
        <v>84</v>
      </c>
      <c r="W1376">
        <v>588</v>
      </c>
      <c r="X1376">
        <v>0</v>
      </c>
      <c r="Z1376">
        <v>0</v>
      </c>
      <c r="AA1376">
        <v>0</v>
      </c>
      <c r="AB1376">
        <v>0</v>
      </c>
      <c r="AC1376">
        <v>0</v>
      </c>
      <c r="AD1376">
        <v>1256</v>
      </c>
    </row>
    <row r="1377" spans="1:30" x14ac:dyDescent="0.25">
      <c r="H1377" t="s">
        <v>2818</v>
      </c>
    </row>
    <row r="1378" spans="1:30" x14ac:dyDescent="0.25">
      <c r="A1378">
        <v>686</v>
      </c>
      <c r="B1378">
        <v>4978</v>
      </c>
      <c r="C1378" t="s">
        <v>2819</v>
      </c>
      <c r="D1378" t="s">
        <v>76</v>
      </c>
      <c r="E1378" t="s">
        <v>49</v>
      </c>
      <c r="F1378" t="s">
        <v>2820</v>
      </c>
      <c r="G1378" t="str">
        <f>"00114032"</f>
        <v>00114032</v>
      </c>
      <c r="H1378" t="s">
        <v>2821</v>
      </c>
      <c r="I1378">
        <v>0</v>
      </c>
      <c r="J1378">
        <v>0</v>
      </c>
      <c r="K1378">
        <v>0</v>
      </c>
      <c r="L1378">
        <v>200</v>
      </c>
      <c r="M1378">
        <v>0</v>
      </c>
      <c r="N1378">
        <v>0</v>
      </c>
      <c r="O1378">
        <v>0</v>
      </c>
      <c r="P1378">
        <v>30</v>
      </c>
      <c r="Q1378">
        <v>0</v>
      </c>
      <c r="R1378">
        <v>0</v>
      </c>
      <c r="S1378">
        <v>0</v>
      </c>
      <c r="T1378">
        <v>0</v>
      </c>
      <c r="U1378">
        <v>0</v>
      </c>
      <c r="V1378">
        <v>4</v>
      </c>
      <c r="W1378">
        <v>28</v>
      </c>
      <c r="X1378">
        <v>0</v>
      </c>
      <c r="Z1378">
        <v>0</v>
      </c>
      <c r="AA1378">
        <v>0</v>
      </c>
      <c r="AB1378">
        <v>9</v>
      </c>
      <c r="AC1378">
        <v>153</v>
      </c>
      <c r="AD1378" t="s">
        <v>2822</v>
      </c>
    </row>
    <row r="1379" spans="1:30" x14ac:dyDescent="0.25">
      <c r="H1379" t="s">
        <v>2823</v>
      </c>
    </row>
    <row r="1380" spans="1:30" x14ac:dyDescent="0.25">
      <c r="A1380">
        <v>687</v>
      </c>
      <c r="B1380">
        <v>1732</v>
      </c>
      <c r="C1380" t="s">
        <v>2824</v>
      </c>
      <c r="D1380" t="s">
        <v>218</v>
      </c>
      <c r="E1380" t="s">
        <v>389</v>
      </c>
      <c r="F1380" t="s">
        <v>2825</v>
      </c>
      <c r="G1380" t="str">
        <f>"00313124"</f>
        <v>00313124</v>
      </c>
      <c r="H1380" t="s">
        <v>476</v>
      </c>
      <c r="I1380">
        <v>0</v>
      </c>
      <c r="J1380">
        <v>0</v>
      </c>
      <c r="K1380">
        <v>0</v>
      </c>
      <c r="L1380">
        <v>0</v>
      </c>
      <c r="M1380">
        <v>0</v>
      </c>
      <c r="N1380">
        <v>30</v>
      </c>
      <c r="O1380">
        <v>30</v>
      </c>
      <c r="P1380">
        <v>0</v>
      </c>
      <c r="Q1380">
        <v>0</v>
      </c>
      <c r="R1380">
        <v>0</v>
      </c>
      <c r="S1380">
        <v>0</v>
      </c>
      <c r="T1380">
        <v>0</v>
      </c>
      <c r="U1380">
        <v>0</v>
      </c>
      <c r="V1380">
        <v>66</v>
      </c>
      <c r="W1380">
        <v>462</v>
      </c>
      <c r="X1380">
        <v>0</v>
      </c>
      <c r="Z1380">
        <v>0</v>
      </c>
      <c r="AA1380">
        <v>0</v>
      </c>
      <c r="AB1380">
        <v>0</v>
      </c>
      <c r="AC1380">
        <v>0</v>
      </c>
      <c r="AD1380" t="s">
        <v>2826</v>
      </c>
    </row>
    <row r="1381" spans="1:30" x14ac:dyDescent="0.25">
      <c r="H1381" t="s">
        <v>570</v>
      </c>
    </row>
    <row r="1382" spans="1:30" x14ac:dyDescent="0.25">
      <c r="A1382">
        <v>688</v>
      </c>
      <c r="B1382">
        <v>4910</v>
      </c>
      <c r="C1382" t="s">
        <v>2827</v>
      </c>
      <c r="D1382" t="s">
        <v>2828</v>
      </c>
      <c r="E1382" t="s">
        <v>49</v>
      </c>
      <c r="F1382" t="s">
        <v>2829</v>
      </c>
      <c r="G1382" t="str">
        <f>"00351099"</f>
        <v>00351099</v>
      </c>
      <c r="H1382" t="s">
        <v>2552</v>
      </c>
      <c r="I1382">
        <v>0</v>
      </c>
      <c r="J1382">
        <v>0</v>
      </c>
      <c r="K1382">
        <v>0</v>
      </c>
      <c r="L1382">
        <v>200</v>
      </c>
      <c r="M1382">
        <v>0</v>
      </c>
      <c r="N1382">
        <v>30</v>
      </c>
      <c r="O1382">
        <v>0</v>
      </c>
      <c r="P1382">
        <v>0</v>
      </c>
      <c r="Q1382">
        <v>0</v>
      </c>
      <c r="R1382">
        <v>0</v>
      </c>
      <c r="S1382">
        <v>0</v>
      </c>
      <c r="T1382">
        <v>0</v>
      </c>
      <c r="U1382">
        <v>0</v>
      </c>
      <c r="V1382">
        <v>18</v>
      </c>
      <c r="W1382">
        <v>126</v>
      </c>
      <c r="X1382">
        <v>0</v>
      </c>
      <c r="Z1382">
        <v>0</v>
      </c>
      <c r="AA1382">
        <v>0</v>
      </c>
      <c r="AB1382">
        <v>13</v>
      </c>
      <c r="AC1382">
        <v>221</v>
      </c>
      <c r="AD1382" t="s">
        <v>2826</v>
      </c>
    </row>
    <row r="1383" spans="1:30" x14ac:dyDescent="0.25">
      <c r="H1383" t="s">
        <v>2830</v>
      </c>
    </row>
    <row r="1384" spans="1:30" x14ac:dyDescent="0.25">
      <c r="A1384">
        <v>689</v>
      </c>
      <c r="B1384">
        <v>4874</v>
      </c>
      <c r="C1384" t="s">
        <v>2831</v>
      </c>
      <c r="D1384" t="s">
        <v>2832</v>
      </c>
      <c r="E1384" t="s">
        <v>28</v>
      </c>
      <c r="F1384" t="s">
        <v>2833</v>
      </c>
      <c r="G1384" t="str">
        <f>"201406013797"</f>
        <v>201406013797</v>
      </c>
      <c r="H1384" t="s">
        <v>1634</v>
      </c>
      <c r="I1384">
        <v>0</v>
      </c>
      <c r="J1384">
        <v>0</v>
      </c>
      <c r="K1384">
        <v>0</v>
      </c>
      <c r="L1384">
        <v>0</v>
      </c>
      <c r="M1384">
        <v>0</v>
      </c>
      <c r="N1384">
        <v>70</v>
      </c>
      <c r="O1384">
        <v>0</v>
      </c>
      <c r="P1384">
        <v>0</v>
      </c>
      <c r="Q1384">
        <v>0</v>
      </c>
      <c r="R1384">
        <v>0</v>
      </c>
      <c r="S1384">
        <v>0</v>
      </c>
      <c r="T1384">
        <v>0</v>
      </c>
      <c r="U1384">
        <v>0</v>
      </c>
      <c r="V1384">
        <v>84</v>
      </c>
      <c r="W1384">
        <v>588</v>
      </c>
      <c r="X1384">
        <v>0</v>
      </c>
      <c r="Z1384">
        <v>0</v>
      </c>
      <c r="AA1384">
        <v>0</v>
      </c>
      <c r="AB1384">
        <v>0</v>
      </c>
      <c r="AC1384">
        <v>0</v>
      </c>
      <c r="AD1384" t="s">
        <v>2834</v>
      </c>
    </row>
    <row r="1385" spans="1:30" x14ac:dyDescent="0.25">
      <c r="H1385" t="s">
        <v>2835</v>
      </c>
    </row>
    <row r="1386" spans="1:30" x14ac:dyDescent="0.25">
      <c r="A1386">
        <v>690</v>
      </c>
      <c r="B1386">
        <v>2479</v>
      </c>
      <c r="C1386" t="s">
        <v>2836</v>
      </c>
      <c r="D1386" t="s">
        <v>2837</v>
      </c>
      <c r="E1386" t="s">
        <v>57</v>
      </c>
      <c r="F1386" t="s">
        <v>2838</v>
      </c>
      <c r="G1386" t="str">
        <f>"201511006902"</f>
        <v>201511006902</v>
      </c>
      <c r="H1386" t="s">
        <v>2798</v>
      </c>
      <c r="I1386">
        <v>0</v>
      </c>
      <c r="J1386">
        <v>0</v>
      </c>
      <c r="K1386">
        <v>0</v>
      </c>
      <c r="L1386">
        <v>0</v>
      </c>
      <c r="M1386">
        <v>0</v>
      </c>
      <c r="N1386">
        <v>0</v>
      </c>
      <c r="O1386">
        <v>0</v>
      </c>
      <c r="P1386">
        <v>0</v>
      </c>
      <c r="Q1386">
        <v>0</v>
      </c>
      <c r="R1386">
        <v>0</v>
      </c>
      <c r="S1386">
        <v>0</v>
      </c>
      <c r="T1386">
        <v>0</v>
      </c>
      <c r="U1386">
        <v>0</v>
      </c>
      <c r="V1386">
        <v>25</v>
      </c>
      <c r="W1386">
        <v>175</v>
      </c>
      <c r="X1386">
        <v>0</v>
      </c>
      <c r="Z1386">
        <v>0</v>
      </c>
      <c r="AA1386">
        <v>0</v>
      </c>
      <c r="AB1386">
        <v>24</v>
      </c>
      <c r="AC1386">
        <v>408</v>
      </c>
      <c r="AD1386" t="s">
        <v>2839</v>
      </c>
    </row>
    <row r="1387" spans="1:30" x14ac:dyDescent="0.25">
      <c r="H1387" t="s">
        <v>2840</v>
      </c>
    </row>
    <row r="1388" spans="1:30" x14ac:dyDescent="0.25">
      <c r="A1388">
        <v>691</v>
      </c>
      <c r="B1388">
        <v>3059</v>
      </c>
      <c r="C1388" t="s">
        <v>2841</v>
      </c>
      <c r="D1388" t="s">
        <v>444</v>
      </c>
      <c r="E1388" t="s">
        <v>167</v>
      </c>
      <c r="F1388" t="s">
        <v>2842</v>
      </c>
      <c r="G1388" t="str">
        <f>"00149148"</f>
        <v>00149148</v>
      </c>
      <c r="H1388">
        <v>693</v>
      </c>
      <c r="I1388">
        <v>0</v>
      </c>
      <c r="J1388">
        <v>0</v>
      </c>
      <c r="K1388">
        <v>0</v>
      </c>
      <c r="L1388">
        <v>0</v>
      </c>
      <c r="M1388">
        <v>0</v>
      </c>
      <c r="N1388">
        <v>0</v>
      </c>
      <c r="O1388">
        <v>0</v>
      </c>
      <c r="P1388">
        <v>0</v>
      </c>
      <c r="Q1388">
        <v>0</v>
      </c>
      <c r="R1388">
        <v>0</v>
      </c>
      <c r="S1388">
        <v>0</v>
      </c>
      <c r="T1388">
        <v>0</v>
      </c>
      <c r="U1388">
        <v>0</v>
      </c>
      <c r="V1388">
        <v>22</v>
      </c>
      <c r="W1388">
        <v>154</v>
      </c>
      <c r="X1388">
        <v>0</v>
      </c>
      <c r="Z1388">
        <v>0</v>
      </c>
      <c r="AA1388">
        <v>0</v>
      </c>
      <c r="AB1388">
        <v>24</v>
      </c>
      <c r="AC1388">
        <v>408</v>
      </c>
      <c r="AD1388">
        <v>1255</v>
      </c>
    </row>
    <row r="1389" spans="1:30" x14ac:dyDescent="0.25">
      <c r="H1389" t="s">
        <v>2843</v>
      </c>
    </row>
    <row r="1390" spans="1:30" x14ac:dyDescent="0.25">
      <c r="A1390">
        <v>692</v>
      </c>
      <c r="B1390">
        <v>4806</v>
      </c>
      <c r="C1390" t="s">
        <v>2844</v>
      </c>
      <c r="D1390" t="s">
        <v>49</v>
      </c>
      <c r="E1390" t="s">
        <v>337</v>
      </c>
      <c r="F1390" t="s">
        <v>2845</v>
      </c>
      <c r="G1390" t="str">
        <f>"00215283"</f>
        <v>00215283</v>
      </c>
      <c r="H1390">
        <v>660</v>
      </c>
      <c r="I1390">
        <v>0</v>
      </c>
      <c r="J1390">
        <v>0</v>
      </c>
      <c r="K1390">
        <v>0</v>
      </c>
      <c r="L1390">
        <v>0</v>
      </c>
      <c r="M1390">
        <v>0</v>
      </c>
      <c r="N1390">
        <v>70</v>
      </c>
      <c r="O1390">
        <v>0</v>
      </c>
      <c r="P1390">
        <v>0</v>
      </c>
      <c r="Q1390">
        <v>0</v>
      </c>
      <c r="R1390">
        <v>0</v>
      </c>
      <c r="S1390">
        <v>0</v>
      </c>
      <c r="T1390">
        <v>0</v>
      </c>
      <c r="U1390">
        <v>0</v>
      </c>
      <c r="V1390">
        <v>75</v>
      </c>
      <c r="W1390">
        <v>525</v>
      </c>
      <c r="X1390">
        <v>0</v>
      </c>
      <c r="Z1390">
        <v>0</v>
      </c>
      <c r="AA1390">
        <v>0</v>
      </c>
      <c r="AB1390">
        <v>0</v>
      </c>
      <c r="AC1390">
        <v>0</v>
      </c>
      <c r="AD1390">
        <v>1255</v>
      </c>
    </row>
    <row r="1391" spans="1:30" x14ac:dyDescent="0.25">
      <c r="H1391" t="s">
        <v>2846</v>
      </c>
    </row>
    <row r="1392" spans="1:30" x14ac:dyDescent="0.25">
      <c r="A1392">
        <v>693</v>
      </c>
      <c r="B1392">
        <v>3403</v>
      </c>
      <c r="C1392" t="s">
        <v>2847</v>
      </c>
      <c r="D1392" t="s">
        <v>542</v>
      </c>
      <c r="E1392" t="s">
        <v>120</v>
      </c>
      <c r="F1392" t="s">
        <v>2848</v>
      </c>
      <c r="G1392" t="str">
        <f>"00012410"</f>
        <v>00012410</v>
      </c>
      <c r="H1392" t="s">
        <v>872</v>
      </c>
      <c r="I1392">
        <v>0</v>
      </c>
      <c r="J1392">
        <v>0</v>
      </c>
      <c r="K1392">
        <v>0</v>
      </c>
      <c r="L1392">
        <v>0</v>
      </c>
      <c r="M1392">
        <v>0</v>
      </c>
      <c r="N1392">
        <v>70</v>
      </c>
      <c r="O1392">
        <v>0</v>
      </c>
      <c r="P1392">
        <v>0</v>
      </c>
      <c r="Q1392">
        <v>0</v>
      </c>
      <c r="R1392">
        <v>0</v>
      </c>
      <c r="S1392">
        <v>0</v>
      </c>
      <c r="T1392">
        <v>0</v>
      </c>
      <c r="U1392">
        <v>0</v>
      </c>
      <c r="V1392">
        <v>69</v>
      </c>
      <c r="W1392">
        <v>483</v>
      </c>
      <c r="X1392">
        <v>0</v>
      </c>
      <c r="Z1392">
        <v>1</v>
      </c>
      <c r="AA1392">
        <v>0</v>
      </c>
      <c r="AB1392">
        <v>0</v>
      </c>
      <c r="AC1392">
        <v>0</v>
      </c>
      <c r="AD1392" t="s">
        <v>2849</v>
      </c>
    </row>
    <row r="1393" spans="1:30" x14ac:dyDescent="0.25">
      <c r="H1393" t="s">
        <v>2850</v>
      </c>
    </row>
    <row r="1394" spans="1:30" x14ac:dyDescent="0.25">
      <c r="A1394">
        <v>694</v>
      </c>
      <c r="B1394">
        <v>4955</v>
      </c>
      <c r="C1394" t="s">
        <v>2851</v>
      </c>
      <c r="D1394" t="s">
        <v>2852</v>
      </c>
      <c r="E1394" t="s">
        <v>1540</v>
      </c>
      <c r="F1394" t="s">
        <v>2853</v>
      </c>
      <c r="G1394" t="str">
        <f>"200801009122"</f>
        <v>200801009122</v>
      </c>
      <c r="H1394">
        <v>825</v>
      </c>
      <c r="I1394">
        <v>0</v>
      </c>
      <c r="J1394">
        <v>0</v>
      </c>
      <c r="K1394">
        <v>0</v>
      </c>
      <c r="L1394">
        <v>0</v>
      </c>
      <c r="M1394">
        <v>0</v>
      </c>
      <c r="N1394">
        <v>30</v>
      </c>
      <c r="O1394">
        <v>0</v>
      </c>
      <c r="P1394">
        <v>0</v>
      </c>
      <c r="Q1394">
        <v>0</v>
      </c>
      <c r="R1394">
        <v>0</v>
      </c>
      <c r="S1394">
        <v>0</v>
      </c>
      <c r="T1394">
        <v>0</v>
      </c>
      <c r="U1394">
        <v>0</v>
      </c>
      <c r="V1394">
        <v>57</v>
      </c>
      <c r="W1394">
        <v>399</v>
      </c>
      <c r="X1394">
        <v>0</v>
      </c>
      <c r="Z1394">
        <v>0</v>
      </c>
      <c r="AA1394">
        <v>0</v>
      </c>
      <c r="AB1394">
        <v>0</v>
      </c>
      <c r="AC1394">
        <v>0</v>
      </c>
      <c r="AD1394">
        <v>1254</v>
      </c>
    </row>
    <row r="1395" spans="1:30" x14ac:dyDescent="0.25">
      <c r="H1395" t="s">
        <v>2854</v>
      </c>
    </row>
    <row r="1396" spans="1:30" x14ac:dyDescent="0.25">
      <c r="A1396">
        <v>695</v>
      </c>
      <c r="B1396">
        <v>4780</v>
      </c>
      <c r="C1396" t="s">
        <v>2855</v>
      </c>
      <c r="D1396" t="s">
        <v>1723</v>
      </c>
      <c r="E1396" t="s">
        <v>254</v>
      </c>
      <c r="F1396" t="s">
        <v>2856</v>
      </c>
      <c r="G1396" t="str">
        <f>"00173621"</f>
        <v>00173621</v>
      </c>
      <c r="H1396">
        <v>616</v>
      </c>
      <c r="I1396">
        <v>0</v>
      </c>
      <c r="J1396">
        <v>0</v>
      </c>
      <c r="K1396">
        <v>0</v>
      </c>
      <c r="L1396">
        <v>0</v>
      </c>
      <c r="M1396">
        <v>0</v>
      </c>
      <c r="N1396">
        <v>50</v>
      </c>
      <c r="O1396">
        <v>0</v>
      </c>
      <c r="P1396">
        <v>0</v>
      </c>
      <c r="Q1396">
        <v>0</v>
      </c>
      <c r="R1396">
        <v>0</v>
      </c>
      <c r="S1396">
        <v>0</v>
      </c>
      <c r="T1396">
        <v>0</v>
      </c>
      <c r="U1396">
        <v>0</v>
      </c>
      <c r="V1396">
        <v>84</v>
      </c>
      <c r="W1396">
        <v>588</v>
      </c>
      <c r="X1396">
        <v>0</v>
      </c>
      <c r="Z1396">
        <v>0</v>
      </c>
      <c r="AA1396">
        <v>0</v>
      </c>
      <c r="AB1396">
        <v>0</v>
      </c>
      <c r="AC1396">
        <v>0</v>
      </c>
      <c r="AD1396">
        <v>1254</v>
      </c>
    </row>
    <row r="1397" spans="1:30" x14ac:dyDescent="0.25">
      <c r="H1397" t="s">
        <v>2857</v>
      </c>
    </row>
    <row r="1398" spans="1:30" x14ac:dyDescent="0.25">
      <c r="A1398">
        <v>696</v>
      </c>
      <c r="B1398">
        <v>1395</v>
      </c>
      <c r="C1398" t="s">
        <v>2858</v>
      </c>
      <c r="D1398" t="s">
        <v>2859</v>
      </c>
      <c r="E1398" t="s">
        <v>102</v>
      </c>
      <c r="F1398" t="s">
        <v>2860</v>
      </c>
      <c r="G1398" t="str">
        <f>"00273210"</f>
        <v>00273210</v>
      </c>
      <c r="H1398" t="s">
        <v>2861</v>
      </c>
      <c r="I1398">
        <v>0</v>
      </c>
      <c r="J1398">
        <v>0</v>
      </c>
      <c r="K1398">
        <v>0</v>
      </c>
      <c r="L1398">
        <v>0</v>
      </c>
      <c r="M1398">
        <v>0</v>
      </c>
      <c r="N1398">
        <v>0</v>
      </c>
      <c r="O1398">
        <v>0</v>
      </c>
      <c r="P1398">
        <v>0</v>
      </c>
      <c r="Q1398">
        <v>0</v>
      </c>
      <c r="R1398">
        <v>0</v>
      </c>
      <c r="S1398">
        <v>0</v>
      </c>
      <c r="T1398">
        <v>0</v>
      </c>
      <c r="U1398">
        <v>0</v>
      </c>
      <c r="V1398">
        <v>84</v>
      </c>
      <c r="W1398">
        <v>588</v>
      </c>
      <c r="X1398">
        <v>0</v>
      </c>
      <c r="Z1398">
        <v>3</v>
      </c>
      <c r="AA1398">
        <v>0</v>
      </c>
      <c r="AB1398">
        <v>0</v>
      </c>
      <c r="AC1398">
        <v>0</v>
      </c>
      <c r="AD1398" t="s">
        <v>2862</v>
      </c>
    </row>
    <row r="1399" spans="1:30" x14ac:dyDescent="0.25">
      <c r="H1399" t="s">
        <v>2863</v>
      </c>
    </row>
    <row r="1400" spans="1:30" x14ac:dyDescent="0.25">
      <c r="A1400">
        <v>697</v>
      </c>
      <c r="B1400">
        <v>1149</v>
      </c>
      <c r="C1400" t="s">
        <v>2864</v>
      </c>
      <c r="D1400" t="s">
        <v>2153</v>
      </c>
      <c r="E1400" t="s">
        <v>141</v>
      </c>
      <c r="F1400" t="s">
        <v>2865</v>
      </c>
      <c r="G1400" t="str">
        <f>"201203000104"</f>
        <v>201203000104</v>
      </c>
      <c r="H1400" t="s">
        <v>527</v>
      </c>
      <c r="I1400">
        <v>0</v>
      </c>
      <c r="J1400">
        <v>0</v>
      </c>
      <c r="K1400">
        <v>0</v>
      </c>
      <c r="L1400">
        <v>0</v>
      </c>
      <c r="M1400">
        <v>0</v>
      </c>
      <c r="N1400">
        <v>30</v>
      </c>
      <c r="O1400">
        <v>0</v>
      </c>
      <c r="P1400">
        <v>0</v>
      </c>
      <c r="Q1400">
        <v>0</v>
      </c>
      <c r="R1400">
        <v>0</v>
      </c>
      <c r="S1400">
        <v>0</v>
      </c>
      <c r="T1400">
        <v>0</v>
      </c>
      <c r="U1400">
        <v>0</v>
      </c>
      <c r="V1400">
        <v>9</v>
      </c>
      <c r="W1400">
        <v>63</v>
      </c>
      <c r="X1400">
        <v>0</v>
      </c>
      <c r="Z1400">
        <v>0</v>
      </c>
      <c r="AA1400">
        <v>0</v>
      </c>
      <c r="AB1400">
        <v>24</v>
      </c>
      <c r="AC1400">
        <v>408</v>
      </c>
      <c r="AD1400" t="s">
        <v>2866</v>
      </c>
    </row>
    <row r="1401" spans="1:30" x14ac:dyDescent="0.25">
      <c r="H1401" t="s">
        <v>2867</v>
      </c>
    </row>
    <row r="1402" spans="1:30" x14ac:dyDescent="0.25">
      <c r="A1402">
        <v>698</v>
      </c>
      <c r="B1402">
        <v>5172</v>
      </c>
      <c r="C1402" t="s">
        <v>2868</v>
      </c>
      <c r="D1402" t="s">
        <v>2869</v>
      </c>
      <c r="E1402" t="s">
        <v>77</v>
      </c>
      <c r="F1402" t="s">
        <v>2870</v>
      </c>
      <c r="G1402" t="str">
        <f>"201511035983"</f>
        <v>201511035983</v>
      </c>
      <c r="H1402" t="s">
        <v>861</v>
      </c>
      <c r="I1402">
        <v>0</v>
      </c>
      <c r="J1402">
        <v>0</v>
      </c>
      <c r="K1402">
        <v>0</v>
      </c>
      <c r="L1402">
        <v>0</v>
      </c>
      <c r="M1402">
        <v>0</v>
      </c>
      <c r="N1402">
        <v>30</v>
      </c>
      <c r="O1402">
        <v>0</v>
      </c>
      <c r="P1402">
        <v>0</v>
      </c>
      <c r="Q1402">
        <v>0</v>
      </c>
      <c r="R1402">
        <v>0</v>
      </c>
      <c r="S1402">
        <v>0</v>
      </c>
      <c r="T1402">
        <v>0</v>
      </c>
      <c r="U1402">
        <v>0</v>
      </c>
      <c r="V1402">
        <v>80</v>
      </c>
      <c r="W1402">
        <v>560</v>
      </c>
      <c r="X1402">
        <v>0</v>
      </c>
      <c r="Z1402">
        <v>0</v>
      </c>
      <c r="AA1402">
        <v>0</v>
      </c>
      <c r="AB1402">
        <v>0</v>
      </c>
      <c r="AC1402">
        <v>0</v>
      </c>
      <c r="AD1402" t="s">
        <v>2871</v>
      </c>
    </row>
    <row r="1403" spans="1:30" x14ac:dyDescent="0.25">
      <c r="H1403" t="s">
        <v>1191</v>
      </c>
    </row>
    <row r="1404" spans="1:30" x14ac:dyDescent="0.25">
      <c r="A1404">
        <v>699</v>
      </c>
      <c r="B1404">
        <v>3961</v>
      </c>
      <c r="C1404" t="s">
        <v>2872</v>
      </c>
      <c r="D1404" t="s">
        <v>1185</v>
      </c>
      <c r="E1404" t="s">
        <v>866</v>
      </c>
      <c r="F1404" t="s">
        <v>2873</v>
      </c>
      <c r="G1404" t="str">
        <f>"200801008075"</f>
        <v>200801008075</v>
      </c>
      <c r="H1404" t="s">
        <v>739</v>
      </c>
      <c r="I1404">
        <v>150</v>
      </c>
      <c r="J1404">
        <v>0</v>
      </c>
      <c r="K1404">
        <v>0</v>
      </c>
      <c r="L1404">
        <v>0</v>
      </c>
      <c r="M1404">
        <v>0</v>
      </c>
      <c r="N1404">
        <v>0</v>
      </c>
      <c r="O1404">
        <v>0</v>
      </c>
      <c r="P1404">
        <v>70</v>
      </c>
      <c r="Q1404">
        <v>0</v>
      </c>
      <c r="R1404">
        <v>0</v>
      </c>
      <c r="S1404">
        <v>0</v>
      </c>
      <c r="T1404">
        <v>0</v>
      </c>
      <c r="U1404">
        <v>0</v>
      </c>
      <c r="V1404">
        <v>41</v>
      </c>
      <c r="W1404">
        <v>287</v>
      </c>
      <c r="X1404">
        <v>0</v>
      </c>
      <c r="Z1404">
        <v>0</v>
      </c>
      <c r="AA1404">
        <v>0</v>
      </c>
      <c r="AB1404">
        <v>0</v>
      </c>
      <c r="AC1404">
        <v>0</v>
      </c>
      <c r="AD1404" t="s">
        <v>2874</v>
      </c>
    </row>
    <row r="1405" spans="1:30" x14ac:dyDescent="0.25">
      <c r="H1405" t="s">
        <v>2875</v>
      </c>
    </row>
    <row r="1406" spans="1:30" x14ac:dyDescent="0.25">
      <c r="A1406">
        <v>700</v>
      </c>
      <c r="B1406">
        <v>6012</v>
      </c>
      <c r="C1406" t="s">
        <v>2876</v>
      </c>
      <c r="D1406" t="s">
        <v>151</v>
      </c>
      <c r="E1406" t="s">
        <v>2877</v>
      </c>
      <c r="F1406" t="s">
        <v>2878</v>
      </c>
      <c r="G1406" t="str">
        <f>"201406000145"</f>
        <v>201406000145</v>
      </c>
      <c r="H1406">
        <v>682</v>
      </c>
      <c r="I1406">
        <v>0</v>
      </c>
      <c r="J1406">
        <v>0</v>
      </c>
      <c r="K1406">
        <v>0</v>
      </c>
      <c r="L1406">
        <v>0</v>
      </c>
      <c r="M1406">
        <v>0</v>
      </c>
      <c r="N1406">
        <v>30</v>
      </c>
      <c r="O1406">
        <v>0</v>
      </c>
      <c r="P1406">
        <v>0</v>
      </c>
      <c r="Q1406">
        <v>0</v>
      </c>
      <c r="R1406">
        <v>0</v>
      </c>
      <c r="S1406">
        <v>0</v>
      </c>
      <c r="T1406">
        <v>0</v>
      </c>
      <c r="U1406">
        <v>0</v>
      </c>
      <c r="V1406">
        <v>77</v>
      </c>
      <c r="W1406">
        <v>539</v>
      </c>
      <c r="X1406">
        <v>0</v>
      </c>
      <c r="Z1406">
        <v>0</v>
      </c>
      <c r="AA1406">
        <v>0</v>
      </c>
      <c r="AB1406">
        <v>0</v>
      </c>
      <c r="AC1406">
        <v>0</v>
      </c>
      <c r="AD1406">
        <v>1251</v>
      </c>
    </row>
    <row r="1407" spans="1:30" x14ac:dyDescent="0.25">
      <c r="H1407" t="s">
        <v>2879</v>
      </c>
    </row>
    <row r="1408" spans="1:30" x14ac:dyDescent="0.25">
      <c r="A1408">
        <v>701</v>
      </c>
      <c r="B1408">
        <v>3243</v>
      </c>
      <c r="C1408" t="s">
        <v>2880</v>
      </c>
      <c r="D1408" t="s">
        <v>425</v>
      </c>
      <c r="E1408" t="s">
        <v>389</v>
      </c>
      <c r="F1408" t="s">
        <v>2881</v>
      </c>
      <c r="G1408" t="str">
        <f>"201305000040"</f>
        <v>201305000040</v>
      </c>
      <c r="H1408" t="s">
        <v>688</v>
      </c>
      <c r="I1408">
        <v>0</v>
      </c>
      <c r="J1408">
        <v>0</v>
      </c>
      <c r="K1408">
        <v>0</v>
      </c>
      <c r="L1408">
        <v>0</v>
      </c>
      <c r="M1408">
        <v>100</v>
      </c>
      <c r="N1408">
        <v>30</v>
      </c>
      <c r="O1408">
        <v>0</v>
      </c>
      <c r="P1408">
        <v>0</v>
      </c>
      <c r="Q1408">
        <v>0</v>
      </c>
      <c r="R1408">
        <v>0</v>
      </c>
      <c r="S1408">
        <v>0</v>
      </c>
      <c r="T1408">
        <v>0</v>
      </c>
      <c r="U1408">
        <v>0</v>
      </c>
      <c r="V1408">
        <v>49</v>
      </c>
      <c r="W1408">
        <v>343</v>
      </c>
      <c r="X1408">
        <v>0</v>
      </c>
      <c r="Z1408">
        <v>0</v>
      </c>
      <c r="AA1408">
        <v>0</v>
      </c>
      <c r="AB1408">
        <v>0</v>
      </c>
      <c r="AC1408">
        <v>0</v>
      </c>
      <c r="AD1408" t="s">
        <v>2882</v>
      </c>
    </row>
    <row r="1409" spans="1:30" x14ac:dyDescent="0.25">
      <c r="H1409" t="s">
        <v>2883</v>
      </c>
    </row>
    <row r="1410" spans="1:30" x14ac:dyDescent="0.25">
      <c r="A1410">
        <v>702</v>
      </c>
      <c r="B1410">
        <v>4918</v>
      </c>
      <c r="C1410" t="s">
        <v>2884</v>
      </c>
      <c r="D1410" t="s">
        <v>580</v>
      </c>
      <c r="E1410" t="s">
        <v>28</v>
      </c>
      <c r="F1410" t="s">
        <v>2885</v>
      </c>
      <c r="G1410" t="str">
        <f>"00152706"</f>
        <v>00152706</v>
      </c>
      <c r="H1410" t="s">
        <v>137</v>
      </c>
      <c r="I1410">
        <v>0</v>
      </c>
      <c r="J1410">
        <v>0</v>
      </c>
      <c r="K1410">
        <v>0</v>
      </c>
      <c r="L1410">
        <v>0</v>
      </c>
      <c r="M1410">
        <v>0</v>
      </c>
      <c r="N1410">
        <v>30</v>
      </c>
      <c r="O1410">
        <v>0</v>
      </c>
      <c r="P1410">
        <v>0</v>
      </c>
      <c r="Q1410">
        <v>0</v>
      </c>
      <c r="R1410">
        <v>0</v>
      </c>
      <c r="S1410">
        <v>0</v>
      </c>
      <c r="T1410">
        <v>0</v>
      </c>
      <c r="U1410">
        <v>0</v>
      </c>
      <c r="V1410">
        <v>13</v>
      </c>
      <c r="W1410">
        <v>91</v>
      </c>
      <c r="X1410">
        <v>0</v>
      </c>
      <c r="Z1410">
        <v>0</v>
      </c>
      <c r="AA1410">
        <v>0</v>
      </c>
      <c r="AB1410">
        <v>24</v>
      </c>
      <c r="AC1410">
        <v>408</v>
      </c>
      <c r="AD1410" t="s">
        <v>2886</v>
      </c>
    </row>
    <row r="1411" spans="1:30" x14ac:dyDescent="0.25">
      <c r="H1411" t="s">
        <v>2887</v>
      </c>
    </row>
    <row r="1412" spans="1:30" x14ac:dyDescent="0.25">
      <c r="A1412">
        <v>703</v>
      </c>
      <c r="B1412">
        <v>2042</v>
      </c>
      <c r="C1412" t="s">
        <v>2888</v>
      </c>
      <c r="D1412" t="s">
        <v>598</v>
      </c>
      <c r="E1412" t="s">
        <v>49</v>
      </c>
      <c r="F1412" t="s">
        <v>2889</v>
      </c>
      <c r="G1412" t="str">
        <f>"00185993"</f>
        <v>00185993</v>
      </c>
      <c r="H1412" t="s">
        <v>431</v>
      </c>
      <c r="I1412">
        <v>0</v>
      </c>
      <c r="J1412">
        <v>0</v>
      </c>
      <c r="K1412">
        <v>0</v>
      </c>
      <c r="L1412">
        <v>0</v>
      </c>
      <c r="M1412">
        <v>0</v>
      </c>
      <c r="N1412">
        <v>0</v>
      </c>
      <c r="O1412">
        <v>0</v>
      </c>
      <c r="P1412">
        <v>0</v>
      </c>
      <c r="Q1412">
        <v>0</v>
      </c>
      <c r="R1412">
        <v>0</v>
      </c>
      <c r="S1412">
        <v>0</v>
      </c>
      <c r="T1412">
        <v>0</v>
      </c>
      <c r="U1412">
        <v>0</v>
      </c>
      <c r="V1412">
        <v>84</v>
      </c>
      <c r="W1412">
        <v>588</v>
      </c>
      <c r="X1412">
        <v>0</v>
      </c>
      <c r="Z1412">
        <v>0</v>
      </c>
      <c r="AA1412">
        <v>0</v>
      </c>
      <c r="AB1412">
        <v>0</v>
      </c>
      <c r="AC1412">
        <v>0</v>
      </c>
      <c r="AD1412" t="s">
        <v>2890</v>
      </c>
    </row>
    <row r="1413" spans="1:30" x14ac:dyDescent="0.25">
      <c r="H1413" t="s">
        <v>2891</v>
      </c>
    </row>
    <row r="1414" spans="1:30" x14ac:dyDescent="0.25">
      <c r="A1414">
        <v>704</v>
      </c>
      <c r="B1414">
        <v>638</v>
      </c>
      <c r="C1414" t="s">
        <v>2892</v>
      </c>
      <c r="D1414" t="s">
        <v>385</v>
      </c>
      <c r="E1414" t="s">
        <v>141</v>
      </c>
      <c r="F1414" t="s">
        <v>2893</v>
      </c>
      <c r="G1414" t="str">
        <f>"201403000109"</f>
        <v>201403000109</v>
      </c>
      <c r="H1414" t="s">
        <v>1301</v>
      </c>
      <c r="I1414">
        <v>0</v>
      </c>
      <c r="J1414">
        <v>0</v>
      </c>
      <c r="K1414">
        <v>0</v>
      </c>
      <c r="L1414">
        <v>200</v>
      </c>
      <c r="M1414">
        <v>0</v>
      </c>
      <c r="N1414">
        <v>70</v>
      </c>
      <c r="O1414">
        <v>0</v>
      </c>
      <c r="P1414">
        <v>0</v>
      </c>
      <c r="Q1414">
        <v>0</v>
      </c>
      <c r="R1414">
        <v>0</v>
      </c>
      <c r="S1414">
        <v>0</v>
      </c>
      <c r="T1414">
        <v>0</v>
      </c>
      <c r="U1414">
        <v>0</v>
      </c>
      <c r="V1414">
        <v>34</v>
      </c>
      <c r="W1414">
        <v>238</v>
      </c>
      <c r="X1414">
        <v>0</v>
      </c>
      <c r="Z1414">
        <v>0</v>
      </c>
      <c r="AA1414">
        <v>0</v>
      </c>
      <c r="AB1414">
        <v>0</v>
      </c>
      <c r="AC1414">
        <v>0</v>
      </c>
      <c r="AD1414" t="s">
        <v>2894</v>
      </c>
    </row>
    <row r="1415" spans="1:30" x14ac:dyDescent="0.25">
      <c r="H1415" t="s">
        <v>2895</v>
      </c>
    </row>
    <row r="1416" spans="1:30" x14ac:dyDescent="0.25">
      <c r="A1416">
        <v>705</v>
      </c>
      <c r="B1416">
        <v>4154</v>
      </c>
      <c r="C1416" t="s">
        <v>2896</v>
      </c>
      <c r="D1416" t="s">
        <v>102</v>
      </c>
      <c r="E1416" t="s">
        <v>32</v>
      </c>
      <c r="F1416" t="s">
        <v>2897</v>
      </c>
      <c r="G1416" t="str">
        <f>"00350096"</f>
        <v>00350096</v>
      </c>
      <c r="H1416">
        <v>660</v>
      </c>
      <c r="I1416">
        <v>0</v>
      </c>
      <c r="J1416">
        <v>0</v>
      </c>
      <c r="K1416">
        <v>0</v>
      </c>
      <c r="L1416">
        <v>0</v>
      </c>
      <c r="M1416">
        <v>0</v>
      </c>
      <c r="N1416">
        <v>0</v>
      </c>
      <c r="O1416">
        <v>0</v>
      </c>
      <c r="P1416">
        <v>0</v>
      </c>
      <c r="Q1416">
        <v>0</v>
      </c>
      <c r="R1416">
        <v>0</v>
      </c>
      <c r="S1416">
        <v>0</v>
      </c>
      <c r="T1416">
        <v>0</v>
      </c>
      <c r="U1416">
        <v>0</v>
      </c>
      <c r="V1416">
        <v>84</v>
      </c>
      <c r="W1416">
        <v>588</v>
      </c>
      <c r="X1416">
        <v>0</v>
      </c>
      <c r="Z1416">
        <v>0</v>
      </c>
      <c r="AA1416">
        <v>0</v>
      </c>
      <c r="AB1416">
        <v>0</v>
      </c>
      <c r="AC1416">
        <v>0</v>
      </c>
      <c r="AD1416">
        <v>1248</v>
      </c>
    </row>
    <row r="1417" spans="1:30" x14ac:dyDescent="0.25">
      <c r="H1417" t="s">
        <v>2898</v>
      </c>
    </row>
    <row r="1418" spans="1:30" x14ac:dyDescent="0.25">
      <c r="A1418">
        <v>706</v>
      </c>
      <c r="B1418">
        <v>1281</v>
      </c>
      <c r="C1418" t="s">
        <v>2899</v>
      </c>
      <c r="D1418" t="s">
        <v>2900</v>
      </c>
      <c r="E1418" t="s">
        <v>299</v>
      </c>
      <c r="F1418" t="s">
        <v>2901</v>
      </c>
      <c r="G1418" t="str">
        <f>"00152702"</f>
        <v>00152702</v>
      </c>
      <c r="H1418" t="s">
        <v>66</v>
      </c>
      <c r="I1418">
        <v>0</v>
      </c>
      <c r="J1418">
        <v>0</v>
      </c>
      <c r="K1418">
        <v>0</v>
      </c>
      <c r="L1418">
        <v>0</v>
      </c>
      <c r="M1418">
        <v>0</v>
      </c>
      <c r="N1418">
        <v>50</v>
      </c>
      <c r="O1418">
        <v>0</v>
      </c>
      <c r="P1418">
        <v>0</v>
      </c>
      <c r="Q1418">
        <v>0</v>
      </c>
      <c r="R1418">
        <v>0</v>
      </c>
      <c r="S1418">
        <v>0</v>
      </c>
      <c r="T1418">
        <v>0</v>
      </c>
      <c r="U1418">
        <v>0</v>
      </c>
      <c r="V1418">
        <v>66</v>
      </c>
      <c r="W1418">
        <v>462</v>
      </c>
      <c r="X1418">
        <v>0</v>
      </c>
      <c r="Z1418">
        <v>1</v>
      </c>
      <c r="AA1418">
        <v>0</v>
      </c>
      <c r="AB1418">
        <v>0</v>
      </c>
      <c r="AC1418">
        <v>0</v>
      </c>
      <c r="AD1418" t="s">
        <v>2902</v>
      </c>
    </row>
    <row r="1419" spans="1:30" x14ac:dyDescent="0.25">
      <c r="H1419" t="s">
        <v>2903</v>
      </c>
    </row>
    <row r="1420" spans="1:30" x14ac:dyDescent="0.25">
      <c r="A1420">
        <v>707</v>
      </c>
      <c r="B1420">
        <v>5219</v>
      </c>
      <c r="C1420" t="s">
        <v>2904</v>
      </c>
      <c r="D1420" t="s">
        <v>624</v>
      </c>
      <c r="E1420" t="s">
        <v>167</v>
      </c>
      <c r="F1420" t="s">
        <v>2905</v>
      </c>
      <c r="G1420" t="str">
        <f>"00339171"</f>
        <v>00339171</v>
      </c>
      <c r="H1420" t="s">
        <v>1163</v>
      </c>
      <c r="I1420">
        <v>0</v>
      </c>
      <c r="J1420">
        <v>0</v>
      </c>
      <c r="K1420">
        <v>0</v>
      </c>
      <c r="L1420">
        <v>0</v>
      </c>
      <c r="M1420">
        <v>0</v>
      </c>
      <c r="N1420">
        <v>30</v>
      </c>
      <c r="O1420">
        <v>0</v>
      </c>
      <c r="P1420">
        <v>0</v>
      </c>
      <c r="Q1420">
        <v>0</v>
      </c>
      <c r="R1420">
        <v>0</v>
      </c>
      <c r="S1420">
        <v>0</v>
      </c>
      <c r="T1420">
        <v>0</v>
      </c>
      <c r="U1420">
        <v>0</v>
      </c>
      <c r="V1420">
        <v>69</v>
      </c>
      <c r="W1420">
        <v>483</v>
      </c>
      <c r="X1420">
        <v>0</v>
      </c>
      <c r="Z1420">
        <v>2</v>
      </c>
      <c r="AA1420">
        <v>0</v>
      </c>
      <c r="AB1420">
        <v>0</v>
      </c>
      <c r="AC1420">
        <v>0</v>
      </c>
      <c r="AD1420" t="s">
        <v>2906</v>
      </c>
    </row>
    <row r="1421" spans="1:30" x14ac:dyDescent="0.25">
      <c r="H1421" t="s">
        <v>2907</v>
      </c>
    </row>
    <row r="1422" spans="1:30" x14ac:dyDescent="0.25">
      <c r="A1422">
        <v>708</v>
      </c>
      <c r="B1422">
        <v>464</v>
      </c>
      <c r="C1422" t="s">
        <v>2908</v>
      </c>
      <c r="D1422" t="s">
        <v>815</v>
      </c>
      <c r="E1422" t="s">
        <v>102</v>
      </c>
      <c r="F1422" t="s">
        <v>2909</v>
      </c>
      <c r="G1422" t="str">
        <f>"200712005394"</f>
        <v>200712005394</v>
      </c>
      <c r="H1422" t="s">
        <v>291</v>
      </c>
      <c r="I1422">
        <v>150</v>
      </c>
      <c r="J1422">
        <v>0</v>
      </c>
      <c r="K1422">
        <v>0</v>
      </c>
      <c r="L1422">
        <v>200</v>
      </c>
      <c r="M1422">
        <v>0</v>
      </c>
      <c r="N1422">
        <v>30</v>
      </c>
      <c r="O1422">
        <v>0</v>
      </c>
      <c r="P1422">
        <v>30</v>
      </c>
      <c r="Q1422">
        <v>0</v>
      </c>
      <c r="R1422">
        <v>0</v>
      </c>
      <c r="S1422">
        <v>0</v>
      </c>
      <c r="T1422">
        <v>0</v>
      </c>
      <c r="U1422">
        <v>0</v>
      </c>
      <c r="V1422">
        <v>0</v>
      </c>
      <c r="W1422">
        <v>0</v>
      </c>
      <c r="X1422">
        <v>0</v>
      </c>
      <c r="Z1422">
        <v>0</v>
      </c>
      <c r="AA1422">
        <v>0</v>
      </c>
      <c r="AB1422">
        <v>0</v>
      </c>
      <c r="AC1422">
        <v>0</v>
      </c>
      <c r="AD1422" t="s">
        <v>2910</v>
      </c>
    </row>
    <row r="1423" spans="1:30" x14ac:dyDescent="0.25">
      <c r="H1423" t="s">
        <v>2911</v>
      </c>
    </row>
    <row r="1424" spans="1:30" x14ac:dyDescent="0.25">
      <c r="A1424">
        <v>709</v>
      </c>
      <c r="B1424">
        <v>4396</v>
      </c>
      <c r="C1424" t="s">
        <v>2912</v>
      </c>
      <c r="D1424" t="s">
        <v>44</v>
      </c>
      <c r="E1424" t="s">
        <v>77</v>
      </c>
      <c r="F1424" t="s">
        <v>2913</v>
      </c>
      <c r="G1424" t="str">
        <f>"00190771"</f>
        <v>00190771</v>
      </c>
      <c r="H1424">
        <v>748</v>
      </c>
      <c r="I1424">
        <v>0</v>
      </c>
      <c r="J1424">
        <v>0</v>
      </c>
      <c r="K1424">
        <v>0</v>
      </c>
      <c r="L1424">
        <v>0</v>
      </c>
      <c r="M1424">
        <v>0</v>
      </c>
      <c r="N1424">
        <v>30</v>
      </c>
      <c r="O1424">
        <v>0</v>
      </c>
      <c r="P1424">
        <v>0</v>
      </c>
      <c r="Q1424">
        <v>0</v>
      </c>
      <c r="R1424">
        <v>0</v>
      </c>
      <c r="S1424">
        <v>0</v>
      </c>
      <c r="T1424">
        <v>0</v>
      </c>
      <c r="U1424">
        <v>0</v>
      </c>
      <c r="V1424">
        <v>67</v>
      </c>
      <c r="W1424">
        <v>469</v>
      </c>
      <c r="X1424">
        <v>0</v>
      </c>
      <c r="Z1424">
        <v>0</v>
      </c>
      <c r="AA1424">
        <v>0</v>
      </c>
      <c r="AB1424">
        <v>0</v>
      </c>
      <c r="AC1424">
        <v>0</v>
      </c>
      <c r="AD1424">
        <v>1247</v>
      </c>
    </row>
    <row r="1425" spans="1:30" x14ac:dyDescent="0.25">
      <c r="H1425" t="s">
        <v>2914</v>
      </c>
    </row>
    <row r="1426" spans="1:30" x14ac:dyDescent="0.25">
      <c r="A1426">
        <v>710</v>
      </c>
      <c r="B1426">
        <v>1066</v>
      </c>
      <c r="C1426" t="s">
        <v>2915</v>
      </c>
      <c r="D1426" t="s">
        <v>598</v>
      </c>
      <c r="E1426" t="s">
        <v>658</v>
      </c>
      <c r="F1426" t="s">
        <v>2916</v>
      </c>
      <c r="G1426" t="str">
        <f>"201402001544"</f>
        <v>201402001544</v>
      </c>
      <c r="H1426">
        <v>748</v>
      </c>
      <c r="I1426">
        <v>0</v>
      </c>
      <c r="J1426">
        <v>0</v>
      </c>
      <c r="K1426">
        <v>0</v>
      </c>
      <c r="L1426">
        <v>0</v>
      </c>
      <c r="M1426">
        <v>0</v>
      </c>
      <c r="N1426">
        <v>30</v>
      </c>
      <c r="O1426">
        <v>0</v>
      </c>
      <c r="P1426">
        <v>0</v>
      </c>
      <c r="Q1426">
        <v>0</v>
      </c>
      <c r="R1426">
        <v>0</v>
      </c>
      <c r="S1426">
        <v>0</v>
      </c>
      <c r="T1426">
        <v>0</v>
      </c>
      <c r="U1426">
        <v>0</v>
      </c>
      <c r="V1426">
        <v>67</v>
      </c>
      <c r="W1426">
        <v>469</v>
      </c>
      <c r="X1426">
        <v>0</v>
      </c>
      <c r="Z1426">
        <v>0</v>
      </c>
      <c r="AA1426">
        <v>0</v>
      </c>
      <c r="AB1426">
        <v>0</v>
      </c>
      <c r="AC1426">
        <v>0</v>
      </c>
      <c r="AD1426">
        <v>1247</v>
      </c>
    </row>
    <row r="1427" spans="1:30" x14ac:dyDescent="0.25">
      <c r="H1427" t="s">
        <v>2917</v>
      </c>
    </row>
    <row r="1428" spans="1:30" x14ac:dyDescent="0.25">
      <c r="A1428">
        <v>711</v>
      </c>
      <c r="B1428">
        <v>1287</v>
      </c>
      <c r="C1428" t="s">
        <v>336</v>
      </c>
      <c r="D1428" t="s">
        <v>2918</v>
      </c>
      <c r="E1428" t="s">
        <v>2918</v>
      </c>
      <c r="F1428" t="s">
        <v>2919</v>
      </c>
      <c r="G1428" t="str">
        <f>"00288595"</f>
        <v>00288595</v>
      </c>
      <c r="H1428" t="s">
        <v>913</v>
      </c>
      <c r="I1428">
        <v>0</v>
      </c>
      <c r="J1428">
        <v>0</v>
      </c>
      <c r="K1428">
        <v>0</v>
      </c>
      <c r="L1428">
        <v>200</v>
      </c>
      <c r="M1428">
        <v>0</v>
      </c>
      <c r="N1428">
        <v>30</v>
      </c>
      <c r="O1428">
        <v>0</v>
      </c>
      <c r="P1428">
        <v>0</v>
      </c>
      <c r="Q1428">
        <v>0</v>
      </c>
      <c r="R1428">
        <v>0</v>
      </c>
      <c r="S1428">
        <v>0</v>
      </c>
      <c r="T1428">
        <v>0</v>
      </c>
      <c r="U1428">
        <v>0</v>
      </c>
      <c r="V1428">
        <v>49</v>
      </c>
      <c r="W1428">
        <v>343</v>
      </c>
      <c r="X1428">
        <v>0</v>
      </c>
      <c r="Z1428">
        <v>2</v>
      </c>
      <c r="AA1428">
        <v>0</v>
      </c>
      <c r="AB1428">
        <v>0</v>
      </c>
      <c r="AC1428">
        <v>0</v>
      </c>
      <c r="AD1428" t="s">
        <v>2920</v>
      </c>
    </row>
    <row r="1429" spans="1:30" x14ac:dyDescent="0.25">
      <c r="H1429" t="s">
        <v>1859</v>
      </c>
    </row>
    <row r="1430" spans="1:30" x14ac:dyDescent="0.25">
      <c r="A1430">
        <v>712</v>
      </c>
      <c r="B1430">
        <v>1243</v>
      </c>
      <c r="C1430" t="s">
        <v>2921</v>
      </c>
      <c r="D1430" t="s">
        <v>2922</v>
      </c>
      <c r="E1430" t="s">
        <v>64</v>
      </c>
      <c r="F1430" t="s">
        <v>2923</v>
      </c>
      <c r="G1430" t="str">
        <f>"00300595"</f>
        <v>00300595</v>
      </c>
      <c r="H1430" t="s">
        <v>2924</v>
      </c>
      <c r="I1430">
        <v>0</v>
      </c>
      <c r="J1430">
        <v>0</v>
      </c>
      <c r="K1430">
        <v>0</v>
      </c>
      <c r="L1430">
        <v>0</v>
      </c>
      <c r="M1430">
        <v>0</v>
      </c>
      <c r="N1430">
        <v>30</v>
      </c>
      <c r="O1430">
        <v>0</v>
      </c>
      <c r="P1430">
        <v>0</v>
      </c>
      <c r="Q1430">
        <v>0</v>
      </c>
      <c r="R1430">
        <v>0</v>
      </c>
      <c r="S1430">
        <v>0</v>
      </c>
      <c r="T1430">
        <v>0</v>
      </c>
      <c r="U1430">
        <v>0</v>
      </c>
      <c r="V1430">
        <v>84</v>
      </c>
      <c r="W1430">
        <v>588</v>
      </c>
      <c r="X1430">
        <v>0</v>
      </c>
      <c r="Z1430">
        <v>0</v>
      </c>
      <c r="AA1430">
        <v>0</v>
      </c>
      <c r="AB1430">
        <v>0</v>
      </c>
      <c r="AC1430">
        <v>0</v>
      </c>
      <c r="AD1430" t="s">
        <v>2925</v>
      </c>
    </row>
    <row r="1431" spans="1:30" x14ac:dyDescent="0.25">
      <c r="H1431" t="s">
        <v>570</v>
      </c>
    </row>
    <row r="1432" spans="1:30" x14ac:dyDescent="0.25">
      <c r="A1432">
        <v>713</v>
      </c>
      <c r="B1432">
        <v>4949</v>
      </c>
      <c r="C1432" t="s">
        <v>2926</v>
      </c>
      <c r="D1432" t="s">
        <v>56</v>
      </c>
      <c r="E1432" t="s">
        <v>120</v>
      </c>
      <c r="F1432" t="s">
        <v>2927</v>
      </c>
      <c r="G1432" t="str">
        <f>"201604006029"</f>
        <v>201604006029</v>
      </c>
      <c r="H1432" t="s">
        <v>1142</v>
      </c>
      <c r="I1432">
        <v>0</v>
      </c>
      <c r="J1432">
        <v>0</v>
      </c>
      <c r="K1432">
        <v>0</v>
      </c>
      <c r="L1432">
        <v>200</v>
      </c>
      <c r="M1432">
        <v>0</v>
      </c>
      <c r="N1432">
        <v>30</v>
      </c>
      <c r="O1432">
        <v>0</v>
      </c>
      <c r="P1432">
        <v>0</v>
      </c>
      <c r="Q1432">
        <v>0</v>
      </c>
      <c r="R1432">
        <v>0</v>
      </c>
      <c r="S1432">
        <v>0</v>
      </c>
      <c r="T1432">
        <v>0</v>
      </c>
      <c r="U1432">
        <v>0</v>
      </c>
      <c r="V1432">
        <v>30</v>
      </c>
      <c r="W1432">
        <v>210</v>
      </c>
      <c r="X1432">
        <v>0</v>
      </c>
      <c r="Z1432">
        <v>0</v>
      </c>
      <c r="AA1432">
        <v>0</v>
      </c>
      <c r="AB1432">
        <v>0</v>
      </c>
      <c r="AC1432">
        <v>0</v>
      </c>
      <c r="AD1432" t="s">
        <v>2928</v>
      </c>
    </row>
    <row r="1433" spans="1:30" x14ac:dyDescent="0.25">
      <c r="H1433" t="s">
        <v>2739</v>
      </c>
    </row>
    <row r="1434" spans="1:30" x14ac:dyDescent="0.25">
      <c r="A1434">
        <v>714</v>
      </c>
      <c r="B1434">
        <v>2327</v>
      </c>
      <c r="C1434" t="s">
        <v>2929</v>
      </c>
      <c r="D1434" t="s">
        <v>2930</v>
      </c>
      <c r="E1434" t="s">
        <v>2931</v>
      </c>
      <c r="F1434" t="s">
        <v>2932</v>
      </c>
      <c r="G1434" t="str">
        <f>"00198658"</f>
        <v>00198658</v>
      </c>
      <c r="H1434" t="s">
        <v>363</v>
      </c>
      <c r="I1434">
        <v>0</v>
      </c>
      <c r="J1434">
        <v>0</v>
      </c>
      <c r="K1434">
        <v>0</v>
      </c>
      <c r="L1434">
        <v>0</v>
      </c>
      <c r="M1434">
        <v>0</v>
      </c>
      <c r="N1434">
        <v>30</v>
      </c>
      <c r="O1434">
        <v>0</v>
      </c>
      <c r="P1434">
        <v>0</v>
      </c>
      <c r="Q1434">
        <v>0</v>
      </c>
      <c r="R1434">
        <v>0</v>
      </c>
      <c r="S1434">
        <v>0</v>
      </c>
      <c r="T1434">
        <v>0</v>
      </c>
      <c r="U1434">
        <v>0</v>
      </c>
      <c r="V1434">
        <v>76</v>
      </c>
      <c r="W1434">
        <v>532</v>
      </c>
      <c r="X1434">
        <v>0</v>
      </c>
      <c r="Z1434">
        <v>0</v>
      </c>
      <c r="AA1434">
        <v>0</v>
      </c>
      <c r="AB1434">
        <v>0</v>
      </c>
      <c r="AC1434">
        <v>0</v>
      </c>
      <c r="AD1434" t="s">
        <v>2933</v>
      </c>
    </row>
    <row r="1435" spans="1:30" x14ac:dyDescent="0.25">
      <c r="H1435" t="s">
        <v>2934</v>
      </c>
    </row>
    <row r="1436" spans="1:30" x14ac:dyDescent="0.25">
      <c r="A1436">
        <v>715</v>
      </c>
      <c r="B1436">
        <v>3836</v>
      </c>
      <c r="C1436" t="s">
        <v>2935</v>
      </c>
      <c r="D1436" t="s">
        <v>218</v>
      </c>
      <c r="E1436" t="s">
        <v>141</v>
      </c>
      <c r="F1436" t="s">
        <v>2936</v>
      </c>
      <c r="G1436" t="str">
        <f>"201406014246"</f>
        <v>201406014246</v>
      </c>
      <c r="H1436" t="s">
        <v>2937</v>
      </c>
      <c r="I1436">
        <v>0</v>
      </c>
      <c r="J1436">
        <v>0</v>
      </c>
      <c r="K1436">
        <v>0</v>
      </c>
      <c r="L1436">
        <v>0</v>
      </c>
      <c r="M1436">
        <v>0</v>
      </c>
      <c r="N1436">
        <v>70</v>
      </c>
      <c r="O1436">
        <v>0</v>
      </c>
      <c r="P1436">
        <v>0</v>
      </c>
      <c r="Q1436">
        <v>0</v>
      </c>
      <c r="R1436">
        <v>0</v>
      </c>
      <c r="S1436">
        <v>0</v>
      </c>
      <c r="T1436">
        <v>0</v>
      </c>
      <c r="U1436">
        <v>0</v>
      </c>
      <c r="V1436">
        <v>69</v>
      </c>
      <c r="W1436">
        <v>483</v>
      </c>
      <c r="X1436">
        <v>0</v>
      </c>
      <c r="Z1436">
        <v>2</v>
      </c>
      <c r="AA1436">
        <v>0</v>
      </c>
      <c r="AB1436">
        <v>0</v>
      </c>
      <c r="AC1436">
        <v>0</v>
      </c>
      <c r="AD1436" t="s">
        <v>2938</v>
      </c>
    </row>
    <row r="1437" spans="1:30" x14ac:dyDescent="0.25">
      <c r="H1437" t="s">
        <v>2939</v>
      </c>
    </row>
    <row r="1438" spans="1:30" x14ac:dyDescent="0.25">
      <c r="A1438">
        <v>716</v>
      </c>
      <c r="B1438">
        <v>224</v>
      </c>
      <c r="C1438" t="s">
        <v>2940</v>
      </c>
      <c r="D1438" t="s">
        <v>598</v>
      </c>
      <c r="E1438" t="s">
        <v>107</v>
      </c>
      <c r="F1438" t="s">
        <v>2941</v>
      </c>
      <c r="G1438" t="str">
        <f>"00248840"</f>
        <v>00248840</v>
      </c>
      <c r="H1438" t="s">
        <v>248</v>
      </c>
      <c r="I1438">
        <v>0</v>
      </c>
      <c r="J1438">
        <v>0</v>
      </c>
      <c r="K1438">
        <v>0</v>
      </c>
      <c r="L1438">
        <v>0</v>
      </c>
      <c r="M1438">
        <v>0</v>
      </c>
      <c r="N1438">
        <v>0</v>
      </c>
      <c r="O1438">
        <v>0</v>
      </c>
      <c r="P1438">
        <v>0</v>
      </c>
      <c r="Q1438">
        <v>0</v>
      </c>
      <c r="R1438">
        <v>0</v>
      </c>
      <c r="S1438">
        <v>0</v>
      </c>
      <c r="T1438">
        <v>0</v>
      </c>
      <c r="U1438">
        <v>0</v>
      </c>
      <c r="V1438">
        <v>84</v>
      </c>
      <c r="W1438">
        <v>588</v>
      </c>
      <c r="X1438">
        <v>0</v>
      </c>
      <c r="Z1438">
        <v>1</v>
      </c>
      <c r="AA1438">
        <v>0</v>
      </c>
      <c r="AB1438">
        <v>0</v>
      </c>
      <c r="AC1438">
        <v>0</v>
      </c>
      <c r="AD1438" t="s">
        <v>2942</v>
      </c>
    </row>
    <row r="1439" spans="1:30" x14ac:dyDescent="0.25">
      <c r="H1439" t="s">
        <v>2943</v>
      </c>
    </row>
    <row r="1440" spans="1:30" x14ac:dyDescent="0.25">
      <c r="A1440">
        <v>717</v>
      </c>
      <c r="B1440">
        <v>4542</v>
      </c>
      <c r="C1440" t="s">
        <v>2944</v>
      </c>
      <c r="D1440" t="s">
        <v>2945</v>
      </c>
      <c r="E1440" t="s">
        <v>120</v>
      </c>
      <c r="F1440" t="s">
        <v>2946</v>
      </c>
      <c r="G1440" t="str">
        <f>"201511020395"</f>
        <v>201511020395</v>
      </c>
      <c r="H1440">
        <v>803</v>
      </c>
      <c r="I1440">
        <v>0</v>
      </c>
      <c r="J1440">
        <v>0</v>
      </c>
      <c r="K1440">
        <v>0</v>
      </c>
      <c r="L1440">
        <v>0</v>
      </c>
      <c r="M1440">
        <v>0</v>
      </c>
      <c r="N1440">
        <v>0</v>
      </c>
      <c r="O1440">
        <v>0</v>
      </c>
      <c r="P1440">
        <v>0</v>
      </c>
      <c r="Q1440">
        <v>0</v>
      </c>
      <c r="R1440">
        <v>0</v>
      </c>
      <c r="S1440">
        <v>0</v>
      </c>
      <c r="T1440">
        <v>0</v>
      </c>
      <c r="U1440">
        <v>0</v>
      </c>
      <c r="V1440">
        <v>63</v>
      </c>
      <c r="W1440">
        <v>441</v>
      </c>
      <c r="X1440">
        <v>0</v>
      </c>
      <c r="Z1440">
        <v>0</v>
      </c>
      <c r="AA1440">
        <v>0</v>
      </c>
      <c r="AB1440">
        <v>0</v>
      </c>
      <c r="AC1440">
        <v>0</v>
      </c>
      <c r="AD1440">
        <v>1244</v>
      </c>
    </row>
    <row r="1441" spans="1:30" x14ac:dyDescent="0.25">
      <c r="H1441" t="s">
        <v>483</v>
      </c>
    </row>
    <row r="1442" spans="1:30" x14ac:dyDescent="0.25">
      <c r="A1442">
        <v>718</v>
      </c>
      <c r="B1442">
        <v>5152</v>
      </c>
      <c r="C1442" t="s">
        <v>2947</v>
      </c>
      <c r="D1442" t="s">
        <v>2948</v>
      </c>
      <c r="E1442" t="s">
        <v>2949</v>
      </c>
      <c r="F1442" t="s">
        <v>2950</v>
      </c>
      <c r="G1442" t="str">
        <f>"00112376"</f>
        <v>00112376</v>
      </c>
      <c r="H1442" t="s">
        <v>66</v>
      </c>
      <c r="I1442">
        <v>0</v>
      </c>
      <c r="J1442">
        <v>0</v>
      </c>
      <c r="K1442">
        <v>0</v>
      </c>
      <c r="L1442">
        <v>0</v>
      </c>
      <c r="M1442">
        <v>0</v>
      </c>
      <c r="N1442">
        <v>30</v>
      </c>
      <c r="O1442">
        <v>30</v>
      </c>
      <c r="P1442">
        <v>0</v>
      </c>
      <c r="Q1442">
        <v>0</v>
      </c>
      <c r="R1442">
        <v>0</v>
      </c>
      <c r="S1442">
        <v>0</v>
      </c>
      <c r="T1442">
        <v>0</v>
      </c>
      <c r="U1442">
        <v>0</v>
      </c>
      <c r="V1442">
        <v>64</v>
      </c>
      <c r="W1442">
        <v>448</v>
      </c>
      <c r="X1442">
        <v>0</v>
      </c>
      <c r="Z1442">
        <v>2</v>
      </c>
      <c r="AA1442">
        <v>0</v>
      </c>
      <c r="AB1442">
        <v>0</v>
      </c>
      <c r="AC1442">
        <v>0</v>
      </c>
      <c r="AD1442" t="s">
        <v>2951</v>
      </c>
    </row>
    <row r="1443" spans="1:30" x14ac:dyDescent="0.25">
      <c r="H1443" t="s">
        <v>1327</v>
      </c>
    </row>
    <row r="1444" spans="1:30" x14ac:dyDescent="0.25">
      <c r="A1444">
        <v>719</v>
      </c>
      <c r="B1444">
        <v>1227</v>
      </c>
      <c r="C1444" t="s">
        <v>2952</v>
      </c>
      <c r="D1444" t="s">
        <v>28</v>
      </c>
      <c r="E1444" t="s">
        <v>120</v>
      </c>
      <c r="F1444" t="s">
        <v>2953</v>
      </c>
      <c r="G1444" t="str">
        <f>"201511010388"</f>
        <v>201511010388</v>
      </c>
      <c r="H1444" t="s">
        <v>1559</v>
      </c>
      <c r="I1444">
        <v>0</v>
      </c>
      <c r="J1444">
        <v>0</v>
      </c>
      <c r="K1444">
        <v>0</v>
      </c>
      <c r="L1444">
        <v>0</v>
      </c>
      <c r="M1444">
        <v>0</v>
      </c>
      <c r="N1444">
        <v>0</v>
      </c>
      <c r="O1444">
        <v>0</v>
      </c>
      <c r="P1444">
        <v>0</v>
      </c>
      <c r="Q1444">
        <v>0</v>
      </c>
      <c r="R1444">
        <v>0</v>
      </c>
      <c r="S1444">
        <v>0</v>
      </c>
      <c r="T1444">
        <v>0</v>
      </c>
      <c r="U1444">
        <v>0</v>
      </c>
      <c r="V1444">
        <v>84</v>
      </c>
      <c r="W1444">
        <v>588</v>
      </c>
      <c r="X1444">
        <v>0</v>
      </c>
      <c r="Z1444">
        <v>0</v>
      </c>
      <c r="AA1444">
        <v>0</v>
      </c>
      <c r="AB1444">
        <v>0</v>
      </c>
      <c r="AC1444">
        <v>0</v>
      </c>
      <c r="AD1444" t="s">
        <v>2954</v>
      </c>
    </row>
    <row r="1445" spans="1:30" x14ac:dyDescent="0.25">
      <c r="H1445" t="s">
        <v>2131</v>
      </c>
    </row>
    <row r="1446" spans="1:30" x14ac:dyDescent="0.25">
      <c r="A1446">
        <v>720</v>
      </c>
      <c r="B1446">
        <v>4197</v>
      </c>
      <c r="C1446" t="s">
        <v>2955</v>
      </c>
      <c r="D1446" t="s">
        <v>218</v>
      </c>
      <c r="E1446" t="s">
        <v>254</v>
      </c>
      <c r="F1446" t="s">
        <v>2956</v>
      </c>
      <c r="G1446" t="str">
        <f>"00339957"</f>
        <v>00339957</v>
      </c>
      <c r="H1446">
        <v>847</v>
      </c>
      <c r="I1446">
        <v>0</v>
      </c>
      <c r="J1446">
        <v>0</v>
      </c>
      <c r="K1446">
        <v>0</v>
      </c>
      <c r="L1446">
        <v>0</v>
      </c>
      <c r="M1446">
        <v>0</v>
      </c>
      <c r="N1446">
        <v>30</v>
      </c>
      <c r="O1446">
        <v>0</v>
      </c>
      <c r="P1446">
        <v>0</v>
      </c>
      <c r="Q1446">
        <v>0</v>
      </c>
      <c r="R1446">
        <v>0</v>
      </c>
      <c r="S1446">
        <v>0</v>
      </c>
      <c r="T1446">
        <v>0</v>
      </c>
      <c r="U1446">
        <v>0</v>
      </c>
      <c r="V1446">
        <v>52</v>
      </c>
      <c r="W1446">
        <v>364</v>
      </c>
      <c r="X1446">
        <v>0</v>
      </c>
      <c r="Z1446">
        <v>0</v>
      </c>
      <c r="AA1446">
        <v>0</v>
      </c>
      <c r="AB1446">
        <v>0</v>
      </c>
      <c r="AC1446">
        <v>0</v>
      </c>
      <c r="AD1446">
        <v>1241</v>
      </c>
    </row>
    <row r="1447" spans="1:30" x14ac:dyDescent="0.25">
      <c r="H1447" t="s">
        <v>2957</v>
      </c>
    </row>
    <row r="1448" spans="1:30" x14ac:dyDescent="0.25">
      <c r="A1448">
        <v>721</v>
      </c>
      <c r="B1448">
        <v>964</v>
      </c>
      <c r="C1448" t="s">
        <v>2958</v>
      </c>
      <c r="D1448" t="s">
        <v>397</v>
      </c>
      <c r="E1448" t="s">
        <v>2959</v>
      </c>
      <c r="F1448" t="s">
        <v>2960</v>
      </c>
      <c r="G1448" t="str">
        <f>"00267709"</f>
        <v>00267709</v>
      </c>
      <c r="H1448" t="s">
        <v>1007</v>
      </c>
      <c r="I1448">
        <v>0</v>
      </c>
      <c r="J1448">
        <v>0</v>
      </c>
      <c r="K1448">
        <v>0</v>
      </c>
      <c r="L1448">
        <v>0</v>
      </c>
      <c r="M1448">
        <v>0</v>
      </c>
      <c r="N1448">
        <v>30</v>
      </c>
      <c r="O1448">
        <v>0</v>
      </c>
      <c r="P1448">
        <v>0</v>
      </c>
      <c r="Q1448">
        <v>0</v>
      </c>
      <c r="R1448">
        <v>0</v>
      </c>
      <c r="S1448">
        <v>0</v>
      </c>
      <c r="T1448">
        <v>0</v>
      </c>
      <c r="U1448">
        <v>0</v>
      </c>
      <c r="V1448">
        <v>79</v>
      </c>
      <c r="W1448">
        <v>553</v>
      </c>
      <c r="X1448">
        <v>0</v>
      </c>
      <c r="Z1448">
        <v>0</v>
      </c>
      <c r="AA1448">
        <v>0</v>
      </c>
      <c r="AB1448">
        <v>0</v>
      </c>
      <c r="AC1448">
        <v>0</v>
      </c>
      <c r="AD1448" t="s">
        <v>2961</v>
      </c>
    </row>
    <row r="1449" spans="1:30" x14ac:dyDescent="0.25">
      <c r="H1449" t="s">
        <v>2962</v>
      </c>
    </row>
    <row r="1450" spans="1:30" x14ac:dyDescent="0.25">
      <c r="A1450">
        <v>722</v>
      </c>
      <c r="B1450">
        <v>5029</v>
      </c>
      <c r="C1450" t="s">
        <v>2963</v>
      </c>
      <c r="D1450" t="s">
        <v>346</v>
      </c>
      <c r="E1450" t="s">
        <v>107</v>
      </c>
      <c r="F1450" t="s">
        <v>2964</v>
      </c>
      <c r="G1450" t="str">
        <f>"00317871"</f>
        <v>00317871</v>
      </c>
      <c r="H1450" t="s">
        <v>1368</v>
      </c>
      <c r="I1450">
        <v>0</v>
      </c>
      <c r="J1450">
        <v>0</v>
      </c>
      <c r="K1450">
        <v>0</v>
      </c>
      <c r="L1450">
        <v>0</v>
      </c>
      <c r="M1450">
        <v>0</v>
      </c>
      <c r="N1450">
        <v>50</v>
      </c>
      <c r="O1450">
        <v>0</v>
      </c>
      <c r="P1450">
        <v>50</v>
      </c>
      <c r="Q1450">
        <v>0</v>
      </c>
      <c r="R1450">
        <v>0</v>
      </c>
      <c r="S1450">
        <v>0</v>
      </c>
      <c r="T1450">
        <v>0</v>
      </c>
      <c r="U1450">
        <v>0</v>
      </c>
      <c r="V1450">
        <v>58</v>
      </c>
      <c r="W1450">
        <v>406</v>
      </c>
      <c r="X1450">
        <v>0</v>
      </c>
      <c r="Z1450">
        <v>0</v>
      </c>
      <c r="AA1450">
        <v>0</v>
      </c>
      <c r="AB1450">
        <v>2</v>
      </c>
      <c r="AC1450">
        <v>34</v>
      </c>
      <c r="AD1450" t="s">
        <v>2965</v>
      </c>
    </row>
    <row r="1451" spans="1:30" x14ac:dyDescent="0.25">
      <c r="H1451" t="s">
        <v>496</v>
      </c>
    </row>
    <row r="1452" spans="1:30" x14ac:dyDescent="0.25">
      <c r="A1452">
        <v>723</v>
      </c>
      <c r="B1452">
        <v>392</v>
      </c>
      <c r="C1452" t="s">
        <v>2966</v>
      </c>
      <c r="D1452" t="s">
        <v>2967</v>
      </c>
      <c r="E1452" t="s">
        <v>1206</v>
      </c>
      <c r="F1452" t="s">
        <v>2968</v>
      </c>
      <c r="G1452" t="str">
        <f>"200802010678"</f>
        <v>200802010678</v>
      </c>
      <c r="H1452" t="s">
        <v>1734</v>
      </c>
      <c r="I1452">
        <v>0</v>
      </c>
      <c r="J1452">
        <v>0</v>
      </c>
      <c r="K1452">
        <v>0</v>
      </c>
      <c r="L1452">
        <v>0</v>
      </c>
      <c r="M1452">
        <v>0</v>
      </c>
      <c r="N1452">
        <v>0</v>
      </c>
      <c r="O1452">
        <v>0</v>
      </c>
      <c r="P1452">
        <v>0</v>
      </c>
      <c r="Q1452">
        <v>0</v>
      </c>
      <c r="R1452">
        <v>0</v>
      </c>
      <c r="S1452">
        <v>0</v>
      </c>
      <c r="T1452">
        <v>0</v>
      </c>
      <c r="U1452">
        <v>0</v>
      </c>
      <c r="V1452">
        <v>84</v>
      </c>
      <c r="W1452">
        <v>588</v>
      </c>
      <c r="X1452">
        <v>0</v>
      </c>
      <c r="Z1452">
        <v>1</v>
      </c>
      <c r="AA1452">
        <v>0</v>
      </c>
      <c r="AB1452">
        <v>0</v>
      </c>
      <c r="AC1452">
        <v>0</v>
      </c>
      <c r="AD1452" t="s">
        <v>2969</v>
      </c>
    </row>
    <row r="1453" spans="1:30" x14ac:dyDescent="0.25">
      <c r="H1453" t="s">
        <v>2970</v>
      </c>
    </row>
    <row r="1454" spans="1:30" x14ac:dyDescent="0.25">
      <c r="A1454">
        <v>724</v>
      </c>
      <c r="B1454">
        <v>1075</v>
      </c>
      <c r="C1454" t="s">
        <v>224</v>
      </c>
      <c r="D1454" t="s">
        <v>83</v>
      </c>
      <c r="E1454" t="s">
        <v>230</v>
      </c>
      <c r="F1454" t="s">
        <v>2971</v>
      </c>
      <c r="G1454" t="str">
        <f>"00231497"</f>
        <v>00231497</v>
      </c>
      <c r="H1454">
        <v>726</v>
      </c>
      <c r="I1454">
        <v>0</v>
      </c>
      <c r="J1454">
        <v>0</v>
      </c>
      <c r="K1454">
        <v>0</v>
      </c>
      <c r="L1454">
        <v>0</v>
      </c>
      <c r="M1454">
        <v>0</v>
      </c>
      <c r="N1454">
        <v>30</v>
      </c>
      <c r="O1454">
        <v>0</v>
      </c>
      <c r="P1454">
        <v>0</v>
      </c>
      <c r="Q1454">
        <v>0</v>
      </c>
      <c r="R1454">
        <v>0</v>
      </c>
      <c r="S1454">
        <v>0</v>
      </c>
      <c r="T1454">
        <v>0</v>
      </c>
      <c r="U1454">
        <v>0</v>
      </c>
      <c r="V1454">
        <v>69</v>
      </c>
      <c r="W1454">
        <v>483</v>
      </c>
      <c r="X1454">
        <v>0</v>
      </c>
      <c r="Z1454">
        <v>0</v>
      </c>
      <c r="AA1454">
        <v>0</v>
      </c>
      <c r="AB1454">
        <v>0</v>
      </c>
      <c r="AC1454">
        <v>0</v>
      </c>
      <c r="AD1454">
        <v>1239</v>
      </c>
    </row>
    <row r="1455" spans="1:30" x14ac:dyDescent="0.25">
      <c r="H1455" t="s">
        <v>2972</v>
      </c>
    </row>
    <row r="1456" spans="1:30" x14ac:dyDescent="0.25">
      <c r="A1456">
        <v>725</v>
      </c>
      <c r="B1456">
        <v>4232</v>
      </c>
      <c r="C1456" t="s">
        <v>814</v>
      </c>
      <c r="D1456" t="s">
        <v>32</v>
      </c>
      <c r="E1456" t="s">
        <v>2973</v>
      </c>
      <c r="F1456" t="s">
        <v>2974</v>
      </c>
      <c r="G1456" t="str">
        <f>"201406012846"</f>
        <v>201406012846</v>
      </c>
      <c r="H1456" t="s">
        <v>505</v>
      </c>
      <c r="I1456">
        <v>0</v>
      </c>
      <c r="J1456">
        <v>0</v>
      </c>
      <c r="K1456">
        <v>0</v>
      </c>
      <c r="L1456">
        <v>0</v>
      </c>
      <c r="M1456">
        <v>0</v>
      </c>
      <c r="N1456">
        <v>70</v>
      </c>
      <c r="O1456">
        <v>0</v>
      </c>
      <c r="P1456">
        <v>0</v>
      </c>
      <c r="Q1456">
        <v>0</v>
      </c>
      <c r="R1456">
        <v>0</v>
      </c>
      <c r="S1456">
        <v>0</v>
      </c>
      <c r="T1456">
        <v>0</v>
      </c>
      <c r="U1456">
        <v>0</v>
      </c>
      <c r="V1456">
        <v>69</v>
      </c>
      <c r="W1456">
        <v>483</v>
      </c>
      <c r="X1456">
        <v>0</v>
      </c>
      <c r="Z1456">
        <v>0</v>
      </c>
      <c r="AA1456">
        <v>0</v>
      </c>
      <c r="AB1456">
        <v>0</v>
      </c>
      <c r="AC1456">
        <v>0</v>
      </c>
      <c r="AD1456" t="s">
        <v>2975</v>
      </c>
    </row>
    <row r="1457" spans="1:30" x14ac:dyDescent="0.25">
      <c r="H1457" t="s">
        <v>2976</v>
      </c>
    </row>
    <row r="1458" spans="1:30" x14ac:dyDescent="0.25">
      <c r="A1458">
        <v>726</v>
      </c>
      <c r="B1458">
        <v>6289</v>
      </c>
      <c r="C1458" t="s">
        <v>2977</v>
      </c>
      <c r="D1458" t="s">
        <v>283</v>
      </c>
      <c r="E1458" t="s">
        <v>49</v>
      </c>
      <c r="F1458" t="s">
        <v>2978</v>
      </c>
      <c r="G1458" t="str">
        <f>"00369071"</f>
        <v>00369071</v>
      </c>
      <c r="H1458">
        <v>726</v>
      </c>
      <c r="I1458">
        <v>0</v>
      </c>
      <c r="J1458">
        <v>0</v>
      </c>
      <c r="K1458">
        <v>0</v>
      </c>
      <c r="L1458">
        <v>0</v>
      </c>
      <c r="M1458">
        <v>0</v>
      </c>
      <c r="N1458">
        <v>0</v>
      </c>
      <c r="O1458">
        <v>0</v>
      </c>
      <c r="P1458">
        <v>0</v>
      </c>
      <c r="Q1458">
        <v>0</v>
      </c>
      <c r="R1458">
        <v>0</v>
      </c>
      <c r="S1458">
        <v>0</v>
      </c>
      <c r="T1458">
        <v>0</v>
      </c>
      <c r="U1458">
        <v>0</v>
      </c>
      <c r="V1458">
        <v>73</v>
      </c>
      <c r="W1458">
        <v>511</v>
      </c>
      <c r="X1458">
        <v>0</v>
      </c>
      <c r="Z1458">
        <v>0</v>
      </c>
      <c r="AA1458">
        <v>0</v>
      </c>
      <c r="AB1458">
        <v>0</v>
      </c>
      <c r="AC1458">
        <v>0</v>
      </c>
      <c r="AD1458">
        <v>1237</v>
      </c>
    </row>
    <row r="1459" spans="1:30" x14ac:dyDescent="0.25">
      <c r="H1459" t="s">
        <v>483</v>
      </c>
    </row>
    <row r="1460" spans="1:30" x14ac:dyDescent="0.25">
      <c r="A1460">
        <v>727</v>
      </c>
      <c r="B1460">
        <v>1021</v>
      </c>
      <c r="C1460" t="s">
        <v>2979</v>
      </c>
      <c r="D1460" t="s">
        <v>44</v>
      </c>
      <c r="E1460" t="s">
        <v>2757</v>
      </c>
      <c r="F1460" t="s">
        <v>2980</v>
      </c>
      <c r="G1460" t="str">
        <f>"201511042690"</f>
        <v>201511042690</v>
      </c>
      <c r="H1460">
        <v>649</v>
      </c>
      <c r="I1460">
        <v>0</v>
      </c>
      <c r="J1460">
        <v>0</v>
      </c>
      <c r="K1460">
        <v>0</v>
      </c>
      <c r="L1460">
        <v>0</v>
      </c>
      <c r="M1460">
        <v>0</v>
      </c>
      <c r="N1460">
        <v>0</v>
      </c>
      <c r="O1460">
        <v>0</v>
      </c>
      <c r="P1460">
        <v>0</v>
      </c>
      <c r="Q1460">
        <v>0</v>
      </c>
      <c r="R1460">
        <v>0</v>
      </c>
      <c r="S1460">
        <v>0</v>
      </c>
      <c r="T1460">
        <v>0</v>
      </c>
      <c r="U1460">
        <v>0</v>
      </c>
      <c r="V1460">
        <v>84</v>
      </c>
      <c r="W1460">
        <v>588</v>
      </c>
      <c r="X1460">
        <v>0</v>
      </c>
      <c r="Z1460">
        <v>3</v>
      </c>
      <c r="AA1460">
        <v>0</v>
      </c>
      <c r="AB1460">
        <v>0</v>
      </c>
      <c r="AC1460">
        <v>0</v>
      </c>
      <c r="AD1460">
        <v>1237</v>
      </c>
    </row>
    <row r="1461" spans="1:30" x14ac:dyDescent="0.25">
      <c r="H1461" t="s">
        <v>2981</v>
      </c>
    </row>
    <row r="1462" spans="1:30" x14ac:dyDescent="0.25">
      <c r="A1462">
        <v>728</v>
      </c>
      <c r="B1462">
        <v>3581</v>
      </c>
      <c r="C1462" t="s">
        <v>2982</v>
      </c>
      <c r="D1462" t="s">
        <v>218</v>
      </c>
      <c r="E1462" t="s">
        <v>1723</v>
      </c>
      <c r="F1462" t="s">
        <v>2983</v>
      </c>
      <c r="G1462" t="str">
        <f>"00300922"</f>
        <v>00300922</v>
      </c>
      <c r="H1462">
        <v>649</v>
      </c>
      <c r="I1462">
        <v>0</v>
      </c>
      <c r="J1462">
        <v>0</v>
      </c>
      <c r="K1462">
        <v>0</v>
      </c>
      <c r="L1462">
        <v>0</v>
      </c>
      <c r="M1462">
        <v>0</v>
      </c>
      <c r="N1462">
        <v>0</v>
      </c>
      <c r="O1462">
        <v>0</v>
      </c>
      <c r="P1462">
        <v>0</v>
      </c>
      <c r="Q1462">
        <v>0</v>
      </c>
      <c r="R1462">
        <v>0</v>
      </c>
      <c r="S1462">
        <v>0</v>
      </c>
      <c r="T1462">
        <v>0</v>
      </c>
      <c r="U1462">
        <v>0</v>
      </c>
      <c r="V1462">
        <v>84</v>
      </c>
      <c r="W1462">
        <v>588</v>
      </c>
      <c r="X1462">
        <v>0</v>
      </c>
      <c r="Z1462">
        <v>0</v>
      </c>
      <c r="AA1462">
        <v>0</v>
      </c>
      <c r="AB1462">
        <v>0</v>
      </c>
      <c r="AC1462">
        <v>0</v>
      </c>
      <c r="AD1462">
        <v>1237</v>
      </c>
    </row>
    <row r="1463" spans="1:30" x14ac:dyDescent="0.25">
      <c r="H1463" t="s">
        <v>2984</v>
      </c>
    </row>
    <row r="1464" spans="1:30" x14ac:dyDescent="0.25">
      <c r="A1464">
        <v>729</v>
      </c>
      <c r="B1464">
        <v>4115</v>
      </c>
      <c r="C1464" t="s">
        <v>2985</v>
      </c>
      <c r="D1464" t="s">
        <v>218</v>
      </c>
      <c r="E1464" t="s">
        <v>28</v>
      </c>
      <c r="F1464" t="s">
        <v>2986</v>
      </c>
      <c r="G1464" t="str">
        <f>"201402001923"</f>
        <v>201402001923</v>
      </c>
      <c r="H1464" t="s">
        <v>1132</v>
      </c>
      <c r="I1464">
        <v>0</v>
      </c>
      <c r="J1464">
        <v>0</v>
      </c>
      <c r="K1464">
        <v>0</v>
      </c>
      <c r="L1464">
        <v>0</v>
      </c>
      <c r="M1464">
        <v>0</v>
      </c>
      <c r="N1464">
        <v>30</v>
      </c>
      <c r="O1464">
        <v>0</v>
      </c>
      <c r="P1464">
        <v>0</v>
      </c>
      <c r="Q1464">
        <v>0</v>
      </c>
      <c r="R1464">
        <v>0</v>
      </c>
      <c r="S1464">
        <v>0</v>
      </c>
      <c r="T1464">
        <v>0</v>
      </c>
      <c r="U1464">
        <v>0</v>
      </c>
      <c r="V1464">
        <v>80</v>
      </c>
      <c r="W1464">
        <v>560</v>
      </c>
      <c r="X1464">
        <v>0</v>
      </c>
      <c r="Z1464">
        <v>0</v>
      </c>
      <c r="AA1464">
        <v>0</v>
      </c>
      <c r="AB1464">
        <v>0</v>
      </c>
      <c r="AC1464">
        <v>0</v>
      </c>
      <c r="AD1464" t="s">
        <v>2987</v>
      </c>
    </row>
    <row r="1465" spans="1:30" x14ac:dyDescent="0.25">
      <c r="H1465" t="s">
        <v>2988</v>
      </c>
    </row>
    <row r="1466" spans="1:30" x14ac:dyDescent="0.25">
      <c r="A1466">
        <v>730</v>
      </c>
      <c r="B1466">
        <v>4233</v>
      </c>
      <c r="C1466" t="s">
        <v>2989</v>
      </c>
      <c r="D1466" t="s">
        <v>580</v>
      </c>
      <c r="E1466" t="s">
        <v>32</v>
      </c>
      <c r="F1466" t="s">
        <v>2990</v>
      </c>
      <c r="G1466" t="str">
        <f>"00325844"</f>
        <v>00325844</v>
      </c>
      <c r="H1466" t="s">
        <v>2991</v>
      </c>
      <c r="I1466">
        <v>0</v>
      </c>
      <c r="J1466">
        <v>0</v>
      </c>
      <c r="K1466">
        <v>0</v>
      </c>
      <c r="L1466">
        <v>0</v>
      </c>
      <c r="M1466">
        <v>0</v>
      </c>
      <c r="N1466">
        <v>0</v>
      </c>
      <c r="O1466">
        <v>0</v>
      </c>
      <c r="P1466">
        <v>0</v>
      </c>
      <c r="Q1466">
        <v>0</v>
      </c>
      <c r="R1466">
        <v>0</v>
      </c>
      <c r="S1466">
        <v>0</v>
      </c>
      <c r="T1466">
        <v>0</v>
      </c>
      <c r="U1466">
        <v>0</v>
      </c>
      <c r="V1466">
        <v>50</v>
      </c>
      <c r="W1466">
        <v>350</v>
      </c>
      <c r="X1466">
        <v>0</v>
      </c>
      <c r="Z1466">
        <v>0</v>
      </c>
      <c r="AA1466">
        <v>0</v>
      </c>
      <c r="AB1466">
        <v>6</v>
      </c>
      <c r="AC1466">
        <v>102</v>
      </c>
      <c r="AD1466" t="s">
        <v>2992</v>
      </c>
    </row>
    <row r="1467" spans="1:30" x14ac:dyDescent="0.25">
      <c r="H1467" t="s">
        <v>2993</v>
      </c>
    </row>
    <row r="1468" spans="1:30" x14ac:dyDescent="0.25">
      <c r="A1468">
        <v>731</v>
      </c>
      <c r="B1468">
        <v>610</v>
      </c>
      <c r="C1468" t="s">
        <v>2994</v>
      </c>
      <c r="D1468" t="s">
        <v>28</v>
      </c>
      <c r="E1468" t="s">
        <v>102</v>
      </c>
      <c r="F1468" t="s">
        <v>2995</v>
      </c>
      <c r="G1468" t="str">
        <f>"201406006281"</f>
        <v>201406006281</v>
      </c>
      <c r="H1468" t="s">
        <v>2996</v>
      </c>
      <c r="I1468">
        <v>0</v>
      </c>
      <c r="J1468">
        <v>0</v>
      </c>
      <c r="K1468">
        <v>0</v>
      </c>
      <c r="L1468">
        <v>200</v>
      </c>
      <c r="M1468">
        <v>0</v>
      </c>
      <c r="N1468">
        <v>70</v>
      </c>
      <c r="O1468">
        <v>0</v>
      </c>
      <c r="P1468">
        <v>0</v>
      </c>
      <c r="Q1468">
        <v>0</v>
      </c>
      <c r="R1468">
        <v>0</v>
      </c>
      <c r="S1468">
        <v>0</v>
      </c>
      <c r="T1468">
        <v>0</v>
      </c>
      <c r="U1468">
        <v>0</v>
      </c>
      <c r="V1468">
        <v>12</v>
      </c>
      <c r="W1468">
        <v>84</v>
      </c>
      <c r="X1468">
        <v>0</v>
      </c>
      <c r="Z1468">
        <v>0</v>
      </c>
      <c r="AA1468">
        <v>0</v>
      </c>
      <c r="AB1468">
        <v>0</v>
      </c>
      <c r="AC1468">
        <v>0</v>
      </c>
      <c r="AD1468" t="s">
        <v>2997</v>
      </c>
    </row>
    <row r="1469" spans="1:30" x14ac:dyDescent="0.25">
      <c r="H1469" t="s">
        <v>2998</v>
      </c>
    </row>
    <row r="1470" spans="1:30" x14ac:dyDescent="0.25">
      <c r="A1470">
        <v>732</v>
      </c>
      <c r="B1470">
        <v>1113</v>
      </c>
      <c r="C1470" t="s">
        <v>2999</v>
      </c>
      <c r="D1470" t="s">
        <v>102</v>
      </c>
      <c r="E1470" t="s">
        <v>32</v>
      </c>
      <c r="F1470" t="s">
        <v>3000</v>
      </c>
      <c r="G1470" t="str">
        <f>"00300000"</f>
        <v>00300000</v>
      </c>
      <c r="H1470">
        <v>682</v>
      </c>
      <c r="I1470">
        <v>0</v>
      </c>
      <c r="J1470">
        <v>0</v>
      </c>
      <c r="K1470">
        <v>0</v>
      </c>
      <c r="L1470">
        <v>0</v>
      </c>
      <c r="M1470">
        <v>0</v>
      </c>
      <c r="N1470">
        <v>0</v>
      </c>
      <c r="O1470">
        <v>0</v>
      </c>
      <c r="P1470">
        <v>0</v>
      </c>
      <c r="Q1470">
        <v>0</v>
      </c>
      <c r="R1470">
        <v>0</v>
      </c>
      <c r="S1470">
        <v>0</v>
      </c>
      <c r="T1470">
        <v>0</v>
      </c>
      <c r="U1470">
        <v>0</v>
      </c>
      <c r="V1470">
        <v>79</v>
      </c>
      <c r="W1470">
        <v>553</v>
      </c>
      <c r="X1470">
        <v>0</v>
      </c>
      <c r="Z1470">
        <v>0</v>
      </c>
      <c r="AA1470">
        <v>0</v>
      </c>
      <c r="AB1470">
        <v>0</v>
      </c>
      <c r="AC1470">
        <v>0</v>
      </c>
      <c r="AD1470">
        <v>1235</v>
      </c>
    </row>
    <row r="1471" spans="1:30" x14ac:dyDescent="0.25">
      <c r="H1471" t="s">
        <v>3001</v>
      </c>
    </row>
    <row r="1472" spans="1:30" x14ac:dyDescent="0.25">
      <c r="A1472">
        <v>733</v>
      </c>
      <c r="B1472">
        <v>212</v>
      </c>
      <c r="C1472" t="s">
        <v>3002</v>
      </c>
      <c r="D1472" t="s">
        <v>3003</v>
      </c>
      <c r="E1472" t="s">
        <v>32</v>
      </c>
      <c r="F1472" t="s">
        <v>3004</v>
      </c>
      <c r="G1472" t="str">
        <f>"201402011092"</f>
        <v>201402011092</v>
      </c>
      <c r="H1472">
        <v>693</v>
      </c>
      <c r="I1472">
        <v>0</v>
      </c>
      <c r="J1472">
        <v>0</v>
      </c>
      <c r="K1472">
        <v>0</v>
      </c>
      <c r="L1472">
        <v>0</v>
      </c>
      <c r="M1472">
        <v>0</v>
      </c>
      <c r="N1472">
        <v>30</v>
      </c>
      <c r="O1472">
        <v>0</v>
      </c>
      <c r="P1472">
        <v>0</v>
      </c>
      <c r="Q1472">
        <v>0</v>
      </c>
      <c r="R1472">
        <v>0</v>
      </c>
      <c r="S1472">
        <v>0</v>
      </c>
      <c r="T1472">
        <v>0</v>
      </c>
      <c r="U1472">
        <v>0</v>
      </c>
      <c r="V1472">
        <v>73</v>
      </c>
      <c r="W1472">
        <v>511</v>
      </c>
      <c r="X1472">
        <v>0</v>
      </c>
      <c r="Z1472">
        <v>0</v>
      </c>
      <c r="AA1472">
        <v>0</v>
      </c>
      <c r="AB1472">
        <v>0</v>
      </c>
      <c r="AC1472">
        <v>0</v>
      </c>
      <c r="AD1472">
        <v>1234</v>
      </c>
    </row>
    <row r="1473" spans="1:30" x14ac:dyDescent="0.25">
      <c r="H1473" t="s">
        <v>3005</v>
      </c>
    </row>
    <row r="1474" spans="1:30" x14ac:dyDescent="0.25">
      <c r="A1474">
        <v>734</v>
      </c>
      <c r="B1474">
        <v>3025</v>
      </c>
      <c r="C1474" t="s">
        <v>3006</v>
      </c>
      <c r="D1474" t="s">
        <v>2559</v>
      </c>
      <c r="E1474" t="s">
        <v>2197</v>
      </c>
      <c r="F1474" t="s">
        <v>3007</v>
      </c>
      <c r="G1474" t="str">
        <f>"201510002662"</f>
        <v>201510002662</v>
      </c>
      <c r="H1474">
        <v>616</v>
      </c>
      <c r="I1474">
        <v>0</v>
      </c>
      <c r="J1474">
        <v>0</v>
      </c>
      <c r="K1474">
        <v>0</v>
      </c>
      <c r="L1474">
        <v>0</v>
      </c>
      <c r="M1474">
        <v>0</v>
      </c>
      <c r="N1474">
        <v>30</v>
      </c>
      <c r="O1474">
        <v>0</v>
      </c>
      <c r="P1474">
        <v>0</v>
      </c>
      <c r="Q1474">
        <v>0</v>
      </c>
      <c r="R1474">
        <v>0</v>
      </c>
      <c r="S1474">
        <v>0</v>
      </c>
      <c r="T1474">
        <v>0</v>
      </c>
      <c r="U1474">
        <v>0</v>
      </c>
      <c r="V1474">
        <v>84</v>
      </c>
      <c r="W1474">
        <v>588</v>
      </c>
      <c r="X1474">
        <v>0</v>
      </c>
      <c r="Z1474">
        <v>0</v>
      </c>
      <c r="AA1474">
        <v>0</v>
      </c>
      <c r="AB1474">
        <v>0</v>
      </c>
      <c r="AC1474">
        <v>0</v>
      </c>
      <c r="AD1474">
        <v>1234</v>
      </c>
    </row>
    <row r="1475" spans="1:30" x14ac:dyDescent="0.25">
      <c r="H1475" t="s">
        <v>3008</v>
      </c>
    </row>
    <row r="1476" spans="1:30" x14ac:dyDescent="0.25">
      <c r="A1476">
        <v>735</v>
      </c>
      <c r="B1476">
        <v>2847</v>
      </c>
      <c r="C1476" t="s">
        <v>3009</v>
      </c>
      <c r="D1476" t="s">
        <v>28</v>
      </c>
      <c r="E1476" t="s">
        <v>64</v>
      </c>
      <c r="F1476" t="s">
        <v>3010</v>
      </c>
      <c r="G1476" t="str">
        <f>"201402003395"</f>
        <v>201402003395</v>
      </c>
      <c r="H1476" t="s">
        <v>311</v>
      </c>
      <c r="I1476">
        <v>0</v>
      </c>
      <c r="J1476">
        <v>0</v>
      </c>
      <c r="K1476">
        <v>0</v>
      </c>
      <c r="L1476">
        <v>0</v>
      </c>
      <c r="M1476">
        <v>0</v>
      </c>
      <c r="N1476">
        <v>30</v>
      </c>
      <c r="O1476">
        <v>0</v>
      </c>
      <c r="P1476">
        <v>0</v>
      </c>
      <c r="Q1476">
        <v>0</v>
      </c>
      <c r="R1476">
        <v>0</v>
      </c>
      <c r="S1476">
        <v>0</v>
      </c>
      <c r="T1476">
        <v>0</v>
      </c>
      <c r="U1476">
        <v>0</v>
      </c>
      <c r="V1476">
        <v>60</v>
      </c>
      <c r="W1476">
        <v>420</v>
      </c>
      <c r="X1476">
        <v>0</v>
      </c>
      <c r="Z1476">
        <v>2</v>
      </c>
      <c r="AA1476">
        <v>0</v>
      </c>
      <c r="AB1476">
        <v>0</v>
      </c>
      <c r="AC1476">
        <v>0</v>
      </c>
      <c r="AD1476" t="s">
        <v>3011</v>
      </c>
    </row>
    <row r="1477" spans="1:30" x14ac:dyDescent="0.25">
      <c r="H1477" t="s">
        <v>3012</v>
      </c>
    </row>
    <row r="1478" spans="1:30" x14ac:dyDescent="0.25">
      <c r="A1478">
        <v>736</v>
      </c>
      <c r="B1478">
        <v>1510</v>
      </c>
      <c r="C1478" t="s">
        <v>3013</v>
      </c>
      <c r="D1478" t="s">
        <v>772</v>
      </c>
      <c r="E1478" t="s">
        <v>28</v>
      </c>
      <c r="F1478" t="s">
        <v>3014</v>
      </c>
      <c r="G1478" t="str">
        <f>"201406012841"</f>
        <v>201406012841</v>
      </c>
      <c r="H1478" t="s">
        <v>2703</v>
      </c>
      <c r="I1478">
        <v>0</v>
      </c>
      <c r="J1478">
        <v>0</v>
      </c>
      <c r="K1478">
        <v>0</v>
      </c>
      <c r="L1478">
        <v>200</v>
      </c>
      <c r="M1478">
        <v>0</v>
      </c>
      <c r="N1478">
        <v>30</v>
      </c>
      <c r="O1478">
        <v>0</v>
      </c>
      <c r="P1478">
        <v>0</v>
      </c>
      <c r="Q1478">
        <v>0</v>
      </c>
      <c r="R1478">
        <v>0</v>
      </c>
      <c r="S1478">
        <v>0</v>
      </c>
      <c r="T1478">
        <v>0</v>
      </c>
      <c r="U1478">
        <v>0</v>
      </c>
      <c r="V1478">
        <v>45</v>
      </c>
      <c r="W1478">
        <v>315</v>
      </c>
      <c r="X1478">
        <v>0</v>
      </c>
      <c r="Z1478">
        <v>0</v>
      </c>
      <c r="AA1478">
        <v>0</v>
      </c>
      <c r="AB1478">
        <v>0</v>
      </c>
      <c r="AC1478">
        <v>0</v>
      </c>
      <c r="AD1478" t="s">
        <v>3015</v>
      </c>
    </row>
    <row r="1479" spans="1:30" x14ac:dyDescent="0.25">
      <c r="H1479" t="s">
        <v>3016</v>
      </c>
    </row>
    <row r="1480" spans="1:30" x14ac:dyDescent="0.25">
      <c r="A1480">
        <v>737</v>
      </c>
      <c r="B1480">
        <v>5048</v>
      </c>
      <c r="C1480" t="s">
        <v>3017</v>
      </c>
      <c r="D1480" t="s">
        <v>49</v>
      </c>
      <c r="E1480" t="s">
        <v>84</v>
      </c>
      <c r="F1480" t="s">
        <v>3018</v>
      </c>
      <c r="G1480" t="str">
        <f>"00231247"</f>
        <v>00231247</v>
      </c>
      <c r="H1480" t="s">
        <v>1208</v>
      </c>
      <c r="I1480">
        <v>0</v>
      </c>
      <c r="J1480">
        <v>0</v>
      </c>
      <c r="K1480">
        <v>0</v>
      </c>
      <c r="L1480">
        <v>0</v>
      </c>
      <c r="M1480">
        <v>0</v>
      </c>
      <c r="N1480">
        <v>30</v>
      </c>
      <c r="O1480">
        <v>0</v>
      </c>
      <c r="P1480">
        <v>0</v>
      </c>
      <c r="Q1480">
        <v>0</v>
      </c>
      <c r="R1480">
        <v>0</v>
      </c>
      <c r="S1480">
        <v>0</v>
      </c>
      <c r="T1480">
        <v>0</v>
      </c>
      <c r="U1480">
        <v>0</v>
      </c>
      <c r="V1480">
        <v>84</v>
      </c>
      <c r="W1480">
        <v>588</v>
      </c>
      <c r="X1480">
        <v>0</v>
      </c>
      <c r="Z1480">
        <v>1</v>
      </c>
      <c r="AA1480">
        <v>0</v>
      </c>
      <c r="AB1480">
        <v>0</v>
      </c>
      <c r="AC1480">
        <v>0</v>
      </c>
      <c r="AD1480" t="s">
        <v>3019</v>
      </c>
    </row>
    <row r="1481" spans="1:30" x14ac:dyDescent="0.25">
      <c r="H1481" t="s">
        <v>3020</v>
      </c>
    </row>
    <row r="1482" spans="1:30" x14ac:dyDescent="0.25">
      <c r="A1482">
        <v>738</v>
      </c>
      <c r="B1482">
        <v>5812</v>
      </c>
      <c r="C1482" t="s">
        <v>3021</v>
      </c>
      <c r="D1482" t="s">
        <v>180</v>
      </c>
      <c r="E1482" t="s">
        <v>120</v>
      </c>
      <c r="F1482" t="s">
        <v>3022</v>
      </c>
      <c r="G1482" t="str">
        <f>"200801011128"</f>
        <v>200801011128</v>
      </c>
      <c r="H1482" t="s">
        <v>3023</v>
      </c>
      <c r="I1482">
        <v>0</v>
      </c>
      <c r="J1482">
        <v>0</v>
      </c>
      <c r="K1482">
        <v>0</v>
      </c>
      <c r="L1482">
        <v>0</v>
      </c>
      <c r="M1482">
        <v>0</v>
      </c>
      <c r="N1482">
        <v>70</v>
      </c>
      <c r="O1482">
        <v>0</v>
      </c>
      <c r="P1482">
        <v>0</v>
      </c>
      <c r="Q1482">
        <v>0</v>
      </c>
      <c r="R1482">
        <v>0</v>
      </c>
      <c r="S1482">
        <v>0</v>
      </c>
      <c r="T1482">
        <v>0</v>
      </c>
      <c r="U1482">
        <v>0</v>
      </c>
      <c r="V1482">
        <v>38</v>
      </c>
      <c r="W1482">
        <v>266</v>
      </c>
      <c r="X1482">
        <v>0</v>
      </c>
      <c r="Z1482">
        <v>0</v>
      </c>
      <c r="AA1482">
        <v>0</v>
      </c>
      <c r="AB1482">
        <v>0</v>
      </c>
      <c r="AC1482">
        <v>0</v>
      </c>
      <c r="AD1482" t="s">
        <v>3024</v>
      </c>
    </row>
    <row r="1483" spans="1:30" x14ac:dyDescent="0.25">
      <c r="H1483" t="s">
        <v>3025</v>
      </c>
    </row>
    <row r="1484" spans="1:30" x14ac:dyDescent="0.25">
      <c r="A1484">
        <v>739</v>
      </c>
      <c r="B1484">
        <v>6040</v>
      </c>
      <c r="C1484" t="s">
        <v>3026</v>
      </c>
      <c r="D1484" t="s">
        <v>254</v>
      </c>
      <c r="E1484" t="s">
        <v>64</v>
      </c>
      <c r="F1484" t="s">
        <v>3027</v>
      </c>
      <c r="G1484" t="str">
        <f>"201402007128"</f>
        <v>201402007128</v>
      </c>
      <c r="H1484" t="s">
        <v>3028</v>
      </c>
      <c r="I1484">
        <v>0</v>
      </c>
      <c r="J1484">
        <v>0</v>
      </c>
      <c r="K1484">
        <v>0</v>
      </c>
      <c r="L1484">
        <v>0</v>
      </c>
      <c r="M1484">
        <v>0</v>
      </c>
      <c r="N1484">
        <v>0</v>
      </c>
      <c r="O1484">
        <v>0</v>
      </c>
      <c r="P1484">
        <v>0</v>
      </c>
      <c r="Q1484">
        <v>0</v>
      </c>
      <c r="R1484">
        <v>0</v>
      </c>
      <c r="S1484">
        <v>0</v>
      </c>
      <c r="T1484">
        <v>0</v>
      </c>
      <c r="U1484">
        <v>0</v>
      </c>
      <c r="V1484">
        <v>63</v>
      </c>
      <c r="W1484">
        <v>441</v>
      </c>
      <c r="X1484">
        <v>0</v>
      </c>
      <c r="Z1484">
        <v>0</v>
      </c>
      <c r="AA1484">
        <v>0</v>
      </c>
      <c r="AB1484">
        <v>0</v>
      </c>
      <c r="AC1484">
        <v>0</v>
      </c>
      <c r="AD1484" t="s">
        <v>3029</v>
      </c>
    </row>
    <row r="1485" spans="1:30" x14ac:dyDescent="0.25">
      <c r="H1485" t="s">
        <v>483</v>
      </c>
    </row>
    <row r="1486" spans="1:30" x14ac:dyDescent="0.25">
      <c r="A1486">
        <v>740</v>
      </c>
      <c r="B1486">
        <v>4907</v>
      </c>
      <c r="C1486" t="s">
        <v>3030</v>
      </c>
      <c r="D1486" t="s">
        <v>1237</v>
      </c>
      <c r="E1486" t="s">
        <v>32</v>
      </c>
      <c r="F1486" t="s">
        <v>3031</v>
      </c>
      <c r="G1486" t="str">
        <f>"201405000632"</f>
        <v>201405000632</v>
      </c>
      <c r="H1486" t="s">
        <v>3032</v>
      </c>
      <c r="I1486">
        <v>150</v>
      </c>
      <c r="J1486">
        <v>0</v>
      </c>
      <c r="K1486">
        <v>0</v>
      </c>
      <c r="L1486">
        <v>0</v>
      </c>
      <c r="M1486">
        <v>0</v>
      </c>
      <c r="N1486">
        <v>70</v>
      </c>
      <c r="O1486">
        <v>0</v>
      </c>
      <c r="P1486">
        <v>0</v>
      </c>
      <c r="Q1486">
        <v>30</v>
      </c>
      <c r="R1486">
        <v>0</v>
      </c>
      <c r="S1486">
        <v>0</v>
      </c>
      <c r="T1486">
        <v>0</v>
      </c>
      <c r="U1486">
        <v>0</v>
      </c>
      <c r="V1486">
        <v>4</v>
      </c>
      <c r="W1486">
        <v>28</v>
      </c>
      <c r="X1486">
        <v>0</v>
      </c>
      <c r="Z1486">
        <v>0</v>
      </c>
      <c r="AA1486">
        <v>0</v>
      </c>
      <c r="AB1486">
        <v>0</v>
      </c>
      <c r="AC1486">
        <v>0</v>
      </c>
      <c r="AD1486" t="s">
        <v>3033</v>
      </c>
    </row>
    <row r="1487" spans="1:30" x14ac:dyDescent="0.25">
      <c r="H1487" t="s">
        <v>3034</v>
      </c>
    </row>
    <row r="1488" spans="1:30" x14ac:dyDescent="0.25">
      <c r="A1488">
        <v>741</v>
      </c>
      <c r="B1488">
        <v>2519</v>
      </c>
      <c r="C1488" t="s">
        <v>3035</v>
      </c>
      <c r="D1488" t="s">
        <v>1016</v>
      </c>
      <c r="E1488" t="s">
        <v>167</v>
      </c>
      <c r="F1488" t="s">
        <v>3036</v>
      </c>
      <c r="G1488" t="str">
        <f>"201401000549"</f>
        <v>201401000549</v>
      </c>
      <c r="H1488">
        <v>726</v>
      </c>
      <c r="I1488">
        <v>0</v>
      </c>
      <c r="J1488">
        <v>0</v>
      </c>
      <c r="K1488">
        <v>0</v>
      </c>
      <c r="L1488">
        <v>200</v>
      </c>
      <c r="M1488">
        <v>0</v>
      </c>
      <c r="N1488">
        <v>30</v>
      </c>
      <c r="O1488">
        <v>0</v>
      </c>
      <c r="P1488">
        <v>0</v>
      </c>
      <c r="Q1488">
        <v>0</v>
      </c>
      <c r="R1488">
        <v>0</v>
      </c>
      <c r="S1488">
        <v>0</v>
      </c>
      <c r="T1488">
        <v>0</v>
      </c>
      <c r="U1488">
        <v>0</v>
      </c>
      <c r="V1488">
        <v>39</v>
      </c>
      <c r="W1488">
        <v>273</v>
      </c>
      <c r="X1488">
        <v>0</v>
      </c>
      <c r="Z1488">
        <v>0</v>
      </c>
      <c r="AA1488">
        <v>0</v>
      </c>
      <c r="AB1488">
        <v>0</v>
      </c>
      <c r="AC1488">
        <v>0</v>
      </c>
      <c r="AD1488">
        <v>1229</v>
      </c>
    </row>
    <row r="1489" spans="1:30" x14ac:dyDescent="0.25">
      <c r="H1489" t="s">
        <v>3037</v>
      </c>
    </row>
    <row r="1490" spans="1:30" x14ac:dyDescent="0.25">
      <c r="A1490">
        <v>742</v>
      </c>
      <c r="B1490">
        <v>5444</v>
      </c>
      <c r="C1490" t="s">
        <v>3038</v>
      </c>
      <c r="D1490" t="s">
        <v>3039</v>
      </c>
      <c r="E1490" t="s">
        <v>102</v>
      </c>
      <c r="F1490" t="s">
        <v>3040</v>
      </c>
      <c r="G1490" t="str">
        <f>"00191284"</f>
        <v>00191284</v>
      </c>
      <c r="H1490" t="s">
        <v>872</v>
      </c>
      <c r="I1490">
        <v>0</v>
      </c>
      <c r="J1490">
        <v>0</v>
      </c>
      <c r="K1490">
        <v>0</v>
      </c>
      <c r="L1490">
        <v>0</v>
      </c>
      <c r="M1490">
        <v>0</v>
      </c>
      <c r="N1490">
        <v>30</v>
      </c>
      <c r="O1490">
        <v>0</v>
      </c>
      <c r="P1490">
        <v>0</v>
      </c>
      <c r="Q1490">
        <v>0</v>
      </c>
      <c r="R1490">
        <v>0</v>
      </c>
      <c r="S1490">
        <v>0</v>
      </c>
      <c r="T1490">
        <v>0</v>
      </c>
      <c r="U1490">
        <v>0</v>
      </c>
      <c r="V1490">
        <v>71</v>
      </c>
      <c r="W1490">
        <v>497</v>
      </c>
      <c r="X1490">
        <v>0</v>
      </c>
      <c r="Z1490">
        <v>0</v>
      </c>
      <c r="AA1490">
        <v>0</v>
      </c>
      <c r="AB1490">
        <v>0</v>
      </c>
      <c r="AC1490">
        <v>0</v>
      </c>
      <c r="AD1490" t="s">
        <v>3041</v>
      </c>
    </row>
    <row r="1491" spans="1:30" x14ac:dyDescent="0.25">
      <c r="H1491" t="s">
        <v>3042</v>
      </c>
    </row>
    <row r="1492" spans="1:30" x14ac:dyDescent="0.25">
      <c r="A1492">
        <v>743</v>
      </c>
      <c r="B1492">
        <v>1582</v>
      </c>
      <c r="C1492" t="s">
        <v>3043</v>
      </c>
      <c r="D1492" t="s">
        <v>1237</v>
      </c>
      <c r="E1492" t="s">
        <v>1459</v>
      </c>
      <c r="F1492" t="s">
        <v>3044</v>
      </c>
      <c r="G1492" t="str">
        <f>"201405002089"</f>
        <v>201405002089</v>
      </c>
      <c r="H1492" t="s">
        <v>511</v>
      </c>
      <c r="I1492">
        <v>0</v>
      </c>
      <c r="J1492">
        <v>0</v>
      </c>
      <c r="K1492">
        <v>0</v>
      </c>
      <c r="L1492">
        <v>200</v>
      </c>
      <c r="M1492">
        <v>0</v>
      </c>
      <c r="N1492">
        <v>50</v>
      </c>
      <c r="O1492">
        <v>0</v>
      </c>
      <c r="P1492">
        <v>0</v>
      </c>
      <c r="Q1492">
        <v>0</v>
      </c>
      <c r="R1492">
        <v>0</v>
      </c>
      <c r="S1492">
        <v>0</v>
      </c>
      <c r="T1492">
        <v>0</v>
      </c>
      <c r="U1492">
        <v>0</v>
      </c>
      <c r="V1492">
        <v>39</v>
      </c>
      <c r="W1492">
        <v>273</v>
      </c>
      <c r="X1492">
        <v>0</v>
      </c>
      <c r="Z1492">
        <v>0</v>
      </c>
      <c r="AA1492">
        <v>0</v>
      </c>
      <c r="AB1492">
        <v>0</v>
      </c>
      <c r="AC1492">
        <v>0</v>
      </c>
      <c r="AD1492" t="s">
        <v>3045</v>
      </c>
    </row>
    <row r="1493" spans="1:30" x14ac:dyDescent="0.25">
      <c r="H1493" t="s">
        <v>3046</v>
      </c>
    </row>
    <row r="1494" spans="1:30" x14ac:dyDescent="0.25">
      <c r="A1494">
        <v>744</v>
      </c>
      <c r="B1494">
        <v>4904</v>
      </c>
      <c r="C1494" t="s">
        <v>3047</v>
      </c>
      <c r="D1494" t="s">
        <v>44</v>
      </c>
      <c r="E1494" t="s">
        <v>2455</v>
      </c>
      <c r="F1494" t="s">
        <v>3048</v>
      </c>
      <c r="G1494" t="str">
        <f>"00203076"</f>
        <v>00203076</v>
      </c>
      <c r="H1494">
        <v>682</v>
      </c>
      <c r="I1494">
        <v>0</v>
      </c>
      <c r="J1494">
        <v>0</v>
      </c>
      <c r="K1494">
        <v>0</v>
      </c>
      <c r="L1494">
        <v>0</v>
      </c>
      <c r="M1494">
        <v>0</v>
      </c>
      <c r="N1494">
        <v>0</v>
      </c>
      <c r="O1494">
        <v>0</v>
      </c>
      <c r="P1494">
        <v>0</v>
      </c>
      <c r="Q1494">
        <v>0</v>
      </c>
      <c r="R1494">
        <v>0</v>
      </c>
      <c r="S1494">
        <v>0</v>
      </c>
      <c r="T1494">
        <v>0</v>
      </c>
      <c r="U1494">
        <v>0</v>
      </c>
      <c r="V1494">
        <v>78</v>
      </c>
      <c r="W1494">
        <v>546</v>
      </c>
      <c r="X1494">
        <v>0</v>
      </c>
      <c r="Z1494">
        <v>0</v>
      </c>
      <c r="AA1494">
        <v>0</v>
      </c>
      <c r="AB1494">
        <v>0</v>
      </c>
      <c r="AC1494">
        <v>0</v>
      </c>
      <c r="AD1494">
        <v>1228</v>
      </c>
    </row>
    <row r="1495" spans="1:30" x14ac:dyDescent="0.25">
      <c r="H1495" t="s">
        <v>3049</v>
      </c>
    </row>
    <row r="1496" spans="1:30" x14ac:dyDescent="0.25">
      <c r="A1496">
        <v>745</v>
      </c>
      <c r="B1496">
        <v>5849</v>
      </c>
      <c r="C1496" t="s">
        <v>1334</v>
      </c>
      <c r="D1496" t="s">
        <v>45</v>
      </c>
      <c r="E1496" t="s">
        <v>102</v>
      </c>
      <c r="F1496" t="s">
        <v>3050</v>
      </c>
      <c r="G1496" t="str">
        <f>"201403000105"</f>
        <v>201403000105</v>
      </c>
      <c r="H1496" t="s">
        <v>3051</v>
      </c>
      <c r="I1496">
        <v>0</v>
      </c>
      <c r="J1496">
        <v>0</v>
      </c>
      <c r="K1496">
        <v>0</v>
      </c>
      <c r="L1496">
        <v>200</v>
      </c>
      <c r="M1496">
        <v>0</v>
      </c>
      <c r="N1496">
        <v>50</v>
      </c>
      <c r="O1496">
        <v>0</v>
      </c>
      <c r="P1496">
        <v>0</v>
      </c>
      <c r="Q1496">
        <v>0</v>
      </c>
      <c r="R1496">
        <v>0</v>
      </c>
      <c r="S1496">
        <v>0</v>
      </c>
      <c r="T1496">
        <v>0</v>
      </c>
      <c r="U1496">
        <v>0</v>
      </c>
      <c r="V1496">
        <v>30</v>
      </c>
      <c r="W1496">
        <v>210</v>
      </c>
      <c r="X1496">
        <v>0</v>
      </c>
      <c r="Z1496">
        <v>1</v>
      </c>
      <c r="AA1496">
        <v>0</v>
      </c>
      <c r="AB1496">
        <v>0</v>
      </c>
      <c r="AC1496">
        <v>0</v>
      </c>
      <c r="AD1496" t="s">
        <v>3052</v>
      </c>
    </row>
    <row r="1497" spans="1:30" x14ac:dyDescent="0.25">
      <c r="H1497" t="s">
        <v>3053</v>
      </c>
    </row>
    <row r="1498" spans="1:30" x14ac:dyDescent="0.25">
      <c r="A1498">
        <v>746</v>
      </c>
      <c r="B1498">
        <v>535</v>
      </c>
      <c r="C1498" t="s">
        <v>3054</v>
      </c>
      <c r="D1498" t="s">
        <v>106</v>
      </c>
      <c r="E1498" t="s">
        <v>102</v>
      </c>
      <c r="F1498" t="s">
        <v>3055</v>
      </c>
      <c r="G1498" t="str">
        <f>"00149192"</f>
        <v>00149192</v>
      </c>
      <c r="H1498" t="s">
        <v>3056</v>
      </c>
      <c r="I1498">
        <v>0</v>
      </c>
      <c r="J1498">
        <v>0</v>
      </c>
      <c r="K1498">
        <v>0</v>
      </c>
      <c r="L1498">
        <v>0</v>
      </c>
      <c r="M1498">
        <v>0</v>
      </c>
      <c r="N1498">
        <v>0</v>
      </c>
      <c r="O1498">
        <v>0</v>
      </c>
      <c r="P1498">
        <v>0</v>
      </c>
      <c r="Q1498">
        <v>0</v>
      </c>
      <c r="R1498">
        <v>0</v>
      </c>
      <c r="S1498">
        <v>0</v>
      </c>
      <c r="T1498">
        <v>0</v>
      </c>
      <c r="U1498">
        <v>0</v>
      </c>
      <c r="V1498">
        <v>31</v>
      </c>
      <c r="W1498">
        <v>217</v>
      </c>
      <c r="X1498">
        <v>0</v>
      </c>
      <c r="Z1498">
        <v>3</v>
      </c>
      <c r="AA1498">
        <v>0</v>
      </c>
      <c r="AB1498">
        <v>24</v>
      </c>
      <c r="AC1498">
        <v>408</v>
      </c>
      <c r="AD1498" t="s">
        <v>3057</v>
      </c>
    </row>
    <row r="1499" spans="1:30" x14ac:dyDescent="0.25">
      <c r="H1499" t="s">
        <v>3058</v>
      </c>
    </row>
    <row r="1500" spans="1:30" x14ac:dyDescent="0.25">
      <c r="A1500">
        <v>747</v>
      </c>
      <c r="B1500">
        <v>6220</v>
      </c>
      <c r="C1500" t="s">
        <v>3059</v>
      </c>
      <c r="D1500" t="s">
        <v>615</v>
      </c>
      <c r="E1500" t="s">
        <v>107</v>
      </c>
      <c r="F1500" t="s">
        <v>3060</v>
      </c>
      <c r="G1500" t="str">
        <f>"00200485"</f>
        <v>00200485</v>
      </c>
      <c r="H1500" t="s">
        <v>339</v>
      </c>
      <c r="I1500">
        <v>0</v>
      </c>
      <c r="J1500">
        <v>0</v>
      </c>
      <c r="K1500">
        <v>0</v>
      </c>
      <c r="L1500">
        <v>0</v>
      </c>
      <c r="M1500">
        <v>0</v>
      </c>
      <c r="N1500">
        <v>0</v>
      </c>
      <c r="O1500">
        <v>30</v>
      </c>
      <c r="P1500">
        <v>0</v>
      </c>
      <c r="Q1500">
        <v>0</v>
      </c>
      <c r="R1500">
        <v>0</v>
      </c>
      <c r="S1500">
        <v>0</v>
      </c>
      <c r="T1500">
        <v>0</v>
      </c>
      <c r="U1500">
        <v>0</v>
      </c>
      <c r="V1500">
        <v>63</v>
      </c>
      <c r="W1500">
        <v>441</v>
      </c>
      <c r="X1500">
        <v>0</v>
      </c>
      <c r="Z1500">
        <v>0</v>
      </c>
      <c r="AA1500">
        <v>0</v>
      </c>
      <c r="AB1500">
        <v>0</v>
      </c>
      <c r="AC1500">
        <v>0</v>
      </c>
      <c r="AD1500" t="s">
        <v>3061</v>
      </c>
    </row>
    <row r="1501" spans="1:30" x14ac:dyDescent="0.25">
      <c r="H1501" t="s">
        <v>3062</v>
      </c>
    </row>
    <row r="1502" spans="1:30" x14ac:dyDescent="0.25">
      <c r="A1502">
        <v>748</v>
      </c>
      <c r="B1502">
        <v>5565</v>
      </c>
      <c r="C1502" t="s">
        <v>3063</v>
      </c>
      <c r="D1502" t="s">
        <v>3064</v>
      </c>
      <c r="E1502" t="s">
        <v>254</v>
      </c>
      <c r="F1502" t="s">
        <v>3065</v>
      </c>
      <c r="G1502" t="str">
        <f>"200802008750"</f>
        <v>200802008750</v>
      </c>
      <c r="H1502">
        <v>693</v>
      </c>
      <c r="I1502">
        <v>0</v>
      </c>
      <c r="J1502">
        <v>0</v>
      </c>
      <c r="K1502">
        <v>0</v>
      </c>
      <c r="L1502">
        <v>0</v>
      </c>
      <c r="M1502">
        <v>0</v>
      </c>
      <c r="N1502">
        <v>0</v>
      </c>
      <c r="O1502">
        <v>0</v>
      </c>
      <c r="P1502">
        <v>0</v>
      </c>
      <c r="Q1502">
        <v>0</v>
      </c>
      <c r="R1502">
        <v>0</v>
      </c>
      <c r="S1502">
        <v>0</v>
      </c>
      <c r="T1502">
        <v>0</v>
      </c>
      <c r="U1502">
        <v>0</v>
      </c>
      <c r="V1502">
        <v>76</v>
      </c>
      <c r="W1502">
        <v>532</v>
      </c>
      <c r="X1502">
        <v>0</v>
      </c>
      <c r="Z1502">
        <v>0</v>
      </c>
      <c r="AA1502">
        <v>0</v>
      </c>
      <c r="AB1502">
        <v>0</v>
      </c>
      <c r="AC1502">
        <v>0</v>
      </c>
      <c r="AD1502">
        <v>1225</v>
      </c>
    </row>
    <row r="1503" spans="1:30" x14ac:dyDescent="0.25">
      <c r="H1503" t="s">
        <v>3066</v>
      </c>
    </row>
    <row r="1504" spans="1:30" x14ac:dyDescent="0.25">
      <c r="A1504">
        <v>749</v>
      </c>
      <c r="B1504">
        <v>519</v>
      </c>
      <c r="C1504" t="s">
        <v>1904</v>
      </c>
      <c r="D1504" t="s">
        <v>453</v>
      </c>
      <c r="E1504" t="s">
        <v>167</v>
      </c>
      <c r="F1504" t="s">
        <v>3067</v>
      </c>
      <c r="G1504" t="str">
        <f>"00258203"</f>
        <v>00258203</v>
      </c>
      <c r="H1504" t="s">
        <v>1554</v>
      </c>
      <c r="I1504">
        <v>0</v>
      </c>
      <c r="J1504">
        <v>0</v>
      </c>
      <c r="K1504">
        <v>0</v>
      </c>
      <c r="L1504">
        <v>0</v>
      </c>
      <c r="M1504">
        <v>0</v>
      </c>
      <c r="N1504">
        <v>30</v>
      </c>
      <c r="O1504">
        <v>0</v>
      </c>
      <c r="P1504">
        <v>0</v>
      </c>
      <c r="Q1504">
        <v>0</v>
      </c>
      <c r="R1504">
        <v>0</v>
      </c>
      <c r="S1504">
        <v>0</v>
      </c>
      <c r="T1504">
        <v>0</v>
      </c>
      <c r="U1504">
        <v>0</v>
      </c>
      <c r="V1504">
        <v>58</v>
      </c>
      <c r="W1504">
        <v>406</v>
      </c>
      <c r="X1504">
        <v>0</v>
      </c>
      <c r="Z1504">
        <v>0</v>
      </c>
      <c r="AA1504">
        <v>0</v>
      </c>
      <c r="AB1504">
        <v>0</v>
      </c>
      <c r="AC1504">
        <v>0</v>
      </c>
      <c r="AD1504" t="s">
        <v>3068</v>
      </c>
    </row>
    <row r="1505" spans="1:30" x14ac:dyDescent="0.25">
      <c r="H1505" t="s">
        <v>3069</v>
      </c>
    </row>
    <row r="1506" spans="1:30" x14ac:dyDescent="0.25">
      <c r="A1506">
        <v>750</v>
      </c>
      <c r="B1506">
        <v>1251</v>
      </c>
      <c r="C1506" t="s">
        <v>3070</v>
      </c>
      <c r="D1506" t="s">
        <v>191</v>
      </c>
      <c r="E1506" t="s">
        <v>49</v>
      </c>
      <c r="F1506" t="s">
        <v>3071</v>
      </c>
      <c r="G1506" t="str">
        <f>"00272356"</f>
        <v>00272356</v>
      </c>
      <c r="H1506" t="s">
        <v>1465</v>
      </c>
      <c r="I1506">
        <v>0</v>
      </c>
      <c r="J1506">
        <v>0</v>
      </c>
      <c r="K1506">
        <v>0</v>
      </c>
      <c r="L1506">
        <v>0</v>
      </c>
      <c r="M1506">
        <v>0</v>
      </c>
      <c r="N1506">
        <v>30</v>
      </c>
      <c r="O1506">
        <v>0</v>
      </c>
      <c r="P1506">
        <v>0</v>
      </c>
      <c r="Q1506">
        <v>0</v>
      </c>
      <c r="R1506">
        <v>0</v>
      </c>
      <c r="S1506">
        <v>0</v>
      </c>
      <c r="T1506">
        <v>0</v>
      </c>
      <c r="U1506">
        <v>0</v>
      </c>
      <c r="V1506">
        <v>66</v>
      </c>
      <c r="W1506">
        <v>462</v>
      </c>
      <c r="X1506">
        <v>0</v>
      </c>
      <c r="Z1506">
        <v>0</v>
      </c>
      <c r="AA1506">
        <v>0</v>
      </c>
      <c r="AB1506">
        <v>0</v>
      </c>
      <c r="AC1506">
        <v>0</v>
      </c>
      <c r="AD1506" t="s">
        <v>3072</v>
      </c>
    </row>
    <row r="1507" spans="1:30" x14ac:dyDescent="0.25">
      <c r="H1507" t="s">
        <v>3073</v>
      </c>
    </row>
    <row r="1508" spans="1:30" x14ac:dyDescent="0.25">
      <c r="A1508">
        <v>751</v>
      </c>
      <c r="B1508">
        <v>4945</v>
      </c>
      <c r="C1508" t="s">
        <v>3074</v>
      </c>
      <c r="D1508" t="s">
        <v>3075</v>
      </c>
      <c r="E1508" t="s">
        <v>834</v>
      </c>
      <c r="F1508" t="s">
        <v>3076</v>
      </c>
      <c r="G1508" t="str">
        <f>"201511039232"</f>
        <v>201511039232</v>
      </c>
      <c r="H1508" t="s">
        <v>562</v>
      </c>
      <c r="I1508">
        <v>0</v>
      </c>
      <c r="J1508">
        <v>0</v>
      </c>
      <c r="K1508">
        <v>0</v>
      </c>
      <c r="L1508">
        <v>0</v>
      </c>
      <c r="M1508">
        <v>0</v>
      </c>
      <c r="N1508">
        <v>30</v>
      </c>
      <c r="O1508">
        <v>0</v>
      </c>
      <c r="P1508">
        <v>0</v>
      </c>
      <c r="Q1508">
        <v>0</v>
      </c>
      <c r="R1508">
        <v>0</v>
      </c>
      <c r="S1508">
        <v>0</v>
      </c>
      <c r="T1508">
        <v>0</v>
      </c>
      <c r="U1508">
        <v>0</v>
      </c>
      <c r="V1508">
        <v>9</v>
      </c>
      <c r="W1508">
        <v>63</v>
      </c>
      <c r="X1508">
        <v>0</v>
      </c>
      <c r="Z1508">
        <v>0</v>
      </c>
      <c r="AA1508">
        <v>0</v>
      </c>
      <c r="AB1508">
        <v>23</v>
      </c>
      <c r="AC1508">
        <v>391</v>
      </c>
      <c r="AD1508" t="s">
        <v>3077</v>
      </c>
    </row>
    <row r="1509" spans="1:30" x14ac:dyDescent="0.25">
      <c r="H1509" t="s">
        <v>3078</v>
      </c>
    </row>
    <row r="1510" spans="1:30" x14ac:dyDescent="0.25">
      <c r="A1510">
        <v>752</v>
      </c>
      <c r="B1510">
        <v>28</v>
      </c>
      <c r="C1510" t="s">
        <v>3079</v>
      </c>
      <c r="D1510" t="s">
        <v>56</v>
      </c>
      <c r="E1510" t="s">
        <v>325</v>
      </c>
      <c r="F1510" t="s">
        <v>3080</v>
      </c>
      <c r="G1510" t="str">
        <f>"200807000289"</f>
        <v>200807000289</v>
      </c>
      <c r="H1510">
        <v>704</v>
      </c>
      <c r="I1510">
        <v>0</v>
      </c>
      <c r="J1510">
        <v>0</v>
      </c>
      <c r="K1510">
        <v>0</v>
      </c>
      <c r="L1510">
        <v>0</v>
      </c>
      <c r="M1510">
        <v>0</v>
      </c>
      <c r="N1510">
        <v>0</v>
      </c>
      <c r="O1510">
        <v>0</v>
      </c>
      <c r="P1510">
        <v>0</v>
      </c>
      <c r="Q1510">
        <v>0</v>
      </c>
      <c r="R1510">
        <v>0</v>
      </c>
      <c r="S1510">
        <v>0</v>
      </c>
      <c r="T1510">
        <v>0</v>
      </c>
      <c r="U1510">
        <v>0</v>
      </c>
      <c r="V1510">
        <v>74</v>
      </c>
      <c r="W1510">
        <v>518</v>
      </c>
      <c r="X1510">
        <v>0</v>
      </c>
      <c r="Z1510">
        <v>0</v>
      </c>
      <c r="AA1510">
        <v>0</v>
      </c>
      <c r="AB1510">
        <v>0</v>
      </c>
      <c r="AC1510">
        <v>0</v>
      </c>
      <c r="AD1510">
        <v>1222</v>
      </c>
    </row>
    <row r="1511" spans="1:30" x14ac:dyDescent="0.25">
      <c r="H1511" t="s">
        <v>3081</v>
      </c>
    </row>
    <row r="1512" spans="1:30" x14ac:dyDescent="0.25">
      <c r="A1512">
        <v>753</v>
      </c>
      <c r="B1512">
        <v>1178</v>
      </c>
      <c r="C1512" t="s">
        <v>3082</v>
      </c>
      <c r="D1512" t="s">
        <v>937</v>
      </c>
      <c r="E1512" t="s">
        <v>743</v>
      </c>
      <c r="F1512" t="s">
        <v>3083</v>
      </c>
      <c r="G1512" t="str">
        <f>"201411001165"</f>
        <v>201411001165</v>
      </c>
      <c r="H1512" t="s">
        <v>349</v>
      </c>
      <c r="I1512">
        <v>0</v>
      </c>
      <c r="J1512">
        <v>0</v>
      </c>
      <c r="K1512">
        <v>0</v>
      </c>
      <c r="L1512">
        <v>0</v>
      </c>
      <c r="M1512">
        <v>0</v>
      </c>
      <c r="N1512">
        <v>30</v>
      </c>
      <c r="O1512">
        <v>0</v>
      </c>
      <c r="P1512">
        <v>0</v>
      </c>
      <c r="Q1512">
        <v>0</v>
      </c>
      <c r="R1512">
        <v>0</v>
      </c>
      <c r="S1512">
        <v>0</v>
      </c>
      <c r="T1512">
        <v>0</v>
      </c>
      <c r="U1512">
        <v>0</v>
      </c>
      <c r="V1512">
        <v>61</v>
      </c>
      <c r="W1512">
        <v>427</v>
      </c>
      <c r="X1512">
        <v>0</v>
      </c>
      <c r="Z1512">
        <v>0</v>
      </c>
      <c r="AA1512">
        <v>0</v>
      </c>
      <c r="AB1512">
        <v>0</v>
      </c>
      <c r="AC1512">
        <v>0</v>
      </c>
      <c r="AD1512" t="s">
        <v>3084</v>
      </c>
    </row>
    <row r="1513" spans="1:30" x14ac:dyDescent="0.25">
      <c r="H1513" t="s">
        <v>3085</v>
      </c>
    </row>
    <row r="1514" spans="1:30" x14ac:dyDescent="0.25">
      <c r="A1514">
        <v>754</v>
      </c>
      <c r="B1514">
        <v>4866</v>
      </c>
      <c r="C1514" t="s">
        <v>3086</v>
      </c>
      <c r="D1514" t="s">
        <v>3087</v>
      </c>
      <c r="E1514" t="s">
        <v>50</v>
      </c>
      <c r="F1514" t="s">
        <v>3088</v>
      </c>
      <c r="G1514" t="str">
        <f>"00167808"</f>
        <v>00167808</v>
      </c>
      <c r="H1514" t="s">
        <v>1113</v>
      </c>
      <c r="I1514">
        <v>0</v>
      </c>
      <c r="J1514">
        <v>0</v>
      </c>
      <c r="K1514">
        <v>0</v>
      </c>
      <c r="L1514">
        <v>0</v>
      </c>
      <c r="M1514">
        <v>0</v>
      </c>
      <c r="N1514">
        <v>30</v>
      </c>
      <c r="O1514">
        <v>0</v>
      </c>
      <c r="P1514">
        <v>0</v>
      </c>
      <c r="Q1514">
        <v>0</v>
      </c>
      <c r="R1514">
        <v>0</v>
      </c>
      <c r="S1514">
        <v>0</v>
      </c>
      <c r="T1514">
        <v>0</v>
      </c>
      <c r="U1514">
        <v>0</v>
      </c>
      <c r="V1514">
        <v>52</v>
      </c>
      <c r="W1514">
        <v>364</v>
      </c>
      <c r="X1514">
        <v>0</v>
      </c>
      <c r="Z1514">
        <v>0</v>
      </c>
      <c r="AA1514">
        <v>0</v>
      </c>
      <c r="AB1514">
        <v>0</v>
      </c>
      <c r="AC1514">
        <v>0</v>
      </c>
      <c r="AD1514" t="s">
        <v>3089</v>
      </c>
    </row>
    <row r="1515" spans="1:30" x14ac:dyDescent="0.25">
      <c r="H1515" t="s">
        <v>3090</v>
      </c>
    </row>
    <row r="1516" spans="1:30" x14ac:dyDescent="0.25">
      <c r="A1516">
        <v>755</v>
      </c>
      <c r="B1516">
        <v>2260</v>
      </c>
      <c r="C1516" t="s">
        <v>3091</v>
      </c>
      <c r="D1516" t="s">
        <v>155</v>
      </c>
      <c r="E1516" t="s">
        <v>28</v>
      </c>
      <c r="F1516" t="s">
        <v>3092</v>
      </c>
      <c r="G1516" t="str">
        <f>"201402003066"</f>
        <v>201402003066</v>
      </c>
      <c r="H1516" t="s">
        <v>3093</v>
      </c>
      <c r="I1516">
        <v>0</v>
      </c>
      <c r="J1516">
        <v>0</v>
      </c>
      <c r="K1516">
        <v>0</v>
      </c>
      <c r="L1516">
        <v>0</v>
      </c>
      <c r="M1516">
        <v>0</v>
      </c>
      <c r="N1516">
        <v>70</v>
      </c>
      <c r="O1516">
        <v>70</v>
      </c>
      <c r="P1516">
        <v>0</v>
      </c>
      <c r="Q1516">
        <v>0</v>
      </c>
      <c r="R1516">
        <v>0</v>
      </c>
      <c r="S1516">
        <v>0</v>
      </c>
      <c r="T1516">
        <v>0</v>
      </c>
      <c r="U1516">
        <v>0</v>
      </c>
      <c r="V1516">
        <v>40</v>
      </c>
      <c r="W1516">
        <v>280</v>
      </c>
      <c r="X1516">
        <v>0</v>
      </c>
      <c r="Z1516">
        <v>0</v>
      </c>
      <c r="AA1516">
        <v>0</v>
      </c>
      <c r="AB1516">
        <v>0</v>
      </c>
      <c r="AC1516">
        <v>0</v>
      </c>
      <c r="AD1516" t="s">
        <v>3094</v>
      </c>
    </row>
    <row r="1517" spans="1:30" x14ac:dyDescent="0.25">
      <c r="H1517" t="s">
        <v>3095</v>
      </c>
    </row>
    <row r="1518" spans="1:30" x14ac:dyDescent="0.25">
      <c r="A1518">
        <v>756</v>
      </c>
      <c r="B1518">
        <v>5598</v>
      </c>
      <c r="C1518" t="s">
        <v>3096</v>
      </c>
      <c r="D1518" t="s">
        <v>255</v>
      </c>
      <c r="E1518" t="s">
        <v>2455</v>
      </c>
      <c r="F1518" t="s">
        <v>3097</v>
      </c>
      <c r="G1518" t="str">
        <f>"201303000203"</f>
        <v>201303000203</v>
      </c>
      <c r="H1518" t="s">
        <v>3093</v>
      </c>
      <c r="I1518">
        <v>0</v>
      </c>
      <c r="J1518">
        <v>0</v>
      </c>
      <c r="K1518">
        <v>0</v>
      </c>
      <c r="L1518">
        <v>0</v>
      </c>
      <c r="M1518">
        <v>0</v>
      </c>
      <c r="N1518">
        <v>30</v>
      </c>
      <c r="O1518">
        <v>0</v>
      </c>
      <c r="P1518">
        <v>0</v>
      </c>
      <c r="Q1518">
        <v>0</v>
      </c>
      <c r="R1518">
        <v>0</v>
      </c>
      <c r="S1518">
        <v>0</v>
      </c>
      <c r="T1518">
        <v>0</v>
      </c>
      <c r="U1518">
        <v>0</v>
      </c>
      <c r="V1518">
        <v>55</v>
      </c>
      <c r="W1518">
        <v>385</v>
      </c>
      <c r="X1518">
        <v>0</v>
      </c>
      <c r="Z1518">
        <v>0</v>
      </c>
      <c r="AA1518">
        <v>0</v>
      </c>
      <c r="AB1518">
        <v>0</v>
      </c>
      <c r="AC1518">
        <v>0</v>
      </c>
      <c r="AD1518" t="s">
        <v>3098</v>
      </c>
    </row>
    <row r="1519" spans="1:30" x14ac:dyDescent="0.25">
      <c r="H1519" t="s">
        <v>3099</v>
      </c>
    </row>
    <row r="1520" spans="1:30" x14ac:dyDescent="0.25">
      <c r="A1520">
        <v>757</v>
      </c>
      <c r="B1520">
        <v>4581</v>
      </c>
      <c r="C1520" t="s">
        <v>3100</v>
      </c>
      <c r="D1520" t="s">
        <v>3101</v>
      </c>
      <c r="E1520" t="s">
        <v>3102</v>
      </c>
      <c r="F1520" t="s">
        <v>3103</v>
      </c>
      <c r="G1520" t="str">
        <f>"201511024575"</f>
        <v>201511024575</v>
      </c>
      <c r="H1520" t="s">
        <v>500</v>
      </c>
      <c r="I1520">
        <v>0</v>
      </c>
      <c r="J1520">
        <v>0</v>
      </c>
      <c r="K1520">
        <v>0</v>
      </c>
      <c r="L1520">
        <v>0</v>
      </c>
      <c r="M1520">
        <v>0</v>
      </c>
      <c r="N1520">
        <v>0</v>
      </c>
      <c r="O1520">
        <v>0</v>
      </c>
      <c r="P1520">
        <v>0</v>
      </c>
      <c r="Q1520">
        <v>70</v>
      </c>
      <c r="R1520">
        <v>0</v>
      </c>
      <c r="S1520">
        <v>0</v>
      </c>
      <c r="T1520">
        <v>0</v>
      </c>
      <c r="U1520">
        <v>0</v>
      </c>
      <c r="V1520">
        <v>32</v>
      </c>
      <c r="W1520">
        <v>224</v>
      </c>
      <c r="X1520">
        <v>0</v>
      </c>
      <c r="Z1520">
        <v>1</v>
      </c>
      <c r="AA1520">
        <v>0</v>
      </c>
      <c r="AB1520">
        <v>6</v>
      </c>
      <c r="AC1520">
        <v>102</v>
      </c>
      <c r="AD1520" t="s">
        <v>3104</v>
      </c>
    </row>
    <row r="1521" spans="1:30" x14ac:dyDescent="0.25">
      <c r="H1521" t="s">
        <v>3105</v>
      </c>
    </row>
    <row r="1522" spans="1:30" x14ac:dyDescent="0.25">
      <c r="A1522">
        <v>758</v>
      </c>
      <c r="B1522">
        <v>99</v>
      </c>
      <c r="C1522" t="s">
        <v>3106</v>
      </c>
      <c r="D1522" t="s">
        <v>83</v>
      </c>
      <c r="E1522" t="s">
        <v>1169</v>
      </c>
      <c r="F1522" t="s">
        <v>3107</v>
      </c>
      <c r="G1522" t="str">
        <f>"201601000319"</f>
        <v>201601000319</v>
      </c>
      <c r="H1522">
        <v>737</v>
      </c>
      <c r="I1522">
        <v>0</v>
      </c>
      <c r="J1522">
        <v>0</v>
      </c>
      <c r="K1522">
        <v>0</v>
      </c>
      <c r="L1522">
        <v>0</v>
      </c>
      <c r="M1522">
        <v>0</v>
      </c>
      <c r="N1522">
        <v>70</v>
      </c>
      <c r="O1522">
        <v>0</v>
      </c>
      <c r="P1522">
        <v>50</v>
      </c>
      <c r="Q1522">
        <v>0</v>
      </c>
      <c r="R1522">
        <v>0</v>
      </c>
      <c r="S1522">
        <v>0</v>
      </c>
      <c r="T1522">
        <v>0</v>
      </c>
      <c r="U1522">
        <v>0</v>
      </c>
      <c r="V1522">
        <v>51</v>
      </c>
      <c r="W1522">
        <v>357</v>
      </c>
      <c r="X1522">
        <v>0</v>
      </c>
      <c r="Z1522">
        <v>0</v>
      </c>
      <c r="AA1522">
        <v>0</v>
      </c>
      <c r="AB1522">
        <v>0</v>
      </c>
      <c r="AC1522">
        <v>0</v>
      </c>
      <c r="AD1522">
        <v>1214</v>
      </c>
    </row>
    <row r="1523" spans="1:30" x14ac:dyDescent="0.25">
      <c r="H1523" t="s">
        <v>3108</v>
      </c>
    </row>
    <row r="1524" spans="1:30" x14ac:dyDescent="0.25">
      <c r="A1524">
        <v>759</v>
      </c>
      <c r="B1524">
        <v>4423</v>
      </c>
      <c r="C1524" t="s">
        <v>3006</v>
      </c>
      <c r="D1524" t="s">
        <v>3109</v>
      </c>
      <c r="E1524" t="s">
        <v>102</v>
      </c>
      <c r="F1524" t="s">
        <v>3110</v>
      </c>
      <c r="G1524" t="str">
        <f>"201410003193"</f>
        <v>201410003193</v>
      </c>
      <c r="H1524" t="s">
        <v>1533</v>
      </c>
      <c r="I1524">
        <v>0</v>
      </c>
      <c r="J1524">
        <v>0</v>
      </c>
      <c r="K1524">
        <v>0</v>
      </c>
      <c r="L1524">
        <v>0</v>
      </c>
      <c r="M1524">
        <v>0</v>
      </c>
      <c r="N1524">
        <v>70</v>
      </c>
      <c r="O1524">
        <v>0</v>
      </c>
      <c r="P1524">
        <v>0</v>
      </c>
      <c r="Q1524">
        <v>0</v>
      </c>
      <c r="R1524">
        <v>30</v>
      </c>
      <c r="S1524">
        <v>0</v>
      </c>
      <c r="T1524">
        <v>0</v>
      </c>
      <c r="U1524">
        <v>0</v>
      </c>
      <c r="V1524">
        <v>52</v>
      </c>
      <c r="W1524">
        <v>364</v>
      </c>
      <c r="X1524">
        <v>0</v>
      </c>
      <c r="Z1524">
        <v>0</v>
      </c>
      <c r="AA1524">
        <v>0</v>
      </c>
      <c r="AB1524">
        <v>0</v>
      </c>
      <c r="AC1524">
        <v>0</v>
      </c>
      <c r="AD1524" t="s">
        <v>3111</v>
      </c>
    </row>
    <row r="1525" spans="1:30" x14ac:dyDescent="0.25">
      <c r="H1525" t="s">
        <v>3112</v>
      </c>
    </row>
    <row r="1526" spans="1:30" x14ac:dyDescent="0.25">
      <c r="A1526">
        <v>760</v>
      </c>
      <c r="B1526">
        <v>3423</v>
      </c>
      <c r="C1526" t="s">
        <v>3113</v>
      </c>
      <c r="D1526" t="s">
        <v>120</v>
      </c>
      <c r="E1526" t="s">
        <v>1622</v>
      </c>
      <c r="F1526" t="s">
        <v>3114</v>
      </c>
      <c r="G1526" t="str">
        <f>"00333123"</f>
        <v>00333123</v>
      </c>
      <c r="H1526" t="s">
        <v>198</v>
      </c>
      <c r="I1526">
        <v>0</v>
      </c>
      <c r="J1526">
        <v>0</v>
      </c>
      <c r="K1526">
        <v>0</v>
      </c>
      <c r="L1526">
        <v>0</v>
      </c>
      <c r="M1526">
        <v>0</v>
      </c>
      <c r="N1526">
        <v>0</v>
      </c>
      <c r="O1526">
        <v>0</v>
      </c>
      <c r="P1526">
        <v>0</v>
      </c>
      <c r="Q1526">
        <v>0</v>
      </c>
      <c r="R1526">
        <v>0</v>
      </c>
      <c r="S1526">
        <v>0</v>
      </c>
      <c r="T1526">
        <v>0</v>
      </c>
      <c r="U1526">
        <v>0</v>
      </c>
      <c r="V1526">
        <v>69</v>
      </c>
      <c r="W1526">
        <v>483</v>
      </c>
      <c r="X1526">
        <v>0</v>
      </c>
      <c r="Z1526">
        <v>0</v>
      </c>
      <c r="AA1526">
        <v>0</v>
      </c>
      <c r="AB1526">
        <v>0</v>
      </c>
      <c r="AC1526">
        <v>0</v>
      </c>
      <c r="AD1526" t="s">
        <v>3115</v>
      </c>
    </row>
    <row r="1527" spans="1:30" x14ac:dyDescent="0.25">
      <c r="H1527" t="s">
        <v>301</v>
      </c>
    </row>
    <row r="1528" spans="1:30" x14ac:dyDescent="0.25">
      <c r="A1528">
        <v>761</v>
      </c>
      <c r="B1528">
        <v>2725</v>
      </c>
      <c r="C1528" t="s">
        <v>3116</v>
      </c>
      <c r="D1528" t="s">
        <v>95</v>
      </c>
      <c r="E1528" t="s">
        <v>28</v>
      </c>
      <c r="F1528" t="s">
        <v>3117</v>
      </c>
      <c r="G1528" t="str">
        <f>"00334454"</f>
        <v>00334454</v>
      </c>
      <c r="H1528">
        <v>836</v>
      </c>
      <c r="I1528">
        <v>150</v>
      </c>
      <c r="J1528">
        <v>0</v>
      </c>
      <c r="K1528">
        <v>0</v>
      </c>
      <c r="L1528">
        <v>0</v>
      </c>
      <c r="M1528">
        <v>0</v>
      </c>
      <c r="N1528">
        <v>30</v>
      </c>
      <c r="O1528">
        <v>0</v>
      </c>
      <c r="P1528">
        <v>0</v>
      </c>
      <c r="Q1528">
        <v>0</v>
      </c>
      <c r="R1528">
        <v>0</v>
      </c>
      <c r="S1528">
        <v>0</v>
      </c>
      <c r="T1528">
        <v>0</v>
      </c>
      <c r="U1528">
        <v>0</v>
      </c>
      <c r="V1528">
        <v>28</v>
      </c>
      <c r="W1528">
        <v>196</v>
      </c>
      <c r="X1528">
        <v>0</v>
      </c>
      <c r="Z1528">
        <v>0</v>
      </c>
      <c r="AA1528">
        <v>0</v>
      </c>
      <c r="AB1528">
        <v>0</v>
      </c>
      <c r="AC1528">
        <v>0</v>
      </c>
      <c r="AD1528">
        <v>1212</v>
      </c>
    </row>
    <row r="1529" spans="1:30" x14ac:dyDescent="0.25">
      <c r="H1529" t="s">
        <v>3118</v>
      </c>
    </row>
    <row r="1530" spans="1:30" x14ac:dyDescent="0.25">
      <c r="A1530">
        <v>762</v>
      </c>
      <c r="B1530">
        <v>1847</v>
      </c>
      <c r="C1530" t="s">
        <v>3119</v>
      </c>
      <c r="D1530" t="s">
        <v>3120</v>
      </c>
      <c r="E1530" t="s">
        <v>368</v>
      </c>
      <c r="F1530" t="s">
        <v>3121</v>
      </c>
      <c r="G1530" t="str">
        <f>"00186644"</f>
        <v>00186644</v>
      </c>
      <c r="H1530" t="s">
        <v>573</v>
      </c>
      <c r="I1530">
        <v>0</v>
      </c>
      <c r="J1530">
        <v>0</v>
      </c>
      <c r="K1530">
        <v>0</v>
      </c>
      <c r="L1530">
        <v>0</v>
      </c>
      <c r="M1530">
        <v>0</v>
      </c>
      <c r="N1530">
        <v>0</v>
      </c>
      <c r="O1530">
        <v>0</v>
      </c>
      <c r="P1530">
        <v>0</v>
      </c>
      <c r="Q1530">
        <v>0</v>
      </c>
      <c r="R1530">
        <v>0</v>
      </c>
      <c r="S1530">
        <v>0</v>
      </c>
      <c r="T1530">
        <v>0</v>
      </c>
      <c r="U1530">
        <v>0</v>
      </c>
      <c r="V1530">
        <v>5</v>
      </c>
      <c r="W1530">
        <v>35</v>
      </c>
      <c r="X1530">
        <v>0</v>
      </c>
      <c r="Z1530">
        <v>0</v>
      </c>
      <c r="AA1530">
        <v>0</v>
      </c>
      <c r="AB1530">
        <v>24</v>
      </c>
      <c r="AC1530">
        <v>408</v>
      </c>
      <c r="AD1530" t="s">
        <v>3122</v>
      </c>
    </row>
    <row r="1531" spans="1:30" x14ac:dyDescent="0.25">
      <c r="H1531">
        <v>1255</v>
      </c>
    </row>
    <row r="1532" spans="1:30" x14ac:dyDescent="0.25">
      <c r="A1532">
        <v>763</v>
      </c>
      <c r="B1532">
        <v>2529</v>
      </c>
      <c r="C1532" t="s">
        <v>3123</v>
      </c>
      <c r="D1532" t="s">
        <v>490</v>
      </c>
      <c r="E1532" t="s">
        <v>445</v>
      </c>
      <c r="F1532" t="s">
        <v>3124</v>
      </c>
      <c r="G1532" t="str">
        <f>"201406018180"</f>
        <v>201406018180</v>
      </c>
      <c r="H1532" t="s">
        <v>137</v>
      </c>
      <c r="I1532">
        <v>0</v>
      </c>
      <c r="J1532">
        <v>0</v>
      </c>
      <c r="K1532">
        <v>0</v>
      </c>
      <c r="L1532">
        <v>200</v>
      </c>
      <c r="M1532">
        <v>0</v>
      </c>
      <c r="N1532">
        <v>70</v>
      </c>
      <c r="O1532">
        <v>0</v>
      </c>
      <c r="P1532">
        <v>0</v>
      </c>
      <c r="Q1532">
        <v>0</v>
      </c>
      <c r="R1532">
        <v>30</v>
      </c>
      <c r="S1532">
        <v>0</v>
      </c>
      <c r="T1532">
        <v>0</v>
      </c>
      <c r="U1532">
        <v>0</v>
      </c>
      <c r="V1532">
        <v>27</v>
      </c>
      <c r="W1532">
        <v>189</v>
      </c>
      <c r="X1532">
        <v>0</v>
      </c>
      <c r="Z1532">
        <v>0</v>
      </c>
      <c r="AA1532">
        <v>0</v>
      </c>
      <c r="AB1532">
        <v>0</v>
      </c>
      <c r="AC1532">
        <v>0</v>
      </c>
      <c r="AD1532" t="s">
        <v>3125</v>
      </c>
    </row>
    <row r="1533" spans="1:30" x14ac:dyDescent="0.25">
      <c r="H1533" t="s">
        <v>3126</v>
      </c>
    </row>
    <row r="1534" spans="1:30" x14ac:dyDescent="0.25">
      <c r="A1534">
        <v>764</v>
      </c>
      <c r="B1534">
        <v>2485</v>
      </c>
      <c r="C1534" t="s">
        <v>3127</v>
      </c>
      <c r="D1534" t="s">
        <v>32</v>
      </c>
      <c r="E1534" t="s">
        <v>181</v>
      </c>
      <c r="F1534" t="s">
        <v>3128</v>
      </c>
      <c r="G1534" t="str">
        <f>"201406000745"</f>
        <v>201406000745</v>
      </c>
      <c r="H1534" t="s">
        <v>887</v>
      </c>
      <c r="I1534">
        <v>0</v>
      </c>
      <c r="J1534">
        <v>0</v>
      </c>
      <c r="K1534">
        <v>0</v>
      </c>
      <c r="L1534">
        <v>200</v>
      </c>
      <c r="M1534">
        <v>0</v>
      </c>
      <c r="N1534">
        <v>50</v>
      </c>
      <c r="O1534">
        <v>0</v>
      </c>
      <c r="P1534">
        <v>0</v>
      </c>
      <c r="Q1534">
        <v>0</v>
      </c>
      <c r="R1534">
        <v>0</v>
      </c>
      <c r="S1534">
        <v>0</v>
      </c>
      <c r="T1534">
        <v>0</v>
      </c>
      <c r="U1534">
        <v>0</v>
      </c>
      <c r="V1534">
        <v>36</v>
      </c>
      <c r="W1534">
        <v>252</v>
      </c>
      <c r="X1534">
        <v>0</v>
      </c>
      <c r="Z1534">
        <v>2</v>
      </c>
      <c r="AA1534">
        <v>0</v>
      </c>
      <c r="AB1534">
        <v>0</v>
      </c>
      <c r="AC1534">
        <v>0</v>
      </c>
      <c r="AD1534" t="s">
        <v>3129</v>
      </c>
    </row>
    <row r="1535" spans="1:30" x14ac:dyDescent="0.25">
      <c r="H1535" t="s">
        <v>3130</v>
      </c>
    </row>
    <row r="1536" spans="1:30" x14ac:dyDescent="0.25">
      <c r="A1536">
        <v>765</v>
      </c>
      <c r="B1536">
        <v>5662</v>
      </c>
      <c r="C1536" t="s">
        <v>3131</v>
      </c>
      <c r="D1536" t="s">
        <v>445</v>
      </c>
      <c r="E1536" t="s">
        <v>28</v>
      </c>
      <c r="F1536" t="s">
        <v>3132</v>
      </c>
      <c r="G1536" t="str">
        <f>"201405000141"</f>
        <v>201405000141</v>
      </c>
      <c r="H1536" t="s">
        <v>1986</v>
      </c>
      <c r="I1536">
        <v>0</v>
      </c>
      <c r="J1536">
        <v>0</v>
      </c>
      <c r="K1536">
        <v>0</v>
      </c>
      <c r="L1536">
        <v>0</v>
      </c>
      <c r="M1536">
        <v>0</v>
      </c>
      <c r="N1536">
        <v>30</v>
      </c>
      <c r="O1536">
        <v>0</v>
      </c>
      <c r="P1536">
        <v>0</v>
      </c>
      <c r="Q1536">
        <v>0</v>
      </c>
      <c r="R1536">
        <v>0</v>
      </c>
      <c r="S1536">
        <v>0</v>
      </c>
      <c r="T1536">
        <v>0</v>
      </c>
      <c r="U1536">
        <v>0</v>
      </c>
      <c r="V1536">
        <v>75</v>
      </c>
      <c r="W1536">
        <v>525</v>
      </c>
      <c r="X1536">
        <v>0</v>
      </c>
      <c r="Z1536">
        <v>0</v>
      </c>
      <c r="AA1536">
        <v>0</v>
      </c>
      <c r="AB1536">
        <v>0</v>
      </c>
      <c r="AC1536">
        <v>0</v>
      </c>
      <c r="AD1536" t="s">
        <v>3133</v>
      </c>
    </row>
    <row r="1537" spans="1:30" x14ac:dyDescent="0.25">
      <c r="H1537" t="s">
        <v>3134</v>
      </c>
    </row>
    <row r="1538" spans="1:30" x14ac:dyDescent="0.25">
      <c r="A1538">
        <v>766</v>
      </c>
      <c r="B1538">
        <v>3240</v>
      </c>
      <c r="C1538" t="s">
        <v>3135</v>
      </c>
      <c r="D1538" t="s">
        <v>283</v>
      </c>
      <c r="E1538" t="s">
        <v>107</v>
      </c>
      <c r="F1538" t="s">
        <v>3136</v>
      </c>
      <c r="G1538" t="str">
        <f>"00366639"</f>
        <v>00366639</v>
      </c>
      <c r="H1538" t="s">
        <v>3137</v>
      </c>
      <c r="I1538">
        <v>0</v>
      </c>
      <c r="J1538">
        <v>0</v>
      </c>
      <c r="K1538">
        <v>0</v>
      </c>
      <c r="L1538">
        <v>0</v>
      </c>
      <c r="M1538">
        <v>0</v>
      </c>
      <c r="N1538">
        <v>0</v>
      </c>
      <c r="O1538">
        <v>0</v>
      </c>
      <c r="P1538">
        <v>0</v>
      </c>
      <c r="Q1538">
        <v>0</v>
      </c>
      <c r="R1538">
        <v>0</v>
      </c>
      <c r="S1538">
        <v>0</v>
      </c>
      <c r="T1538">
        <v>0</v>
      </c>
      <c r="U1538">
        <v>0</v>
      </c>
      <c r="V1538">
        <v>84</v>
      </c>
      <c r="W1538">
        <v>588</v>
      </c>
      <c r="X1538">
        <v>0</v>
      </c>
      <c r="Z1538">
        <v>0</v>
      </c>
      <c r="AA1538">
        <v>0</v>
      </c>
      <c r="AB1538">
        <v>0</v>
      </c>
      <c r="AC1538">
        <v>0</v>
      </c>
      <c r="AD1538" t="s">
        <v>3133</v>
      </c>
    </row>
    <row r="1539" spans="1:30" x14ac:dyDescent="0.25">
      <c r="H1539" t="s">
        <v>2200</v>
      </c>
    </row>
    <row r="1540" spans="1:30" x14ac:dyDescent="0.25">
      <c r="A1540">
        <v>767</v>
      </c>
      <c r="B1540">
        <v>2184</v>
      </c>
      <c r="C1540" t="s">
        <v>3138</v>
      </c>
      <c r="D1540" t="s">
        <v>95</v>
      </c>
      <c r="E1540" t="s">
        <v>102</v>
      </c>
      <c r="F1540" t="s">
        <v>3139</v>
      </c>
      <c r="G1540" t="str">
        <f>"00151822"</f>
        <v>00151822</v>
      </c>
      <c r="H1540" t="s">
        <v>1142</v>
      </c>
      <c r="I1540">
        <v>0</v>
      </c>
      <c r="J1540">
        <v>0</v>
      </c>
      <c r="K1540">
        <v>0</v>
      </c>
      <c r="L1540">
        <v>260</v>
      </c>
      <c r="M1540">
        <v>0</v>
      </c>
      <c r="N1540">
        <v>70</v>
      </c>
      <c r="O1540">
        <v>0</v>
      </c>
      <c r="P1540">
        <v>0</v>
      </c>
      <c r="Q1540">
        <v>0</v>
      </c>
      <c r="R1540">
        <v>0</v>
      </c>
      <c r="S1540">
        <v>0</v>
      </c>
      <c r="T1540">
        <v>0</v>
      </c>
      <c r="U1540">
        <v>0</v>
      </c>
      <c r="V1540">
        <v>10</v>
      </c>
      <c r="W1540">
        <v>70</v>
      </c>
      <c r="X1540">
        <v>0</v>
      </c>
      <c r="Z1540">
        <v>0</v>
      </c>
      <c r="AA1540">
        <v>0</v>
      </c>
      <c r="AB1540">
        <v>0</v>
      </c>
      <c r="AC1540">
        <v>0</v>
      </c>
      <c r="AD1540" t="s">
        <v>3140</v>
      </c>
    </row>
    <row r="1541" spans="1:30" x14ac:dyDescent="0.25">
      <c r="H1541" t="s">
        <v>3141</v>
      </c>
    </row>
    <row r="1542" spans="1:30" x14ac:dyDescent="0.25">
      <c r="A1542">
        <v>768</v>
      </c>
      <c r="B1542">
        <v>3845</v>
      </c>
      <c r="C1542" t="s">
        <v>3142</v>
      </c>
      <c r="D1542" t="s">
        <v>32</v>
      </c>
      <c r="E1542" t="s">
        <v>142</v>
      </c>
      <c r="F1542" t="s">
        <v>3143</v>
      </c>
      <c r="G1542" t="str">
        <f>"201406004776"</f>
        <v>201406004776</v>
      </c>
      <c r="H1542" t="s">
        <v>2497</v>
      </c>
      <c r="I1542">
        <v>0</v>
      </c>
      <c r="J1542">
        <v>0</v>
      </c>
      <c r="K1542">
        <v>0</v>
      </c>
      <c r="L1542">
        <v>200</v>
      </c>
      <c r="M1542">
        <v>0</v>
      </c>
      <c r="N1542">
        <v>30</v>
      </c>
      <c r="O1542">
        <v>0</v>
      </c>
      <c r="P1542">
        <v>0</v>
      </c>
      <c r="Q1542">
        <v>0</v>
      </c>
      <c r="R1542">
        <v>0</v>
      </c>
      <c r="S1542">
        <v>0</v>
      </c>
      <c r="T1542">
        <v>0</v>
      </c>
      <c r="U1542">
        <v>0</v>
      </c>
      <c r="V1542">
        <v>42</v>
      </c>
      <c r="W1542">
        <v>294</v>
      </c>
      <c r="X1542">
        <v>0</v>
      </c>
      <c r="Z1542">
        <v>0</v>
      </c>
      <c r="AA1542">
        <v>0</v>
      </c>
      <c r="AB1542">
        <v>0</v>
      </c>
      <c r="AC1542">
        <v>0</v>
      </c>
      <c r="AD1542" t="s">
        <v>3144</v>
      </c>
    </row>
    <row r="1543" spans="1:30" x14ac:dyDescent="0.25">
      <c r="H1543" t="s">
        <v>2126</v>
      </c>
    </row>
    <row r="1544" spans="1:30" x14ac:dyDescent="0.25">
      <c r="A1544">
        <v>769</v>
      </c>
      <c r="B1544">
        <v>1748</v>
      </c>
      <c r="C1544" t="s">
        <v>1334</v>
      </c>
      <c r="D1544" t="s">
        <v>236</v>
      </c>
      <c r="E1544" t="s">
        <v>28</v>
      </c>
      <c r="F1544" t="s">
        <v>3145</v>
      </c>
      <c r="G1544" t="str">
        <f>"201412005201"</f>
        <v>201412005201</v>
      </c>
      <c r="H1544">
        <v>803</v>
      </c>
      <c r="I1544">
        <v>0</v>
      </c>
      <c r="J1544">
        <v>0</v>
      </c>
      <c r="K1544">
        <v>0</v>
      </c>
      <c r="L1544">
        <v>0</v>
      </c>
      <c r="M1544">
        <v>0</v>
      </c>
      <c r="N1544">
        <v>30</v>
      </c>
      <c r="O1544">
        <v>0</v>
      </c>
      <c r="P1544">
        <v>0</v>
      </c>
      <c r="Q1544">
        <v>0</v>
      </c>
      <c r="R1544">
        <v>0</v>
      </c>
      <c r="S1544">
        <v>0</v>
      </c>
      <c r="T1544">
        <v>0</v>
      </c>
      <c r="U1544">
        <v>0</v>
      </c>
      <c r="V1544">
        <v>53</v>
      </c>
      <c r="W1544">
        <v>371</v>
      </c>
      <c r="X1544">
        <v>0</v>
      </c>
      <c r="Z1544">
        <v>0</v>
      </c>
      <c r="AA1544">
        <v>0</v>
      </c>
      <c r="AB1544">
        <v>0</v>
      </c>
      <c r="AC1544">
        <v>0</v>
      </c>
      <c r="AD1544">
        <v>1204</v>
      </c>
    </row>
    <row r="1545" spans="1:30" x14ac:dyDescent="0.25">
      <c r="H1545" t="s">
        <v>3146</v>
      </c>
    </row>
    <row r="1546" spans="1:30" x14ac:dyDescent="0.25">
      <c r="A1546">
        <v>770</v>
      </c>
      <c r="B1546">
        <v>2799</v>
      </c>
      <c r="C1546" t="s">
        <v>3147</v>
      </c>
      <c r="D1546" t="s">
        <v>106</v>
      </c>
      <c r="E1546" t="s">
        <v>49</v>
      </c>
      <c r="F1546" t="s">
        <v>3148</v>
      </c>
      <c r="G1546" t="str">
        <f>"00149201"</f>
        <v>00149201</v>
      </c>
      <c r="H1546">
        <v>858</v>
      </c>
      <c r="I1546">
        <v>0</v>
      </c>
      <c r="J1546">
        <v>0</v>
      </c>
      <c r="K1546">
        <v>0</v>
      </c>
      <c r="L1546">
        <v>0</v>
      </c>
      <c r="M1546">
        <v>0</v>
      </c>
      <c r="N1546">
        <v>0</v>
      </c>
      <c r="O1546">
        <v>0</v>
      </c>
      <c r="P1546">
        <v>0</v>
      </c>
      <c r="Q1546">
        <v>0</v>
      </c>
      <c r="R1546">
        <v>0</v>
      </c>
      <c r="S1546">
        <v>0</v>
      </c>
      <c r="T1546">
        <v>0</v>
      </c>
      <c r="U1546">
        <v>0</v>
      </c>
      <c r="V1546">
        <v>25</v>
      </c>
      <c r="W1546">
        <v>175</v>
      </c>
      <c r="X1546">
        <v>0</v>
      </c>
      <c r="Z1546">
        <v>2</v>
      </c>
      <c r="AA1546">
        <v>0</v>
      </c>
      <c r="AB1546">
        <v>10</v>
      </c>
      <c r="AC1546">
        <v>170</v>
      </c>
      <c r="AD1546">
        <v>1203</v>
      </c>
    </row>
    <row r="1547" spans="1:30" x14ac:dyDescent="0.25">
      <c r="H1547" t="s">
        <v>727</v>
      </c>
    </row>
    <row r="1548" spans="1:30" x14ac:dyDescent="0.25">
      <c r="A1548">
        <v>771</v>
      </c>
      <c r="B1548">
        <v>2922</v>
      </c>
      <c r="C1548" t="s">
        <v>3149</v>
      </c>
      <c r="D1548" t="s">
        <v>2484</v>
      </c>
      <c r="E1548" t="s">
        <v>49</v>
      </c>
      <c r="F1548" t="s">
        <v>3150</v>
      </c>
      <c r="G1548" t="str">
        <f>"201411003472"</f>
        <v>201411003472</v>
      </c>
      <c r="H1548" t="s">
        <v>1868</v>
      </c>
      <c r="I1548">
        <v>150</v>
      </c>
      <c r="J1548">
        <v>0</v>
      </c>
      <c r="K1548">
        <v>0</v>
      </c>
      <c r="L1548">
        <v>200</v>
      </c>
      <c r="M1548">
        <v>0</v>
      </c>
      <c r="N1548">
        <v>70</v>
      </c>
      <c r="O1548">
        <v>0</v>
      </c>
      <c r="P1548">
        <v>0</v>
      </c>
      <c r="Q1548">
        <v>0</v>
      </c>
      <c r="R1548">
        <v>0</v>
      </c>
      <c r="S1548">
        <v>0</v>
      </c>
      <c r="T1548">
        <v>0</v>
      </c>
      <c r="U1548">
        <v>0</v>
      </c>
      <c r="V1548">
        <v>5</v>
      </c>
      <c r="W1548">
        <v>35</v>
      </c>
      <c r="X1548">
        <v>0</v>
      </c>
      <c r="Z1548">
        <v>0</v>
      </c>
      <c r="AA1548">
        <v>0</v>
      </c>
      <c r="AB1548">
        <v>0</v>
      </c>
      <c r="AC1548">
        <v>0</v>
      </c>
      <c r="AD1548" t="s">
        <v>3151</v>
      </c>
    </row>
    <row r="1549" spans="1:30" x14ac:dyDescent="0.25">
      <c r="H1549" t="s">
        <v>1298</v>
      </c>
    </row>
    <row r="1550" spans="1:30" x14ac:dyDescent="0.25">
      <c r="A1550">
        <v>772</v>
      </c>
      <c r="B1550">
        <v>2692</v>
      </c>
      <c r="C1550" t="s">
        <v>1786</v>
      </c>
      <c r="D1550" t="s">
        <v>213</v>
      </c>
      <c r="E1550" t="s">
        <v>102</v>
      </c>
      <c r="F1550" t="s">
        <v>3152</v>
      </c>
      <c r="G1550" t="str">
        <f>"201412001261"</f>
        <v>201412001261</v>
      </c>
      <c r="H1550" t="s">
        <v>1796</v>
      </c>
      <c r="I1550">
        <v>0</v>
      </c>
      <c r="J1550">
        <v>0</v>
      </c>
      <c r="K1550">
        <v>0</v>
      </c>
      <c r="L1550">
        <v>200</v>
      </c>
      <c r="M1550">
        <v>0</v>
      </c>
      <c r="N1550">
        <v>30</v>
      </c>
      <c r="O1550">
        <v>30</v>
      </c>
      <c r="P1550">
        <v>0</v>
      </c>
      <c r="Q1550">
        <v>0</v>
      </c>
      <c r="R1550">
        <v>0</v>
      </c>
      <c r="S1550">
        <v>0</v>
      </c>
      <c r="T1550">
        <v>0</v>
      </c>
      <c r="U1550">
        <v>0</v>
      </c>
      <c r="V1550">
        <v>36</v>
      </c>
      <c r="W1550">
        <v>252</v>
      </c>
      <c r="X1550">
        <v>0</v>
      </c>
      <c r="Z1550">
        <v>0</v>
      </c>
      <c r="AA1550">
        <v>0</v>
      </c>
      <c r="AB1550">
        <v>0</v>
      </c>
      <c r="AC1550">
        <v>0</v>
      </c>
      <c r="AD1550" t="s">
        <v>3153</v>
      </c>
    </row>
    <row r="1551" spans="1:30" x14ac:dyDescent="0.25">
      <c r="H1551" t="s">
        <v>3154</v>
      </c>
    </row>
    <row r="1552" spans="1:30" x14ac:dyDescent="0.25">
      <c r="A1552">
        <v>773</v>
      </c>
      <c r="B1552">
        <v>135</v>
      </c>
      <c r="C1552" t="s">
        <v>3155</v>
      </c>
      <c r="D1552" t="s">
        <v>315</v>
      </c>
      <c r="E1552" t="s">
        <v>3156</v>
      </c>
      <c r="F1552" t="s">
        <v>3157</v>
      </c>
      <c r="G1552" t="str">
        <f>"201511037725"</f>
        <v>201511037725</v>
      </c>
      <c r="H1552" t="s">
        <v>1559</v>
      </c>
      <c r="I1552">
        <v>0</v>
      </c>
      <c r="J1552">
        <v>0</v>
      </c>
      <c r="K1552">
        <v>0</v>
      </c>
      <c r="L1552">
        <v>0</v>
      </c>
      <c r="M1552">
        <v>0</v>
      </c>
      <c r="N1552">
        <v>30</v>
      </c>
      <c r="O1552">
        <v>0</v>
      </c>
      <c r="P1552">
        <v>0</v>
      </c>
      <c r="Q1552">
        <v>0</v>
      </c>
      <c r="R1552">
        <v>0</v>
      </c>
      <c r="S1552">
        <v>0</v>
      </c>
      <c r="T1552">
        <v>0</v>
      </c>
      <c r="U1552">
        <v>0</v>
      </c>
      <c r="V1552">
        <v>73</v>
      </c>
      <c r="W1552">
        <v>511</v>
      </c>
      <c r="X1552">
        <v>0</v>
      </c>
      <c r="Z1552">
        <v>0</v>
      </c>
      <c r="AA1552">
        <v>0</v>
      </c>
      <c r="AB1552">
        <v>0</v>
      </c>
      <c r="AC1552">
        <v>0</v>
      </c>
      <c r="AD1552" t="s">
        <v>3158</v>
      </c>
    </row>
    <row r="1553" spans="1:30" x14ac:dyDescent="0.25">
      <c r="H1553" t="s">
        <v>3159</v>
      </c>
    </row>
    <row r="1554" spans="1:30" x14ac:dyDescent="0.25">
      <c r="A1554">
        <v>774</v>
      </c>
      <c r="B1554">
        <v>1056</v>
      </c>
      <c r="C1554" t="s">
        <v>2940</v>
      </c>
      <c r="D1554" t="s">
        <v>3160</v>
      </c>
      <c r="E1554" t="s">
        <v>325</v>
      </c>
      <c r="F1554" t="s">
        <v>3161</v>
      </c>
      <c r="G1554" t="str">
        <f>"00272528"</f>
        <v>00272528</v>
      </c>
      <c r="H1554" t="s">
        <v>2552</v>
      </c>
      <c r="I1554">
        <v>0</v>
      </c>
      <c r="J1554">
        <v>0</v>
      </c>
      <c r="K1554">
        <v>0</v>
      </c>
      <c r="L1554">
        <v>0</v>
      </c>
      <c r="M1554">
        <v>0</v>
      </c>
      <c r="N1554">
        <v>30</v>
      </c>
      <c r="O1554">
        <v>0</v>
      </c>
      <c r="P1554">
        <v>0</v>
      </c>
      <c r="Q1554">
        <v>0</v>
      </c>
      <c r="R1554">
        <v>0</v>
      </c>
      <c r="S1554">
        <v>0</v>
      </c>
      <c r="T1554">
        <v>0</v>
      </c>
      <c r="U1554">
        <v>0</v>
      </c>
      <c r="V1554">
        <v>16</v>
      </c>
      <c r="W1554">
        <v>112</v>
      </c>
      <c r="X1554">
        <v>0</v>
      </c>
      <c r="Z1554">
        <v>0</v>
      </c>
      <c r="AA1554">
        <v>0</v>
      </c>
      <c r="AB1554">
        <v>22</v>
      </c>
      <c r="AC1554">
        <v>374</v>
      </c>
      <c r="AD1554" t="s">
        <v>3162</v>
      </c>
    </row>
    <row r="1555" spans="1:30" x14ac:dyDescent="0.25">
      <c r="H1555" t="s">
        <v>3163</v>
      </c>
    </row>
    <row r="1556" spans="1:30" x14ac:dyDescent="0.25">
      <c r="A1556">
        <v>775</v>
      </c>
      <c r="B1556">
        <v>75</v>
      </c>
      <c r="C1556" t="s">
        <v>3164</v>
      </c>
      <c r="D1556" t="s">
        <v>425</v>
      </c>
      <c r="E1556" t="s">
        <v>325</v>
      </c>
      <c r="F1556" t="s">
        <v>3165</v>
      </c>
      <c r="G1556" t="str">
        <f>"201402010313"</f>
        <v>201402010313</v>
      </c>
      <c r="H1556" t="s">
        <v>3093</v>
      </c>
      <c r="I1556">
        <v>0</v>
      </c>
      <c r="J1556">
        <v>0</v>
      </c>
      <c r="K1556">
        <v>0</v>
      </c>
      <c r="L1556">
        <v>0</v>
      </c>
      <c r="M1556">
        <v>0</v>
      </c>
      <c r="N1556">
        <v>30</v>
      </c>
      <c r="O1556">
        <v>0</v>
      </c>
      <c r="P1556">
        <v>0</v>
      </c>
      <c r="Q1556">
        <v>0</v>
      </c>
      <c r="R1556">
        <v>0</v>
      </c>
      <c r="S1556">
        <v>0</v>
      </c>
      <c r="T1556">
        <v>0</v>
      </c>
      <c r="U1556">
        <v>0</v>
      </c>
      <c r="V1556">
        <v>52</v>
      </c>
      <c r="W1556">
        <v>364</v>
      </c>
      <c r="X1556">
        <v>0</v>
      </c>
      <c r="Z1556">
        <v>1</v>
      </c>
      <c r="AA1556">
        <v>0</v>
      </c>
      <c r="AB1556">
        <v>0</v>
      </c>
      <c r="AC1556">
        <v>0</v>
      </c>
      <c r="AD1556" t="s">
        <v>3166</v>
      </c>
    </row>
    <row r="1557" spans="1:30" x14ac:dyDescent="0.25">
      <c r="H1557" t="s">
        <v>3167</v>
      </c>
    </row>
    <row r="1558" spans="1:30" x14ac:dyDescent="0.25">
      <c r="A1558">
        <v>776</v>
      </c>
      <c r="B1558">
        <v>2626</v>
      </c>
      <c r="C1558" t="s">
        <v>3168</v>
      </c>
      <c r="D1558" t="s">
        <v>191</v>
      </c>
      <c r="E1558" t="s">
        <v>255</v>
      </c>
      <c r="F1558" t="s">
        <v>3169</v>
      </c>
      <c r="G1558" t="str">
        <f>"201510002528"</f>
        <v>201510002528</v>
      </c>
      <c r="H1558" t="s">
        <v>380</v>
      </c>
      <c r="I1558">
        <v>0</v>
      </c>
      <c r="J1558">
        <v>0</v>
      </c>
      <c r="K1558">
        <v>0</v>
      </c>
      <c r="L1558">
        <v>0</v>
      </c>
      <c r="M1558">
        <v>0</v>
      </c>
      <c r="N1558">
        <v>30</v>
      </c>
      <c r="O1558">
        <v>0</v>
      </c>
      <c r="P1558">
        <v>0</v>
      </c>
      <c r="Q1558">
        <v>0</v>
      </c>
      <c r="R1558">
        <v>0</v>
      </c>
      <c r="S1558">
        <v>0</v>
      </c>
      <c r="T1558">
        <v>0</v>
      </c>
      <c r="U1558">
        <v>0</v>
      </c>
      <c r="V1558">
        <v>11</v>
      </c>
      <c r="W1558">
        <v>77</v>
      </c>
      <c r="X1558">
        <v>0</v>
      </c>
      <c r="Z1558">
        <v>0</v>
      </c>
      <c r="AA1558">
        <v>0</v>
      </c>
      <c r="AB1558">
        <v>24</v>
      </c>
      <c r="AC1558">
        <v>408</v>
      </c>
      <c r="AD1558" t="s">
        <v>3170</v>
      </c>
    </row>
    <row r="1559" spans="1:30" x14ac:dyDescent="0.25">
      <c r="H1559" t="s">
        <v>3171</v>
      </c>
    </row>
    <row r="1560" spans="1:30" x14ac:dyDescent="0.25">
      <c r="A1560">
        <v>777</v>
      </c>
      <c r="B1560">
        <v>5223</v>
      </c>
      <c r="C1560" t="s">
        <v>3172</v>
      </c>
      <c r="D1560" t="s">
        <v>598</v>
      </c>
      <c r="E1560" t="s">
        <v>32</v>
      </c>
      <c r="F1560" t="s">
        <v>3173</v>
      </c>
      <c r="G1560" t="str">
        <f>"00225167"</f>
        <v>00225167</v>
      </c>
      <c r="H1560" t="s">
        <v>1301</v>
      </c>
      <c r="I1560">
        <v>0</v>
      </c>
      <c r="J1560">
        <v>0</v>
      </c>
      <c r="K1560">
        <v>0</v>
      </c>
      <c r="L1560">
        <v>0</v>
      </c>
      <c r="M1560">
        <v>0</v>
      </c>
      <c r="N1560">
        <v>30</v>
      </c>
      <c r="O1560">
        <v>0</v>
      </c>
      <c r="P1560">
        <v>0</v>
      </c>
      <c r="Q1560">
        <v>0</v>
      </c>
      <c r="R1560">
        <v>0</v>
      </c>
      <c r="S1560">
        <v>0</v>
      </c>
      <c r="T1560">
        <v>0</v>
      </c>
      <c r="U1560">
        <v>0</v>
      </c>
      <c r="V1560">
        <v>60</v>
      </c>
      <c r="W1560">
        <v>420</v>
      </c>
      <c r="X1560">
        <v>0</v>
      </c>
      <c r="Z1560">
        <v>2</v>
      </c>
      <c r="AA1560">
        <v>0</v>
      </c>
      <c r="AB1560">
        <v>0</v>
      </c>
      <c r="AC1560">
        <v>0</v>
      </c>
      <c r="AD1560" t="s">
        <v>3174</v>
      </c>
    </row>
    <row r="1561" spans="1:30" x14ac:dyDescent="0.25">
      <c r="H1561" t="s">
        <v>3175</v>
      </c>
    </row>
    <row r="1562" spans="1:30" x14ac:dyDescent="0.25">
      <c r="A1562">
        <v>778</v>
      </c>
      <c r="B1562">
        <v>4768</v>
      </c>
      <c r="C1562" t="s">
        <v>3176</v>
      </c>
      <c r="D1562" t="s">
        <v>49</v>
      </c>
      <c r="E1562" t="s">
        <v>102</v>
      </c>
      <c r="F1562" t="s">
        <v>3177</v>
      </c>
      <c r="G1562" t="str">
        <f>"201406005113"</f>
        <v>201406005113</v>
      </c>
      <c r="H1562" t="s">
        <v>1057</v>
      </c>
      <c r="I1562">
        <v>0</v>
      </c>
      <c r="J1562">
        <v>0</v>
      </c>
      <c r="K1562">
        <v>0</v>
      </c>
      <c r="L1562">
        <v>200</v>
      </c>
      <c r="M1562">
        <v>0</v>
      </c>
      <c r="N1562">
        <v>30</v>
      </c>
      <c r="O1562">
        <v>0</v>
      </c>
      <c r="P1562">
        <v>0</v>
      </c>
      <c r="Q1562">
        <v>0</v>
      </c>
      <c r="R1562">
        <v>0</v>
      </c>
      <c r="S1562">
        <v>0</v>
      </c>
      <c r="T1562">
        <v>0</v>
      </c>
      <c r="U1562">
        <v>0</v>
      </c>
      <c r="V1562">
        <v>38</v>
      </c>
      <c r="W1562">
        <v>266</v>
      </c>
      <c r="X1562">
        <v>0</v>
      </c>
      <c r="Z1562">
        <v>0</v>
      </c>
      <c r="AA1562">
        <v>0</v>
      </c>
      <c r="AB1562">
        <v>0</v>
      </c>
      <c r="AC1562">
        <v>0</v>
      </c>
      <c r="AD1562" t="s">
        <v>3178</v>
      </c>
    </row>
    <row r="1563" spans="1:30" x14ac:dyDescent="0.25">
      <c r="H1563" t="s">
        <v>3179</v>
      </c>
    </row>
    <row r="1564" spans="1:30" x14ac:dyDescent="0.25">
      <c r="A1564">
        <v>779</v>
      </c>
      <c r="B1564">
        <v>5702</v>
      </c>
      <c r="C1564" t="s">
        <v>3180</v>
      </c>
      <c r="D1564" t="s">
        <v>3181</v>
      </c>
      <c r="E1564" t="s">
        <v>368</v>
      </c>
      <c r="F1564" t="s">
        <v>3182</v>
      </c>
      <c r="G1564" t="str">
        <f>"200802003845"</f>
        <v>200802003845</v>
      </c>
      <c r="H1564" t="s">
        <v>1729</v>
      </c>
      <c r="I1564">
        <v>0</v>
      </c>
      <c r="J1564">
        <v>0</v>
      </c>
      <c r="K1564">
        <v>0</v>
      </c>
      <c r="L1564">
        <v>200</v>
      </c>
      <c r="M1564">
        <v>0</v>
      </c>
      <c r="N1564">
        <v>30</v>
      </c>
      <c r="O1564">
        <v>0</v>
      </c>
      <c r="P1564">
        <v>0</v>
      </c>
      <c r="Q1564">
        <v>0</v>
      </c>
      <c r="R1564">
        <v>0</v>
      </c>
      <c r="S1564">
        <v>0</v>
      </c>
      <c r="T1564">
        <v>0</v>
      </c>
      <c r="U1564">
        <v>0</v>
      </c>
      <c r="V1564">
        <v>14</v>
      </c>
      <c r="W1564">
        <v>98</v>
      </c>
      <c r="X1564">
        <v>0</v>
      </c>
      <c r="Z1564">
        <v>0</v>
      </c>
      <c r="AA1564">
        <v>0</v>
      </c>
      <c r="AB1564">
        <v>0</v>
      </c>
      <c r="AC1564">
        <v>0</v>
      </c>
      <c r="AD1564" t="s">
        <v>3183</v>
      </c>
    </row>
    <row r="1565" spans="1:30" x14ac:dyDescent="0.25">
      <c r="H1565" t="s">
        <v>3184</v>
      </c>
    </row>
    <row r="1566" spans="1:30" x14ac:dyDescent="0.25">
      <c r="A1566">
        <v>780</v>
      </c>
      <c r="B1566">
        <v>2605</v>
      </c>
      <c r="C1566" t="s">
        <v>3185</v>
      </c>
      <c r="D1566" t="s">
        <v>28</v>
      </c>
      <c r="E1566" t="s">
        <v>230</v>
      </c>
      <c r="F1566" t="s">
        <v>3186</v>
      </c>
      <c r="G1566" t="str">
        <f>"201405000685"</f>
        <v>201405000685</v>
      </c>
      <c r="H1566" t="s">
        <v>1223</v>
      </c>
      <c r="I1566">
        <v>0</v>
      </c>
      <c r="J1566">
        <v>0</v>
      </c>
      <c r="K1566">
        <v>0</v>
      </c>
      <c r="L1566">
        <v>200</v>
      </c>
      <c r="M1566">
        <v>0</v>
      </c>
      <c r="N1566">
        <v>70</v>
      </c>
      <c r="O1566">
        <v>0</v>
      </c>
      <c r="P1566">
        <v>0</v>
      </c>
      <c r="Q1566">
        <v>0</v>
      </c>
      <c r="R1566">
        <v>0</v>
      </c>
      <c r="S1566">
        <v>0</v>
      </c>
      <c r="T1566">
        <v>0</v>
      </c>
      <c r="U1566">
        <v>0</v>
      </c>
      <c r="V1566">
        <v>24</v>
      </c>
      <c r="W1566">
        <v>168</v>
      </c>
      <c r="X1566">
        <v>0</v>
      </c>
      <c r="Z1566">
        <v>1</v>
      </c>
      <c r="AA1566">
        <v>0</v>
      </c>
      <c r="AB1566">
        <v>0</v>
      </c>
      <c r="AC1566">
        <v>0</v>
      </c>
      <c r="AD1566" t="s">
        <v>3187</v>
      </c>
    </row>
    <row r="1567" spans="1:30" x14ac:dyDescent="0.25">
      <c r="H1567" t="s">
        <v>3188</v>
      </c>
    </row>
    <row r="1568" spans="1:30" x14ac:dyDescent="0.25">
      <c r="A1568">
        <v>781</v>
      </c>
      <c r="B1568">
        <v>66</v>
      </c>
      <c r="C1568" t="s">
        <v>3189</v>
      </c>
      <c r="D1568" t="s">
        <v>598</v>
      </c>
      <c r="E1568" t="s">
        <v>167</v>
      </c>
      <c r="F1568" t="s">
        <v>3190</v>
      </c>
      <c r="G1568" t="str">
        <f>"200802001051"</f>
        <v>200802001051</v>
      </c>
      <c r="H1568">
        <v>913</v>
      </c>
      <c r="I1568">
        <v>0</v>
      </c>
      <c r="J1568">
        <v>0</v>
      </c>
      <c r="K1568">
        <v>0</v>
      </c>
      <c r="L1568">
        <v>0</v>
      </c>
      <c r="M1568">
        <v>0</v>
      </c>
      <c r="N1568">
        <v>30</v>
      </c>
      <c r="O1568">
        <v>0</v>
      </c>
      <c r="P1568">
        <v>0</v>
      </c>
      <c r="Q1568">
        <v>0</v>
      </c>
      <c r="R1568">
        <v>0</v>
      </c>
      <c r="S1568">
        <v>0</v>
      </c>
      <c r="T1568">
        <v>0</v>
      </c>
      <c r="U1568">
        <v>0</v>
      </c>
      <c r="V1568">
        <v>35</v>
      </c>
      <c r="W1568">
        <v>245</v>
      </c>
      <c r="X1568">
        <v>0</v>
      </c>
      <c r="Z1568">
        <v>0</v>
      </c>
      <c r="AA1568">
        <v>0</v>
      </c>
      <c r="AB1568">
        <v>0</v>
      </c>
      <c r="AC1568">
        <v>0</v>
      </c>
      <c r="AD1568">
        <v>1188</v>
      </c>
    </row>
    <row r="1569" spans="1:30" x14ac:dyDescent="0.25">
      <c r="H1569" t="s">
        <v>3191</v>
      </c>
    </row>
    <row r="1570" spans="1:30" x14ac:dyDescent="0.25">
      <c r="A1570">
        <v>782</v>
      </c>
      <c r="B1570">
        <v>4743</v>
      </c>
      <c r="C1570" t="s">
        <v>3192</v>
      </c>
      <c r="D1570" t="s">
        <v>615</v>
      </c>
      <c r="E1570" t="s">
        <v>3193</v>
      </c>
      <c r="F1570" t="s">
        <v>3194</v>
      </c>
      <c r="G1570" t="str">
        <f>"00226261"</f>
        <v>00226261</v>
      </c>
      <c r="H1570">
        <v>814</v>
      </c>
      <c r="I1570">
        <v>0</v>
      </c>
      <c r="J1570">
        <v>0</v>
      </c>
      <c r="K1570">
        <v>0</v>
      </c>
      <c r="L1570">
        <v>0</v>
      </c>
      <c r="M1570">
        <v>0</v>
      </c>
      <c r="N1570">
        <v>0</v>
      </c>
      <c r="O1570">
        <v>0</v>
      </c>
      <c r="P1570">
        <v>0</v>
      </c>
      <c r="Q1570">
        <v>0</v>
      </c>
      <c r="R1570">
        <v>0</v>
      </c>
      <c r="S1570">
        <v>0</v>
      </c>
      <c r="T1570">
        <v>0</v>
      </c>
      <c r="U1570">
        <v>0</v>
      </c>
      <c r="V1570">
        <v>53</v>
      </c>
      <c r="W1570">
        <v>371</v>
      </c>
      <c r="X1570">
        <v>0</v>
      </c>
      <c r="Z1570">
        <v>0</v>
      </c>
      <c r="AA1570">
        <v>0</v>
      </c>
      <c r="AB1570">
        <v>0</v>
      </c>
      <c r="AC1570">
        <v>0</v>
      </c>
      <c r="AD1570">
        <v>1185</v>
      </c>
    </row>
    <row r="1571" spans="1:30" x14ac:dyDescent="0.25">
      <c r="H1571" t="s">
        <v>3195</v>
      </c>
    </row>
    <row r="1572" spans="1:30" x14ac:dyDescent="0.25">
      <c r="A1572">
        <v>783</v>
      </c>
      <c r="B1572">
        <v>6221</v>
      </c>
      <c r="C1572" t="s">
        <v>3196</v>
      </c>
      <c r="D1572" t="s">
        <v>191</v>
      </c>
      <c r="E1572" t="s">
        <v>76</v>
      </c>
      <c r="F1572" t="s">
        <v>3197</v>
      </c>
      <c r="G1572" t="str">
        <f>"00366726"</f>
        <v>00366726</v>
      </c>
      <c r="H1572" t="s">
        <v>2497</v>
      </c>
      <c r="I1572">
        <v>0</v>
      </c>
      <c r="J1572">
        <v>0</v>
      </c>
      <c r="K1572">
        <v>0</v>
      </c>
      <c r="L1572">
        <v>0</v>
      </c>
      <c r="M1572">
        <v>0</v>
      </c>
      <c r="N1572">
        <v>0</v>
      </c>
      <c r="O1572">
        <v>0</v>
      </c>
      <c r="P1572">
        <v>0</v>
      </c>
      <c r="Q1572">
        <v>0</v>
      </c>
      <c r="R1572">
        <v>0</v>
      </c>
      <c r="S1572">
        <v>0</v>
      </c>
      <c r="T1572">
        <v>0</v>
      </c>
      <c r="U1572">
        <v>0</v>
      </c>
      <c r="V1572">
        <v>72</v>
      </c>
      <c r="W1572">
        <v>504</v>
      </c>
      <c r="X1572">
        <v>0</v>
      </c>
      <c r="Z1572">
        <v>0</v>
      </c>
      <c r="AA1572">
        <v>0</v>
      </c>
      <c r="AB1572">
        <v>0</v>
      </c>
      <c r="AC1572">
        <v>0</v>
      </c>
      <c r="AD1572" t="s">
        <v>3198</v>
      </c>
    </row>
    <row r="1573" spans="1:30" x14ac:dyDescent="0.25">
      <c r="H1573" t="s">
        <v>3199</v>
      </c>
    </row>
    <row r="1574" spans="1:30" x14ac:dyDescent="0.25">
      <c r="A1574">
        <v>784</v>
      </c>
      <c r="B1574">
        <v>5492</v>
      </c>
      <c r="C1574" t="s">
        <v>3200</v>
      </c>
      <c r="D1574" t="s">
        <v>306</v>
      </c>
      <c r="E1574" t="s">
        <v>107</v>
      </c>
      <c r="F1574" t="s">
        <v>3201</v>
      </c>
      <c r="G1574" t="str">
        <f>"00159732"</f>
        <v>00159732</v>
      </c>
      <c r="H1574" t="s">
        <v>1884</v>
      </c>
      <c r="I1574">
        <v>0</v>
      </c>
      <c r="J1574">
        <v>0</v>
      </c>
      <c r="K1574">
        <v>0</v>
      </c>
      <c r="L1574">
        <v>0</v>
      </c>
      <c r="M1574">
        <v>0</v>
      </c>
      <c r="N1574">
        <v>0</v>
      </c>
      <c r="O1574">
        <v>0</v>
      </c>
      <c r="P1574">
        <v>0</v>
      </c>
      <c r="Q1574">
        <v>0</v>
      </c>
      <c r="R1574">
        <v>0</v>
      </c>
      <c r="S1574">
        <v>0</v>
      </c>
      <c r="T1574">
        <v>0</v>
      </c>
      <c r="U1574">
        <v>0</v>
      </c>
      <c r="V1574">
        <v>63</v>
      </c>
      <c r="W1574">
        <v>441</v>
      </c>
      <c r="X1574">
        <v>0</v>
      </c>
      <c r="Z1574">
        <v>0</v>
      </c>
      <c r="AA1574">
        <v>0</v>
      </c>
      <c r="AB1574">
        <v>0</v>
      </c>
      <c r="AC1574">
        <v>0</v>
      </c>
      <c r="AD1574" t="s">
        <v>3202</v>
      </c>
    </row>
    <row r="1575" spans="1:30" x14ac:dyDescent="0.25">
      <c r="H1575">
        <v>1255</v>
      </c>
    </row>
    <row r="1576" spans="1:30" x14ac:dyDescent="0.25">
      <c r="A1576">
        <v>785</v>
      </c>
      <c r="B1576">
        <v>1028</v>
      </c>
      <c r="C1576" t="s">
        <v>3189</v>
      </c>
      <c r="D1576" t="s">
        <v>393</v>
      </c>
      <c r="E1576" t="s">
        <v>167</v>
      </c>
      <c r="F1576" t="s">
        <v>3203</v>
      </c>
      <c r="G1576" t="str">
        <f>"200802001745"</f>
        <v>200802001745</v>
      </c>
      <c r="H1576">
        <v>902</v>
      </c>
      <c r="I1576">
        <v>0</v>
      </c>
      <c r="J1576">
        <v>0</v>
      </c>
      <c r="K1576">
        <v>0</v>
      </c>
      <c r="L1576">
        <v>0</v>
      </c>
      <c r="M1576">
        <v>0</v>
      </c>
      <c r="N1576">
        <v>30</v>
      </c>
      <c r="O1576">
        <v>0</v>
      </c>
      <c r="P1576">
        <v>0</v>
      </c>
      <c r="Q1576">
        <v>0</v>
      </c>
      <c r="R1576">
        <v>0</v>
      </c>
      <c r="S1576">
        <v>0</v>
      </c>
      <c r="T1576">
        <v>0</v>
      </c>
      <c r="U1576">
        <v>0</v>
      </c>
      <c r="V1576">
        <v>36</v>
      </c>
      <c r="W1576">
        <v>252</v>
      </c>
      <c r="X1576">
        <v>0</v>
      </c>
      <c r="Z1576">
        <v>0</v>
      </c>
      <c r="AA1576">
        <v>0</v>
      </c>
      <c r="AB1576">
        <v>0</v>
      </c>
      <c r="AC1576">
        <v>0</v>
      </c>
      <c r="AD1576">
        <v>1184</v>
      </c>
    </row>
    <row r="1577" spans="1:30" x14ac:dyDescent="0.25">
      <c r="H1577" t="s">
        <v>3204</v>
      </c>
    </row>
    <row r="1578" spans="1:30" x14ac:dyDescent="0.25">
      <c r="A1578">
        <v>786</v>
      </c>
      <c r="B1578">
        <v>724</v>
      </c>
      <c r="C1578" t="s">
        <v>3205</v>
      </c>
      <c r="D1578" t="s">
        <v>444</v>
      </c>
      <c r="E1578" t="s">
        <v>102</v>
      </c>
      <c r="F1578" t="s">
        <v>3206</v>
      </c>
      <c r="G1578" t="str">
        <f>"201402008116"</f>
        <v>201402008116</v>
      </c>
      <c r="H1578" t="s">
        <v>285</v>
      </c>
      <c r="I1578">
        <v>0</v>
      </c>
      <c r="J1578">
        <v>0</v>
      </c>
      <c r="K1578">
        <v>0</v>
      </c>
      <c r="L1578">
        <v>200</v>
      </c>
      <c r="M1578">
        <v>0</v>
      </c>
      <c r="N1578">
        <v>50</v>
      </c>
      <c r="O1578">
        <v>0</v>
      </c>
      <c r="P1578">
        <v>0</v>
      </c>
      <c r="Q1578">
        <v>0</v>
      </c>
      <c r="R1578">
        <v>0</v>
      </c>
      <c r="S1578">
        <v>0</v>
      </c>
      <c r="T1578">
        <v>0</v>
      </c>
      <c r="U1578">
        <v>0</v>
      </c>
      <c r="V1578">
        <v>35</v>
      </c>
      <c r="W1578">
        <v>245</v>
      </c>
      <c r="X1578">
        <v>0</v>
      </c>
      <c r="Z1578">
        <v>0</v>
      </c>
      <c r="AA1578">
        <v>0</v>
      </c>
      <c r="AB1578">
        <v>0</v>
      </c>
      <c r="AC1578">
        <v>0</v>
      </c>
      <c r="AD1578" t="s">
        <v>3207</v>
      </c>
    </row>
    <row r="1579" spans="1:30" x14ac:dyDescent="0.25">
      <c r="H1579" t="s">
        <v>3208</v>
      </c>
    </row>
    <row r="1580" spans="1:30" x14ac:dyDescent="0.25">
      <c r="A1580">
        <v>787</v>
      </c>
      <c r="B1580">
        <v>5939</v>
      </c>
      <c r="C1580" t="s">
        <v>3209</v>
      </c>
      <c r="D1580" t="s">
        <v>236</v>
      </c>
      <c r="E1580" t="s">
        <v>389</v>
      </c>
      <c r="F1580" t="s">
        <v>3210</v>
      </c>
      <c r="G1580" t="str">
        <f>"00158892"</f>
        <v>00158892</v>
      </c>
      <c r="H1580">
        <v>825</v>
      </c>
      <c r="I1580">
        <v>0</v>
      </c>
      <c r="J1580">
        <v>0</v>
      </c>
      <c r="K1580">
        <v>0</v>
      </c>
      <c r="L1580">
        <v>0</v>
      </c>
      <c r="M1580">
        <v>0</v>
      </c>
      <c r="N1580">
        <v>0</v>
      </c>
      <c r="O1580">
        <v>0</v>
      </c>
      <c r="P1580">
        <v>0</v>
      </c>
      <c r="Q1580">
        <v>0</v>
      </c>
      <c r="R1580">
        <v>0</v>
      </c>
      <c r="S1580">
        <v>0</v>
      </c>
      <c r="T1580">
        <v>0</v>
      </c>
      <c r="U1580">
        <v>0</v>
      </c>
      <c r="V1580">
        <v>51</v>
      </c>
      <c r="W1580">
        <v>357</v>
      </c>
      <c r="X1580">
        <v>0</v>
      </c>
      <c r="Z1580">
        <v>1</v>
      </c>
      <c r="AA1580">
        <v>0</v>
      </c>
      <c r="AB1580">
        <v>0</v>
      </c>
      <c r="AC1580">
        <v>0</v>
      </c>
      <c r="AD1580">
        <v>1182</v>
      </c>
    </row>
    <row r="1581" spans="1:30" x14ac:dyDescent="0.25">
      <c r="H1581" t="s">
        <v>3211</v>
      </c>
    </row>
    <row r="1582" spans="1:30" x14ac:dyDescent="0.25">
      <c r="A1582">
        <v>788</v>
      </c>
      <c r="B1582">
        <v>2694</v>
      </c>
      <c r="C1582" t="s">
        <v>3212</v>
      </c>
      <c r="D1582" t="s">
        <v>39</v>
      </c>
      <c r="E1582" t="s">
        <v>49</v>
      </c>
      <c r="F1582" t="s">
        <v>3213</v>
      </c>
      <c r="G1582" t="str">
        <f>"201406015109"</f>
        <v>201406015109</v>
      </c>
      <c r="H1582">
        <v>660</v>
      </c>
      <c r="I1582">
        <v>0</v>
      </c>
      <c r="J1582">
        <v>0</v>
      </c>
      <c r="K1582">
        <v>0</v>
      </c>
      <c r="L1582">
        <v>0</v>
      </c>
      <c r="M1582">
        <v>0</v>
      </c>
      <c r="N1582">
        <v>0</v>
      </c>
      <c r="O1582">
        <v>0</v>
      </c>
      <c r="P1582">
        <v>0</v>
      </c>
      <c r="Q1582">
        <v>0</v>
      </c>
      <c r="R1582">
        <v>0</v>
      </c>
      <c r="S1582">
        <v>0</v>
      </c>
      <c r="T1582">
        <v>0</v>
      </c>
      <c r="U1582">
        <v>0</v>
      </c>
      <c r="V1582">
        <v>16</v>
      </c>
      <c r="W1582">
        <v>112</v>
      </c>
      <c r="X1582">
        <v>0</v>
      </c>
      <c r="Z1582">
        <v>0</v>
      </c>
      <c r="AA1582">
        <v>0</v>
      </c>
      <c r="AB1582">
        <v>24</v>
      </c>
      <c r="AC1582">
        <v>408</v>
      </c>
      <c r="AD1582">
        <v>1180</v>
      </c>
    </row>
    <row r="1583" spans="1:30" x14ac:dyDescent="0.25">
      <c r="H1583" t="s">
        <v>3214</v>
      </c>
    </row>
    <row r="1584" spans="1:30" x14ac:dyDescent="0.25">
      <c r="A1584">
        <v>789</v>
      </c>
      <c r="B1584">
        <v>41</v>
      </c>
      <c r="C1584" t="s">
        <v>3038</v>
      </c>
      <c r="D1584" t="s">
        <v>397</v>
      </c>
      <c r="E1584" t="s">
        <v>107</v>
      </c>
      <c r="F1584" t="s">
        <v>3215</v>
      </c>
      <c r="G1584" t="str">
        <f>"201511009441"</f>
        <v>201511009441</v>
      </c>
      <c r="H1584" t="s">
        <v>688</v>
      </c>
      <c r="I1584">
        <v>0</v>
      </c>
      <c r="J1584">
        <v>0</v>
      </c>
      <c r="K1584">
        <v>0</v>
      </c>
      <c r="L1584">
        <v>0</v>
      </c>
      <c r="M1584">
        <v>0</v>
      </c>
      <c r="N1584">
        <v>30</v>
      </c>
      <c r="O1584">
        <v>0</v>
      </c>
      <c r="P1584">
        <v>0</v>
      </c>
      <c r="Q1584">
        <v>0</v>
      </c>
      <c r="R1584">
        <v>0</v>
      </c>
      <c r="S1584">
        <v>0</v>
      </c>
      <c r="T1584">
        <v>0</v>
      </c>
      <c r="U1584">
        <v>0</v>
      </c>
      <c r="V1584">
        <v>53</v>
      </c>
      <c r="W1584">
        <v>371</v>
      </c>
      <c r="X1584">
        <v>0</v>
      </c>
      <c r="Z1584">
        <v>0</v>
      </c>
      <c r="AA1584">
        <v>0</v>
      </c>
      <c r="AB1584">
        <v>0</v>
      </c>
      <c r="AC1584">
        <v>0</v>
      </c>
      <c r="AD1584" t="s">
        <v>3216</v>
      </c>
    </row>
    <row r="1585" spans="1:30" x14ac:dyDescent="0.25">
      <c r="H1585" t="s">
        <v>3217</v>
      </c>
    </row>
    <row r="1586" spans="1:30" x14ac:dyDescent="0.25">
      <c r="A1586">
        <v>790</v>
      </c>
      <c r="B1586">
        <v>4733</v>
      </c>
      <c r="C1586" t="s">
        <v>3218</v>
      </c>
      <c r="D1586" t="s">
        <v>3219</v>
      </c>
      <c r="E1586" t="s">
        <v>254</v>
      </c>
      <c r="F1586" t="s">
        <v>3220</v>
      </c>
      <c r="G1586" t="str">
        <f>"00230271"</f>
        <v>00230271</v>
      </c>
      <c r="H1586" t="s">
        <v>3221</v>
      </c>
      <c r="I1586">
        <v>0</v>
      </c>
      <c r="J1586">
        <v>0</v>
      </c>
      <c r="K1586">
        <v>0</v>
      </c>
      <c r="L1586">
        <v>0</v>
      </c>
      <c r="M1586">
        <v>0</v>
      </c>
      <c r="N1586">
        <v>30</v>
      </c>
      <c r="O1586">
        <v>0</v>
      </c>
      <c r="P1586">
        <v>0</v>
      </c>
      <c r="Q1586">
        <v>0</v>
      </c>
      <c r="R1586">
        <v>0</v>
      </c>
      <c r="S1586">
        <v>0</v>
      </c>
      <c r="T1586">
        <v>0</v>
      </c>
      <c r="U1586">
        <v>0</v>
      </c>
      <c r="V1586">
        <v>50</v>
      </c>
      <c r="W1586">
        <v>350</v>
      </c>
      <c r="X1586">
        <v>0</v>
      </c>
      <c r="Z1586">
        <v>0</v>
      </c>
      <c r="AA1586">
        <v>0</v>
      </c>
      <c r="AB1586">
        <v>0</v>
      </c>
      <c r="AC1586">
        <v>0</v>
      </c>
      <c r="AD1586" t="s">
        <v>3222</v>
      </c>
    </row>
    <row r="1587" spans="1:30" x14ac:dyDescent="0.25">
      <c r="H1587" t="s">
        <v>3223</v>
      </c>
    </row>
    <row r="1588" spans="1:30" x14ac:dyDescent="0.25">
      <c r="A1588">
        <v>791</v>
      </c>
      <c r="B1588">
        <v>5484</v>
      </c>
      <c r="C1588" t="s">
        <v>3224</v>
      </c>
      <c r="D1588" t="s">
        <v>629</v>
      </c>
      <c r="E1588" t="s">
        <v>325</v>
      </c>
      <c r="F1588" t="s">
        <v>3225</v>
      </c>
      <c r="G1588" t="str">
        <f>"00334557"</f>
        <v>00334557</v>
      </c>
      <c r="H1588" t="s">
        <v>591</v>
      </c>
      <c r="I1588">
        <v>0</v>
      </c>
      <c r="J1588">
        <v>0</v>
      </c>
      <c r="K1588">
        <v>0</v>
      </c>
      <c r="L1588">
        <v>0</v>
      </c>
      <c r="M1588">
        <v>0</v>
      </c>
      <c r="N1588">
        <v>30</v>
      </c>
      <c r="O1588">
        <v>0</v>
      </c>
      <c r="P1588">
        <v>0</v>
      </c>
      <c r="Q1588">
        <v>0</v>
      </c>
      <c r="R1588">
        <v>0</v>
      </c>
      <c r="S1588">
        <v>0</v>
      </c>
      <c r="T1588">
        <v>0</v>
      </c>
      <c r="U1588">
        <v>0</v>
      </c>
      <c r="V1588">
        <v>4</v>
      </c>
      <c r="W1588">
        <v>28</v>
      </c>
      <c r="X1588">
        <v>0</v>
      </c>
      <c r="Z1588">
        <v>0</v>
      </c>
      <c r="AA1588">
        <v>0</v>
      </c>
      <c r="AB1588">
        <v>24</v>
      </c>
      <c r="AC1588">
        <v>408</v>
      </c>
      <c r="AD1588" t="s">
        <v>3226</v>
      </c>
    </row>
    <row r="1589" spans="1:30" x14ac:dyDescent="0.25">
      <c r="H1589" t="s">
        <v>1327</v>
      </c>
    </row>
    <row r="1590" spans="1:30" x14ac:dyDescent="0.25">
      <c r="A1590">
        <v>792</v>
      </c>
      <c r="B1590">
        <v>2851</v>
      </c>
      <c r="C1590" t="s">
        <v>3227</v>
      </c>
      <c r="D1590" t="s">
        <v>32</v>
      </c>
      <c r="E1590" t="s">
        <v>167</v>
      </c>
      <c r="F1590" t="s">
        <v>3228</v>
      </c>
      <c r="G1590" t="str">
        <f>"200806000407"</f>
        <v>200806000407</v>
      </c>
      <c r="H1590">
        <v>627</v>
      </c>
      <c r="I1590">
        <v>150</v>
      </c>
      <c r="J1590">
        <v>0</v>
      </c>
      <c r="K1590">
        <v>0</v>
      </c>
      <c r="L1590">
        <v>200</v>
      </c>
      <c r="M1590">
        <v>0</v>
      </c>
      <c r="N1590">
        <v>30</v>
      </c>
      <c r="O1590">
        <v>0</v>
      </c>
      <c r="P1590">
        <v>0</v>
      </c>
      <c r="Q1590">
        <v>0</v>
      </c>
      <c r="R1590">
        <v>0</v>
      </c>
      <c r="S1590">
        <v>0</v>
      </c>
      <c r="T1590">
        <v>0</v>
      </c>
      <c r="U1590">
        <v>0</v>
      </c>
      <c r="V1590">
        <v>24</v>
      </c>
      <c r="W1590">
        <v>168</v>
      </c>
      <c r="X1590">
        <v>0</v>
      </c>
      <c r="Z1590">
        <v>0</v>
      </c>
      <c r="AA1590">
        <v>0</v>
      </c>
      <c r="AB1590">
        <v>0</v>
      </c>
      <c r="AC1590">
        <v>0</v>
      </c>
      <c r="AD1590">
        <v>1175</v>
      </c>
    </row>
    <row r="1591" spans="1:30" x14ac:dyDescent="0.25">
      <c r="H1591" t="s">
        <v>3229</v>
      </c>
    </row>
    <row r="1592" spans="1:30" x14ac:dyDescent="0.25">
      <c r="A1592">
        <v>793</v>
      </c>
      <c r="B1592">
        <v>1853</v>
      </c>
      <c r="C1592" t="s">
        <v>1901</v>
      </c>
      <c r="D1592" t="s">
        <v>283</v>
      </c>
      <c r="E1592" t="s">
        <v>57</v>
      </c>
      <c r="F1592" t="s">
        <v>3230</v>
      </c>
      <c r="G1592" t="str">
        <f>"00229389"</f>
        <v>00229389</v>
      </c>
      <c r="H1592" t="s">
        <v>3231</v>
      </c>
      <c r="I1592">
        <v>0</v>
      </c>
      <c r="J1592">
        <v>0</v>
      </c>
      <c r="K1592">
        <v>0</v>
      </c>
      <c r="L1592">
        <v>0</v>
      </c>
      <c r="M1592">
        <v>0</v>
      </c>
      <c r="N1592">
        <v>30</v>
      </c>
      <c r="O1592">
        <v>0</v>
      </c>
      <c r="P1592">
        <v>0</v>
      </c>
      <c r="Q1592">
        <v>0</v>
      </c>
      <c r="R1592">
        <v>0</v>
      </c>
      <c r="S1592">
        <v>0</v>
      </c>
      <c r="T1592">
        <v>0</v>
      </c>
      <c r="U1592">
        <v>0</v>
      </c>
      <c r="V1592">
        <v>35</v>
      </c>
      <c r="W1592">
        <v>245</v>
      </c>
      <c r="X1592">
        <v>0</v>
      </c>
      <c r="Z1592">
        <v>0</v>
      </c>
      <c r="AA1592">
        <v>0</v>
      </c>
      <c r="AB1592">
        <v>0</v>
      </c>
      <c r="AC1592">
        <v>0</v>
      </c>
      <c r="AD1592" t="s">
        <v>3232</v>
      </c>
    </row>
    <row r="1593" spans="1:30" x14ac:dyDescent="0.25">
      <c r="H1593" t="s">
        <v>3233</v>
      </c>
    </row>
    <row r="1594" spans="1:30" x14ac:dyDescent="0.25">
      <c r="A1594">
        <v>794</v>
      </c>
      <c r="B1594">
        <v>2252</v>
      </c>
      <c r="C1594" t="s">
        <v>3234</v>
      </c>
      <c r="D1594" t="s">
        <v>2273</v>
      </c>
      <c r="E1594" t="s">
        <v>368</v>
      </c>
      <c r="F1594" t="s">
        <v>3235</v>
      </c>
      <c r="G1594" t="str">
        <f>"200712000747"</f>
        <v>200712000747</v>
      </c>
      <c r="H1594">
        <v>759</v>
      </c>
      <c r="I1594">
        <v>0</v>
      </c>
      <c r="J1594">
        <v>0</v>
      </c>
      <c r="K1594">
        <v>0</v>
      </c>
      <c r="L1594">
        <v>0</v>
      </c>
      <c r="M1594">
        <v>0</v>
      </c>
      <c r="N1594">
        <v>70</v>
      </c>
      <c r="O1594">
        <v>0</v>
      </c>
      <c r="P1594">
        <v>0</v>
      </c>
      <c r="Q1594">
        <v>30</v>
      </c>
      <c r="R1594">
        <v>0</v>
      </c>
      <c r="S1594">
        <v>0</v>
      </c>
      <c r="T1594">
        <v>0</v>
      </c>
      <c r="U1594">
        <v>0</v>
      </c>
      <c r="V1594">
        <v>45</v>
      </c>
      <c r="W1594">
        <v>315</v>
      </c>
      <c r="X1594">
        <v>0</v>
      </c>
      <c r="Z1594">
        <v>0</v>
      </c>
      <c r="AA1594">
        <v>0</v>
      </c>
      <c r="AB1594">
        <v>0</v>
      </c>
      <c r="AC1594">
        <v>0</v>
      </c>
      <c r="AD1594">
        <v>1174</v>
      </c>
    </row>
    <row r="1595" spans="1:30" x14ac:dyDescent="0.25">
      <c r="H1595" t="s">
        <v>3236</v>
      </c>
    </row>
    <row r="1596" spans="1:30" x14ac:dyDescent="0.25">
      <c r="A1596">
        <v>795</v>
      </c>
      <c r="B1596">
        <v>1739</v>
      </c>
      <c r="C1596" t="s">
        <v>3237</v>
      </c>
      <c r="D1596" t="s">
        <v>107</v>
      </c>
      <c r="E1596" t="s">
        <v>542</v>
      </c>
      <c r="F1596" t="s">
        <v>3238</v>
      </c>
      <c r="G1596" t="str">
        <f>"00247827"</f>
        <v>00247827</v>
      </c>
      <c r="H1596" t="s">
        <v>3239</v>
      </c>
      <c r="I1596">
        <v>0</v>
      </c>
      <c r="J1596">
        <v>0</v>
      </c>
      <c r="K1596">
        <v>0</v>
      </c>
      <c r="L1596">
        <v>200</v>
      </c>
      <c r="M1596">
        <v>0</v>
      </c>
      <c r="N1596">
        <v>70</v>
      </c>
      <c r="O1596">
        <v>0</v>
      </c>
      <c r="P1596">
        <v>0</v>
      </c>
      <c r="Q1596">
        <v>0</v>
      </c>
      <c r="R1596">
        <v>0</v>
      </c>
      <c r="S1596">
        <v>0</v>
      </c>
      <c r="T1596">
        <v>0</v>
      </c>
      <c r="U1596">
        <v>0</v>
      </c>
      <c r="V1596">
        <v>0</v>
      </c>
      <c r="W1596">
        <v>0</v>
      </c>
      <c r="X1596">
        <v>0</v>
      </c>
      <c r="Z1596">
        <v>0</v>
      </c>
      <c r="AA1596">
        <v>0</v>
      </c>
      <c r="AB1596">
        <v>0</v>
      </c>
      <c r="AC1596">
        <v>0</v>
      </c>
      <c r="AD1596" t="s">
        <v>3240</v>
      </c>
    </row>
    <row r="1597" spans="1:30" x14ac:dyDescent="0.25">
      <c r="H1597" t="s">
        <v>3241</v>
      </c>
    </row>
    <row r="1598" spans="1:30" x14ac:dyDescent="0.25">
      <c r="A1598">
        <v>796</v>
      </c>
      <c r="B1598">
        <v>5880</v>
      </c>
      <c r="C1598" t="s">
        <v>864</v>
      </c>
      <c r="D1598" t="s">
        <v>3064</v>
      </c>
      <c r="E1598" t="s">
        <v>3242</v>
      </c>
      <c r="F1598" t="s">
        <v>3243</v>
      </c>
      <c r="G1598" t="str">
        <f>"00247876"</f>
        <v>00247876</v>
      </c>
      <c r="H1598">
        <v>704</v>
      </c>
      <c r="I1598">
        <v>0</v>
      </c>
      <c r="J1598">
        <v>0</v>
      </c>
      <c r="K1598">
        <v>0</v>
      </c>
      <c r="L1598">
        <v>0</v>
      </c>
      <c r="M1598">
        <v>0</v>
      </c>
      <c r="N1598">
        <v>0</v>
      </c>
      <c r="O1598">
        <v>0</v>
      </c>
      <c r="P1598">
        <v>0</v>
      </c>
      <c r="Q1598">
        <v>0</v>
      </c>
      <c r="R1598">
        <v>0</v>
      </c>
      <c r="S1598">
        <v>0</v>
      </c>
      <c r="T1598">
        <v>0</v>
      </c>
      <c r="U1598">
        <v>0</v>
      </c>
      <c r="V1598">
        <v>67</v>
      </c>
      <c r="W1598">
        <v>469</v>
      </c>
      <c r="X1598">
        <v>0</v>
      </c>
      <c r="Z1598">
        <v>0</v>
      </c>
      <c r="AA1598">
        <v>0</v>
      </c>
      <c r="AB1598">
        <v>0</v>
      </c>
      <c r="AC1598">
        <v>0</v>
      </c>
      <c r="AD1598">
        <v>1173</v>
      </c>
    </row>
    <row r="1599" spans="1:30" x14ac:dyDescent="0.25">
      <c r="H1599" t="s">
        <v>3244</v>
      </c>
    </row>
    <row r="1600" spans="1:30" x14ac:dyDescent="0.25">
      <c r="A1600">
        <v>797</v>
      </c>
      <c r="B1600">
        <v>3673</v>
      </c>
      <c r="C1600" t="s">
        <v>3245</v>
      </c>
      <c r="D1600" t="s">
        <v>859</v>
      </c>
      <c r="E1600" t="s">
        <v>32</v>
      </c>
      <c r="F1600" t="s">
        <v>3246</v>
      </c>
      <c r="G1600" t="str">
        <f>"201604002449"</f>
        <v>201604002449</v>
      </c>
      <c r="H1600" t="s">
        <v>285</v>
      </c>
      <c r="I1600">
        <v>0</v>
      </c>
      <c r="J1600">
        <v>0</v>
      </c>
      <c r="K1600">
        <v>0</v>
      </c>
      <c r="L1600">
        <v>200</v>
      </c>
      <c r="M1600">
        <v>30</v>
      </c>
      <c r="N1600">
        <v>30</v>
      </c>
      <c r="O1600">
        <v>0</v>
      </c>
      <c r="P1600">
        <v>0</v>
      </c>
      <c r="Q1600">
        <v>0</v>
      </c>
      <c r="R1600">
        <v>0</v>
      </c>
      <c r="S1600">
        <v>0</v>
      </c>
      <c r="T1600">
        <v>0</v>
      </c>
      <c r="U1600">
        <v>0</v>
      </c>
      <c r="V1600">
        <v>32</v>
      </c>
      <c r="W1600">
        <v>224</v>
      </c>
      <c r="X1600">
        <v>0</v>
      </c>
      <c r="Z1600">
        <v>2</v>
      </c>
      <c r="AA1600">
        <v>0</v>
      </c>
      <c r="AB1600">
        <v>0</v>
      </c>
      <c r="AC1600">
        <v>0</v>
      </c>
      <c r="AD1600" t="s">
        <v>3247</v>
      </c>
    </row>
    <row r="1601" spans="1:30" x14ac:dyDescent="0.25">
      <c r="H1601" t="s">
        <v>3248</v>
      </c>
    </row>
    <row r="1602" spans="1:30" x14ac:dyDescent="0.25">
      <c r="A1602">
        <v>798</v>
      </c>
      <c r="B1602">
        <v>6294</v>
      </c>
      <c r="C1602" t="s">
        <v>3249</v>
      </c>
      <c r="D1602" t="s">
        <v>3250</v>
      </c>
      <c r="E1602" t="s">
        <v>64</v>
      </c>
      <c r="F1602" t="s">
        <v>3251</v>
      </c>
      <c r="G1602" t="str">
        <f>"00190621"</f>
        <v>00190621</v>
      </c>
      <c r="H1602" t="s">
        <v>1326</v>
      </c>
      <c r="I1602">
        <v>0</v>
      </c>
      <c r="J1602">
        <v>0</v>
      </c>
      <c r="K1602">
        <v>0</v>
      </c>
      <c r="L1602">
        <v>200</v>
      </c>
      <c r="M1602">
        <v>0</v>
      </c>
      <c r="N1602">
        <v>70</v>
      </c>
      <c r="O1602">
        <v>30</v>
      </c>
      <c r="P1602">
        <v>0</v>
      </c>
      <c r="Q1602">
        <v>0</v>
      </c>
      <c r="R1602">
        <v>0</v>
      </c>
      <c r="S1602">
        <v>0</v>
      </c>
      <c r="T1602">
        <v>0</v>
      </c>
      <c r="U1602">
        <v>0</v>
      </c>
      <c r="V1602">
        <v>17</v>
      </c>
      <c r="W1602">
        <v>119</v>
      </c>
      <c r="X1602">
        <v>0</v>
      </c>
      <c r="Z1602">
        <v>1</v>
      </c>
      <c r="AA1602">
        <v>0</v>
      </c>
      <c r="AB1602">
        <v>0</v>
      </c>
      <c r="AC1602">
        <v>0</v>
      </c>
      <c r="AD1602" t="s">
        <v>3252</v>
      </c>
    </row>
    <row r="1603" spans="1:30" x14ac:dyDescent="0.25">
      <c r="H1603" t="s">
        <v>3253</v>
      </c>
    </row>
    <row r="1604" spans="1:30" x14ac:dyDescent="0.25">
      <c r="A1604">
        <v>799</v>
      </c>
      <c r="B1604">
        <v>1396</v>
      </c>
      <c r="C1604" t="s">
        <v>3254</v>
      </c>
      <c r="D1604" t="s">
        <v>107</v>
      </c>
      <c r="E1604" t="s">
        <v>40</v>
      </c>
      <c r="F1604" t="s">
        <v>3255</v>
      </c>
      <c r="G1604" t="str">
        <f>"201504000936"</f>
        <v>201504000936</v>
      </c>
      <c r="H1604" t="s">
        <v>3256</v>
      </c>
      <c r="I1604">
        <v>0</v>
      </c>
      <c r="J1604">
        <v>0</v>
      </c>
      <c r="K1604">
        <v>0</v>
      </c>
      <c r="L1604">
        <v>0</v>
      </c>
      <c r="M1604">
        <v>0</v>
      </c>
      <c r="N1604">
        <v>30</v>
      </c>
      <c r="O1604">
        <v>0</v>
      </c>
      <c r="P1604">
        <v>0</v>
      </c>
      <c r="Q1604">
        <v>0</v>
      </c>
      <c r="R1604">
        <v>0</v>
      </c>
      <c r="S1604">
        <v>0</v>
      </c>
      <c r="T1604">
        <v>0</v>
      </c>
      <c r="U1604">
        <v>0</v>
      </c>
      <c r="V1604">
        <v>34</v>
      </c>
      <c r="W1604">
        <v>238</v>
      </c>
      <c r="X1604">
        <v>0</v>
      </c>
      <c r="Z1604">
        <v>0</v>
      </c>
      <c r="AA1604">
        <v>0</v>
      </c>
      <c r="AB1604">
        <v>0</v>
      </c>
      <c r="AC1604">
        <v>0</v>
      </c>
      <c r="AD1604" t="s">
        <v>3257</v>
      </c>
    </row>
    <row r="1605" spans="1:30" x14ac:dyDescent="0.25">
      <c r="H1605" t="s">
        <v>3258</v>
      </c>
    </row>
    <row r="1606" spans="1:30" x14ac:dyDescent="0.25">
      <c r="A1606">
        <v>800</v>
      </c>
      <c r="B1606">
        <v>3112</v>
      </c>
      <c r="C1606" t="s">
        <v>1396</v>
      </c>
      <c r="D1606" t="s">
        <v>449</v>
      </c>
      <c r="E1606" t="s">
        <v>76</v>
      </c>
      <c r="F1606" t="s">
        <v>3259</v>
      </c>
      <c r="G1606" t="str">
        <f>"00195951"</f>
        <v>00195951</v>
      </c>
      <c r="H1606" t="s">
        <v>521</v>
      </c>
      <c r="I1606">
        <v>0</v>
      </c>
      <c r="J1606">
        <v>0</v>
      </c>
      <c r="K1606">
        <v>0</v>
      </c>
      <c r="L1606">
        <v>0</v>
      </c>
      <c r="M1606">
        <v>0</v>
      </c>
      <c r="N1606">
        <v>0</v>
      </c>
      <c r="O1606">
        <v>0</v>
      </c>
      <c r="P1606">
        <v>0</v>
      </c>
      <c r="Q1606">
        <v>0</v>
      </c>
      <c r="R1606">
        <v>0</v>
      </c>
      <c r="S1606">
        <v>0</v>
      </c>
      <c r="T1606">
        <v>0</v>
      </c>
      <c r="U1606">
        <v>0</v>
      </c>
      <c r="V1606">
        <v>64</v>
      </c>
      <c r="W1606">
        <v>448</v>
      </c>
      <c r="X1606">
        <v>0</v>
      </c>
      <c r="Z1606">
        <v>1</v>
      </c>
      <c r="AA1606">
        <v>0</v>
      </c>
      <c r="AB1606">
        <v>0</v>
      </c>
      <c r="AC1606">
        <v>0</v>
      </c>
      <c r="AD1606" t="s">
        <v>3260</v>
      </c>
    </row>
    <row r="1607" spans="1:30" x14ac:dyDescent="0.25">
      <c r="H1607" t="s">
        <v>3261</v>
      </c>
    </row>
    <row r="1608" spans="1:30" x14ac:dyDescent="0.25">
      <c r="A1608">
        <v>801</v>
      </c>
      <c r="B1608">
        <v>3661</v>
      </c>
      <c r="C1608" t="s">
        <v>3262</v>
      </c>
      <c r="D1608" t="s">
        <v>425</v>
      </c>
      <c r="E1608" t="s">
        <v>120</v>
      </c>
      <c r="F1608" t="s">
        <v>3263</v>
      </c>
      <c r="G1608" t="str">
        <f>"201406003397"</f>
        <v>201406003397</v>
      </c>
      <c r="H1608">
        <v>616</v>
      </c>
      <c r="I1608">
        <v>0</v>
      </c>
      <c r="J1608">
        <v>0</v>
      </c>
      <c r="K1608">
        <v>0</v>
      </c>
      <c r="L1608">
        <v>0</v>
      </c>
      <c r="M1608">
        <v>0</v>
      </c>
      <c r="N1608">
        <v>30</v>
      </c>
      <c r="O1608">
        <v>0</v>
      </c>
      <c r="P1608">
        <v>0</v>
      </c>
      <c r="Q1608">
        <v>0</v>
      </c>
      <c r="R1608">
        <v>0</v>
      </c>
      <c r="S1608">
        <v>0</v>
      </c>
      <c r="T1608">
        <v>0</v>
      </c>
      <c r="U1608">
        <v>0</v>
      </c>
      <c r="V1608">
        <v>75</v>
      </c>
      <c r="W1608">
        <v>525</v>
      </c>
      <c r="X1608">
        <v>0</v>
      </c>
      <c r="Z1608">
        <v>0</v>
      </c>
      <c r="AA1608">
        <v>0</v>
      </c>
      <c r="AB1608">
        <v>0</v>
      </c>
      <c r="AC1608">
        <v>0</v>
      </c>
      <c r="AD1608">
        <v>1171</v>
      </c>
    </row>
    <row r="1609" spans="1:30" x14ac:dyDescent="0.25">
      <c r="H1609" t="s">
        <v>1191</v>
      </c>
    </row>
    <row r="1610" spans="1:30" x14ac:dyDescent="0.25">
      <c r="A1610">
        <v>802</v>
      </c>
      <c r="B1610">
        <v>2679</v>
      </c>
      <c r="C1610" t="s">
        <v>3264</v>
      </c>
      <c r="D1610" t="s">
        <v>39</v>
      </c>
      <c r="E1610" t="s">
        <v>49</v>
      </c>
      <c r="F1610" t="s">
        <v>3265</v>
      </c>
      <c r="G1610" t="str">
        <f>"201406000450"</f>
        <v>201406000450</v>
      </c>
      <c r="H1610" t="s">
        <v>1791</v>
      </c>
      <c r="I1610">
        <v>0</v>
      </c>
      <c r="J1610">
        <v>0</v>
      </c>
      <c r="K1610">
        <v>0</v>
      </c>
      <c r="L1610">
        <v>0</v>
      </c>
      <c r="M1610">
        <v>0</v>
      </c>
      <c r="N1610">
        <v>50</v>
      </c>
      <c r="O1610">
        <v>0</v>
      </c>
      <c r="P1610">
        <v>0</v>
      </c>
      <c r="Q1610">
        <v>0</v>
      </c>
      <c r="R1610">
        <v>0</v>
      </c>
      <c r="S1610">
        <v>0</v>
      </c>
      <c r="T1610">
        <v>0</v>
      </c>
      <c r="U1610">
        <v>0</v>
      </c>
      <c r="V1610">
        <v>54</v>
      </c>
      <c r="W1610">
        <v>378</v>
      </c>
      <c r="X1610">
        <v>0</v>
      </c>
      <c r="Z1610">
        <v>0</v>
      </c>
      <c r="AA1610">
        <v>0</v>
      </c>
      <c r="AB1610">
        <v>0</v>
      </c>
      <c r="AC1610">
        <v>0</v>
      </c>
      <c r="AD1610" t="s">
        <v>3266</v>
      </c>
    </row>
    <row r="1611" spans="1:30" x14ac:dyDescent="0.25">
      <c r="H1611" t="s">
        <v>3267</v>
      </c>
    </row>
    <row r="1612" spans="1:30" x14ac:dyDescent="0.25">
      <c r="A1612">
        <v>803</v>
      </c>
      <c r="B1612">
        <v>142</v>
      </c>
      <c r="C1612" t="s">
        <v>3268</v>
      </c>
      <c r="D1612" t="s">
        <v>120</v>
      </c>
      <c r="E1612" t="s">
        <v>337</v>
      </c>
      <c r="F1612" t="s">
        <v>3269</v>
      </c>
      <c r="G1612" t="str">
        <f>"201409006670"</f>
        <v>201409006670</v>
      </c>
      <c r="H1612" t="s">
        <v>2036</v>
      </c>
      <c r="I1612">
        <v>0</v>
      </c>
      <c r="J1612">
        <v>0</v>
      </c>
      <c r="K1612">
        <v>0</v>
      </c>
      <c r="L1612">
        <v>0</v>
      </c>
      <c r="M1612">
        <v>0</v>
      </c>
      <c r="N1612">
        <v>30</v>
      </c>
      <c r="O1612">
        <v>0</v>
      </c>
      <c r="P1612">
        <v>0</v>
      </c>
      <c r="Q1612">
        <v>0</v>
      </c>
      <c r="R1612">
        <v>0</v>
      </c>
      <c r="S1612">
        <v>0</v>
      </c>
      <c r="T1612">
        <v>0</v>
      </c>
      <c r="U1612">
        <v>0</v>
      </c>
      <c r="V1612">
        <v>11</v>
      </c>
      <c r="W1612">
        <v>77</v>
      </c>
      <c r="X1612">
        <v>0</v>
      </c>
      <c r="Z1612">
        <v>0</v>
      </c>
      <c r="AA1612">
        <v>0</v>
      </c>
      <c r="AB1612">
        <v>24</v>
      </c>
      <c r="AC1612">
        <v>408</v>
      </c>
      <c r="AD1612" t="s">
        <v>3270</v>
      </c>
    </row>
    <row r="1613" spans="1:30" x14ac:dyDescent="0.25">
      <c r="H1613" t="s">
        <v>879</v>
      </c>
    </row>
    <row r="1614" spans="1:30" x14ac:dyDescent="0.25">
      <c r="A1614">
        <v>804</v>
      </c>
      <c r="B1614">
        <v>3722</v>
      </c>
      <c r="C1614" t="s">
        <v>3271</v>
      </c>
      <c r="D1614" t="s">
        <v>28</v>
      </c>
      <c r="E1614" t="s">
        <v>299</v>
      </c>
      <c r="F1614" t="s">
        <v>3272</v>
      </c>
      <c r="G1614" t="str">
        <f>"00361926"</f>
        <v>00361926</v>
      </c>
      <c r="H1614" t="s">
        <v>2254</v>
      </c>
      <c r="I1614">
        <v>0</v>
      </c>
      <c r="J1614">
        <v>0</v>
      </c>
      <c r="K1614">
        <v>0</v>
      </c>
      <c r="L1614">
        <v>0</v>
      </c>
      <c r="M1614">
        <v>0</v>
      </c>
      <c r="N1614">
        <v>30</v>
      </c>
      <c r="O1614">
        <v>0</v>
      </c>
      <c r="P1614">
        <v>0</v>
      </c>
      <c r="Q1614">
        <v>0</v>
      </c>
      <c r="R1614">
        <v>0</v>
      </c>
      <c r="S1614">
        <v>0</v>
      </c>
      <c r="T1614">
        <v>0</v>
      </c>
      <c r="U1614">
        <v>0</v>
      </c>
      <c r="V1614">
        <v>25</v>
      </c>
      <c r="W1614">
        <v>175</v>
      </c>
      <c r="X1614">
        <v>0</v>
      </c>
      <c r="Z1614">
        <v>0</v>
      </c>
      <c r="AA1614">
        <v>0</v>
      </c>
      <c r="AB1614">
        <v>17</v>
      </c>
      <c r="AC1614">
        <v>289</v>
      </c>
      <c r="AD1614" t="s">
        <v>3273</v>
      </c>
    </row>
    <row r="1615" spans="1:30" x14ac:dyDescent="0.25">
      <c r="H1615" t="s">
        <v>1527</v>
      </c>
    </row>
    <row r="1616" spans="1:30" x14ac:dyDescent="0.25">
      <c r="A1616">
        <v>805</v>
      </c>
      <c r="B1616">
        <v>2910</v>
      </c>
      <c r="C1616" t="s">
        <v>3274</v>
      </c>
      <c r="D1616" t="s">
        <v>1077</v>
      </c>
      <c r="E1616" t="s">
        <v>254</v>
      </c>
      <c r="F1616" t="s">
        <v>3275</v>
      </c>
      <c r="G1616" t="str">
        <f>"201406003542"</f>
        <v>201406003542</v>
      </c>
      <c r="H1616" t="s">
        <v>652</v>
      </c>
      <c r="I1616">
        <v>0</v>
      </c>
      <c r="J1616">
        <v>0</v>
      </c>
      <c r="K1616">
        <v>0</v>
      </c>
      <c r="L1616">
        <v>0</v>
      </c>
      <c r="M1616">
        <v>0</v>
      </c>
      <c r="N1616">
        <v>30</v>
      </c>
      <c r="O1616">
        <v>0</v>
      </c>
      <c r="P1616">
        <v>0</v>
      </c>
      <c r="Q1616">
        <v>0</v>
      </c>
      <c r="R1616">
        <v>0</v>
      </c>
      <c r="S1616">
        <v>0</v>
      </c>
      <c r="T1616">
        <v>0</v>
      </c>
      <c r="U1616">
        <v>0</v>
      </c>
      <c r="V1616">
        <v>60</v>
      </c>
      <c r="W1616">
        <v>420</v>
      </c>
      <c r="X1616">
        <v>0</v>
      </c>
      <c r="Z1616">
        <v>0</v>
      </c>
      <c r="AA1616">
        <v>0</v>
      </c>
      <c r="AB1616">
        <v>0</v>
      </c>
      <c r="AC1616">
        <v>0</v>
      </c>
      <c r="AD1616" t="s">
        <v>3276</v>
      </c>
    </row>
    <row r="1617" spans="1:30" x14ac:dyDescent="0.25">
      <c r="H1617" t="s">
        <v>3277</v>
      </c>
    </row>
    <row r="1618" spans="1:30" x14ac:dyDescent="0.25">
      <c r="A1618">
        <v>806</v>
      </c>
      <c r="B1618">
        <v>6141</v>
      </c>
      <c r="C1618" t="s">
        <v>3278</v>
      </c>
      <c r="D1618" t="s">
        <v>84</v>
      </c>
      <c r="E1618" t="s">
        <v>50</v>
      </c>
      <c r="F1618" t="s">
        <v>3279</v>
      </c>
      <c r="G1618" t="str">
        <f>"00225250"</f>
        <v>00225250</v>
      </c>
      <c r="H1618" t="s">
        <v>919</v>
      </c>
      <c r="I1618">
        <v>150</v>
      </c>
      <c r="J1618">
        <v>0</v>
      </c>
      <c r="K1618">
        <v>0</v>
      </c>
      <c r="L1618">
        <v>200</v>
      </c>
      <c r="M1618">
        <v>0</v>
      </c>
      <c r="N1618">
        <v>70</v>
      </c>
      <c r="O1618">
        <v>0</v>
      </c>
      <c r="P1618">
        <v>0</v>
      </c>
      <c r="Q1618">
        <v>0</v>
      </c>
      <c r="R1618">
        <v>0</v>
      </c>
      <c r="S1618">
        <v>0</v>
      </c>
      <c r="T1618">
        <v>0</v>
      </c>
      <c r="U1618">
        <v>0</v>
      </c>
      <c r="V1618">
        <v>0</v>
      </c>
      <c r="W1618">
        <v>0</v>
      </c>
      <c r="X1618">
        <v>0</v>
      </c>
      <c r="Z1618">
        <v>0</v>
      </c>
      <c r="AA1618">
        <v>0</v>
      </c>
      <c r="AB1618">
        <v>0</v>
      </c>
      <c r="AC1618">
        <v>0</v>
      </c>
      <c r="AD1618" t="s">
        <v>3280</v>
      </c>
    </row>
    <row r="1619" spans="1:30" x14ac:dyDescent="0.25">
      <c r="H1619" t="s">
        <v>3281</v>
      </c>
    </row>
    <row r="1620" spans="1:30" x14ac:dyDescent="0.25">
      <c r="A1620">
        <v>807</v>
      </c>
      <c r="B1620">
        <v>5958</v>
      </c>
      <c r="C1620" t="s">
        <v>308</v>
      </c>
      <c r="D1620" t="s">
        <v>3282</v>
      </c>
      <c r="E1620" t="s">
        <v>337</v>
      </c>
      <c r="F1620" t="s">
        <v>3283</v>
      </c>
      <c r="G1620" t="str">
        <f>"00158418"</f>
        <v>00158418</v>
      </c>
      <c r="H1620">
        <v>715</v>
      </c>
      <c r="I1620">
        <v>0</v>
      </c>
      <c r="J1620">
        <v>0</v>
      </c>
      <c r="K1620">
        <v>0</v>
      </c>
      <c r="L1620">
        <v>0</v>
      </c>
      <c r="M1620">
        <v>0</v>
      </c>
      <c r="N1620">
        <v>30</v>
      </c>
      <c r="O1620">
        <v>0</v>
      </c>
      <c r="P1620">
        <v>0</v>
      </c>
      <c r="Q1620">
        <v>0</v>
      </c>
      <c r="R1620">
        <v>0</v>
      </c>
      <c r="S1620">
        <v>0</v>
      </c>
      <c r="T1620">
        <v>0</v>
      </c>
      <c r="U1620">
        <v>0</v>
      </c>
      <c r="V1620">
        <v>60</v>
      </c>
      <c r="W1620">
        <v>420</v>
      </c>
      <c r="X1620">
        <v>0</v>
      </c>
      <c r="Z1620">
        <v>0</v>
      </c>
      <c r="AA1620">
        <v>0</v>
      </c>
      <c r="AB1620">
        <v>0</v>
      </c>
      <c r="AC1620">
        <v>0</v>
      </c>
      <c r="AD1620">
        <v>1165</v>
      </c>
    </row>
    <row r="1621" spans="1:30" x14ac:dyDescent="0.25">
      <c r="H1621" t="s">
        <v>3284</v>
      </c>
    </row>
    <row r="1622" spans="1:30" x14ac:dyDescent="0.25">
      <c r="A1622">
        <v>808</v>
      </c>
      <c r="B1622">
        <v>3212</v>
      </c>
      <c r="C1622" t="s">
        <v>1110</v>
      </c>
      <c r="D1622" t="s">
        <v>815</v>
      </c>
      <c r="E1622" t="s">
        <v>32</v>
      </c>
      <c r="F1622" t="s">
        <v>3285</v>
      </c>
      <c r="G1622" t="str">
        <f>"00252244"</f>
        <v>00252244</v>
      </c>
      <c r="H1622" t="s">
        <v>1725</v>
      </c>
      <c r="I1622">
        <v>0</v>
      </c>
      <c r="J1622">
        <v>0</v>
      </c>
      <c r="K1622">
        <v>0</v>
      </c>
      <c r="L1622">
        <v>200</v>
      </c>
      <c r="M1622">
        <v>0</v>
      </c>
      <c r="N1622">
        <v>30</v>
      </c>
      <c r="O1622">
        <v>0</v>
      </c>
      <c r="P1622">
        <v>0</v>
      </c>
      <c r="Q1622">
        <v>0</v>
      </c>
      <c r="R1622">
        <v>0</v>
      </c>
      <c r="S1622">
        <v>0</v>
      </c>
      <c r="T1622">
        <v>0</v>
      </c>
      <c r="U1622">
        <v>0</v>
      </c>
      <c r="V1622">
        <v>24</v>
      </c>
      <c r="W1622">
        <v>168</v>
      </c>
      <c r="X1622">
        <v>0</v>
      </c>
      <c r="Z1622">
        <v>2</v>
      </c>
      <c r="AA1622">
        <v>0</v>
      </c>
      <c r="AB1622">
        <v>0</v>
      </c>
      <c r="AC1622">
        <v>0</v>
      </c>
      <c r="AD1622" t="s">
        <v>3286</v>
      </c>
    </row>
    <row r="1623" spans="1:30" x14ac:dyDescent="0.25">
      <c r="H1623" t="s">
        <v>3287</v>
      </c>
    </row>
    <row r="1624" spans="1:30" x14ac:dyDescent="0.25">
      <c r="A1624">
        <v>809</v>
      </c>
      <c r="B1624">
        <v>2276</v>
      </c>
      <c r="C1624" t="s">
        <v>3288</v>
      </c>
      <c r="D1624" t="s">
        <v>106</v>
      </c>
      <c r="E1624" t="s">
        <v>102</v>
      </c>
      <c r="F1624" t="s">
        <v>3289</v>
      </c>
      <c r="G1624" t="str">
        <f>"201402000841"</f>
        <v>201402000841</v>
      </c>
      <c r="H1624" t="s">
        <v>1915</v>
      </c>
      <c r="I1624">
        <v>0</v>
      </c>
      <c r="J1624">
        <v>0</v>
      </c>
      <c r="K1624">
        <v>0</v>
      </c>
      <c r="L1624">
        <v>0</v>
      </c>
      <c r="M1624">
        <v>0</v>
      </c>
      <c r="N1624">
        <v>30</v>
      </c>
      <c r="O1624">
        <v>0</v>
      </c>
      <c r="P1624">
        <v>0</v>
      </c>
      <c r="Q1624">
        <v>0</v>
      </c>
      <c r="R1624">
        <v>0</v>
      </c>
      <c r="S1624">
        <v>0</v>
      </c>
      <c r="T1624">
        <v>0</v>
      </c>
      <c r="U1624">
        <v>0</v>
      </c>
      <c r="V1624">
        <v>56</v>
      </c>
      <c r="W1624">
        <v>392</v>
      </c>
      <c r="X1624">
        <v>0</v>
      </c>
      <c r="Z1624">
        <v>0</v>
      </c>
      <c r="AA1624">
        <v>0</v>
      </c>
      <c r="AB1624">
        <v>0</v>
      </c>
      <c r="AC1624">
        <v>0</v>
      </c>
      <c r="AD1624" t="s">
        <v>3290</v>
      </c>
    </row>
    <row r="1625" spans="1:30" x14ac:dyDescent="0.25">
      <c r="H1625" t="s">
        <v>3291</v>
      </c>
    </row>
    <row r="1626" spans="1:30" x14ac:dyDescent="0.25">
      <c r="A1626">
        <v>810</v>
      </c>
      <c r="B1626">
        <v>226</v>
      </c>
      <c r="C1626" t="s">
        <v>3292</v>
      </c>
      <c r="D1626" t="s">
        <v>95</v>
      </c>
      <c r="E1626" t="s">
        <v>309</v>
      </c>
      <c r="F1626" t="s">
        <v>3293</v>
      </c>
      <c r="G1626" t="str">
        <f>"00161018"</f>
        <v>00161018</v>
      </c>
      <c r="H1626" t="s">
        <v>919</v>
      </c>
      <c r="I1626">
        <v>0</v>
      </c>
      <c r="J1626">
        <v>0</v>
      </c>
      <c r="K1626">
        <v>0</v>
      </c>
      <c r="L1626">
        <v>0</v>
      </c>
      <c r="M1626">
        <v>0</v>
      </c>
      <c r="N1626">
        <v>30</v>
      </c>
      <c r="O1626">
        <v>0</v>
      </c>
      <c r="P1626">
        <v>0</v>
      </c>
      <c r="Q1626">
        <v>0</v>
      </c>
      <c r="R1626">
        <v>0</v>
      </c>
      <c r="S1626">
        <v>0</v>
      </c>
      <c r="T1626">
        <v>0</v>
      </c>
      <c r="U1626">
        <v>0</v>
      </c>
      <c r="V1626">
        <v>55</v>
      </c>
      <c r="W1626">
        <v>385</v>
      </c>
      <c r="X1626">
        <v>0</v>
      </c>
      <c r="Z1626">
        <v>0</v>
      </c>
      <c r="AA1626">
        <v>0</v>
      </c>
      <c r="AB1626">
        <v>0</v>
      </c>
      <c r="AC1626">
        <v>0</v>
      </c>
      <c r="AD1626" t="s">
        <v>3294</v>
      </c>
    </row>
    <row r="1627" spans="1:30" x14ac:dyDescent="0.25">
      <c r="H1627" t="s">
        <v>3295</v>
      </c>
    </row>
    <row r="1628" spans="1:30" x14ac:dyDescent="0.25">
      <c r="A1628">
        <v>811</v>
      </c>
      <c r="B1628">
        <v>4781</v>
      </c>
      <c r="C1628" t="s">
        <v>3296</v>
      </c>
      <c r="D1628" t="s">
        <v>167</v>
      </c>
      <c r="E1628" t="s">
        <v>142</v>
      </c>
      <c r="F1628" t="s">
        <v>3297</v>
      </c>
      <c r="G1628" t="str">
        <f>"00348780"</f>
        <v>00348780</v>
      </c>
      <c r="H1628" t="s">
        <v>2006</v>
      </c>
      <c r="I1628">
        <v>0</v>
      </c>
      <c r="J1628">
        <v>0</v>
      </c>
      <c r="K1628">
        <v>0</v>
      </c>
      <c r="L1628">
        <v>0</v>
      </c>
      <c r="M1628">
        <v>0</v>
      </c>
      <c r="N1628">
        <v>70</v>
      </c>
      <c r="O1628">
        <v>0</v>
      </c>
      <c r="P1628">
        <v>50</v>
      </c>
      <c r="Q1628">
        <v>0</v>
      </c>
      <c r="R1628">
        <v>0</v>
      </c>
      <c r="S1628">
        <v>0</v>
      </c>
      <c r="T1628">
        <v>0</v>
      </c>
      <c r="U1628">
        <v>0</v>
      </c>
      <c r="V1628">
        <v>33</v>
      </c>
      <c r="W1628">
        <v>231</v>
      </c>
      <c r="X1628">
        <v>0</v>
      </c>
      <c r="Z1628">
        <v>0</v>
      </c>
      <c r="AA1628">
        <v>0</v>
      </c>
      <c r="AB1628">
        <v>0</v>
      </c>
      <c r="AC1628">
        <v>0</v>
      </c>
      <c r="AD1628" t="s">
        <v>3298</v>
      </c>
    </row>
    <row r="1629" spans="1:30" x14ac:dyDescent="0.25">
      <c r="H1629" t="s">
        <v>3299</v>
      </c>
    </row>
    <row r="1630" spans="1:30" x14ac:dyDescent="0.25">
      <c r="A1630">
        <v>812</v>
      </c>
      <c r="B1630">
        <v>2453</v>
      </c>
      <c r="C1630" t="s">
        <v>3300</v>
      </c>
      <c r="D1630" t="s">
        <v>283</v>
      </c>
      <c r="E1630" t="s">
        <v>389</v>
      </c>
      <c r="F1630" t="s">
        <v>3301</v>
      </c>
      <c r="G1630" t="str">
        <f>"00019302"</f>
        <v>00019302</v>
      </c>
      <c r="H1630" t="s">
        <v>1554</v>
      </c>
      <c r="I1630">
        <v>0</v>
      </c>
      <c r="J1630">
        <v>0</v>
      </c>
      <c r="K1630">
        <v>0</v>
      </c>
      <c r="L1630">
        <v>0</v>
      </c>
      <c r="M1630">
        <v>0</v>
      </c>
      <c r="N1630">
        <v>30</v>
      </c>
      <c r="O1630">
        <v>0</v>
      </c>
      <c r="P1630">
        <v>0</v>
      </c>
      <c r="Q1630">
        <v>0</v>
      </c>
      <c r="R1630">
        <v>0</v>
      </c>
      <c r="S1630">
        <v>0</v>
      </c>
      <c r="T1630">
        <v>0</v>
      </c>
      <c r="U1630">
        <v>0</v>
      </c>
      <c r="V1630">
        <v>49</v>
      </c>
      <c r="W1630">
        <v>343</v>
      </c>
      <c r="X1630">
        <v>0</v>
      </c>
      <c r="Z1630">
        <v>0</v>
      </c>
      <c r="AA1630">
        <v>0</v>
      </c>
      <c r="AB1630">
        <v>0</v>
      </c>
      <c r="AC1630">
        <v>0</v>
      </c>
      <c r="AD1630" t="s">
        <v>3302</v>
      </c>
    </row>
    <row r="1631" spans="1:30" x14ac:dyDescent="0.25">
      <c r="H1631" t="s">
        <v>3303</v>
      </c>
    </row>
    <row r="1632" spans="1:30" x14ac:dyDescent="0.25">
      <c r="A1632">
        <v>813</v>
      </c>
      <c r="B1632">
        <v>5103</v>
      </c>
      <c r="C1632" t="s">
        <v>3304</v>
      </c>
      <c r="D1632" t="s">
        <v>218</v>
      </c>
      <c r="E1632" t="s">
        <v>102</v>
      </c>
      <c r="F1632" t="s">
        <v>3305</v>
      </c>
      <c r="G1632" t="str">
        <f>"201304003330"</f>
        <v>201304003330</v>
      </c>
      <c r="H1632" t="s">
        <v>3306</v>
      </c>
      <c r="I1632">
        <v>0</v>
      </c>
      <c r="J1632">
        <v>0</v>
      </c>
      <c r="K1632">
        <v>0</v>
      </c>
      <c r="L1632">
        <v>0</v>
      </c>
      <c r="M1632">
        <v>0</v>
      </c>
      <c r="N1632">
        <v>50</v>
      </c>
      <c r="O1632">
        <v>0</v>
      </c>
      <c r="P1632">
        <v>0</v>
      </c>
      <c r="Q1632">
        <v>30</v>
      </c>
      <c r="R1632">
        <v>0</v>
      </c>
      <c r="S1632">
        <v>0</v>
      </c>
      <c r="T1632">
        <v>0</v>
      </c>
      <c r="U1632">
        <v>0</v>
      </c>
      <c r="V1632">
        <v>22</v>
      </c>
      <c r="W1632">
        <v>154</v>
      </c>
      <c r="X1632">
        <v>0</v>
      </c>
      <c r="Z1632">
        <v>0</v>
      </c>
      <c r="AA1632">
        <v>0</v>
      </c>
      <c r="AB1632">
        <v>0</v>
      </c>
      <c r="AC1632">
        <v>0</v>
      </c>
      <c r="AD1632" t="s">
        <v>3307</v>
      </c>
    </row>
    <row r="1633" spans="1:30" x14ac:dyDescent="0.25">
      <c r="H1633" t="s">
        <v>3308</v>
      </c>
    </row>
    <row r="1634" spans="1:30" x14ac:dyDescent="0.25">
      <c r="A1634">
        <v>814</v>
      </c>
      <c r="B1634">
        <v>340</v>
      </c>
      <c r="C1634" t="s">
        <v>3309</v>
      </c>
      <c r="D1634" t="s">
        <v>283</v>
      </c>
      <c r="E1634" t="s">
        <v>700</v>
      </c>
      <c r="F1634" t="s">
        <v>3310</v>
      </c>
      <c r="G1634" t="str">
        <f>"201401001539"</f>
        <v>201401001539</v>
      </c>
      <c r="H1634" t="s">
        <v>3311</v>
      </c>
      <c r="I1634">
        <v>0</v>
      </c>
      <c r="J1634">
        <v>0</v>
      </c>
      <c r="K1634">
        <v>0</v>
      </c>
      <c r="L1634">
        <v>0</v>
      </c>
      <c r="M1634">
        <v>0</v>
      </c>
      <c r="N1634">
        <v>30</v>
      </c>
      <c r="O1634">
        <v>0</v>
      </c>
      <c r="P1634">
        <v>0</v>
      </c>
      <c r="Q1634">
        <v>0</v>
      </c>
      <c r="R1634">
        <v>0</v>
      </c>
      <c r="S1634">
        <v>0</v>
      </c>
      <c r="T1634">
        <v>0</v>
      </c>
      <c r="U1634">
        <v>0</v>
      </c>
      <c r="V1634">
        <v>70</v>
      </c>
      <c r="W1634">
        <v>490</v>
      </c>
      <c r="X1634">
        <v>0</v>
      </c>
      <c r="Z1634">
        <v>0</v>
      </c>
      <c r="AA1634">
        <v>0</v>
      </c>
      <c r="AB1634">
        <v>0</v>
      </c>
      <c r="AC1634">
        <v>0</v>
      </c>
      <c r="AD1634" t="s">
        <v>3307</v>
      </c>
    </row>
    <row r="1635" spans="1:30" x14ac:dyDescent="0.25">
      <c r="H1635" t="s">
        <v>3312</v>
      </c>
    </row>
    <row r="1636" spans="1:30" x14ac:dyDescent="0.25">
      <c r="A1636">
        <v>815</v>
      </c>
      <c r="B1636">
        <v>619</v>
      </c>
      <c r="C1636" t="s">
        <v>1351</v>
      </c>
      <c r="D1636" t="s">
        <v>44</v>
      </c>
      <c r="E1636" t="s">
        <v>76</v>
      </c>
      <c r="F1636" t="s">
        <v>3313</v>
      </c>
      <c r="G1636" t="str">
        <f>"201410005739"</f>
        <v>201410005739</v>
      </c>
      <c r="H1636" t="s">
        <v>3314</v>
      </c>
      <c r="I1636">
        <v>0</v>
      </c>
      <c r="J1636">
        <v>0</v>
      </c>
      <c r="K1636">
        <v>0</v>
      </c>
      <c r="L1636">
        <v>0</v>
      </c>
      <c r="M1636">
        <v>0</v>
      </c>
      <c r="N1636">
        <v>50</v>
      </c>
      <c r="O1636">
        <v>0</v>
      </c>
      <c r="P1636">
        <v>0</v>
      </c>
      <c r="Q1636">
        <v>0</v>
      </c>
      <c r="R1636">
        <v>0</v>
      </c>
      <c r="S1636">
        <v>0</v>
      </c>
      <c r="T1636">
        <v>0</v>
      </c>
      <c r="U1636">
        <v>0</v>
      </c>
      <c r="V1636">
        <v>7</v>
      </c>
      <c r="W1636">
        <v>49</v>
      </c>
      <c r="X1636">
        <v>0</v>
      </c>
      <c r="Z1636">
        <v>0</v>
      </c>
      <c r="AA1636">
        <v>0</v>
      </c>
      <c r="AB1636">
        <v>16</v>
      </c>
      <c r="AC1636">
        <v>272</v>
      </c>
      <c r="AD1636" t="s">
        <v>3315</v>
      </c>
    </row>
    <row r="1637" spans="1:30" x14ac:dyDescent="0.25">
      <c r="H1637" t="s">
        <v>570</v>
      </c>
    </row>
    <row r="1638" spans="1:30" x14ac:dyDescent="0.25">
      <c r="A1638">
        <v>816</v>
      </c>
      <c r="B1638">
        <v>5055</v>
      </c>
      <c r="C1638" t="s">
        <v>3316</v>
      </c>
      <c r="D1638" t="s">
        <v>3317</v>
      </c>
      <c r="E1638" t="s">
        <v>32</v>
      </c>
      <c r="F1638" t="s">
        <v>3318</v>
      </c>
      <c r="G1638" t="str">
        <f>"201406016221"</f>
        <v>201406016221</v>
      </c>
      <c r="H1638" t="s">
        <v>1281</v>
      </c>
      <c r="I1638">
        <v>0</v>
      </c>
      <c r="J1638">
        <v>0</v>
      </c>
      <c r="K1638">
        <v>0</v>
      </c>
      <c r="L1638">
        <v>200</v>
      </c>
      <c r="M1638">
        <v>0</v>
      </c>
      <c r="N1638">
        <v>70</v>
      </c>
      <c r="O1638">
        <v>0</v>
      </c>
      <c r="P1638">
        <v>0</v>
      </c>
      <c r="Q1638">
        <v>0</v>
      </c>
      <c r="R1638">
        <v>0</v>
      </c>
      <c r="S1638">
        <v>0</v>
      </c>
      <c r="T1638">
        <v>0</v>
      </c>
      <c r="U1638">
        <v>0</v>
      </c>
      <c r="V1638">
        <v>18</v>
      </c>
      <c r="W1638">
        <v>126</v>
      </c>
      <c r="X1638">
        <v>0</v>
      </c>
      <c r="Z1638">
        <v>0</v>
      </c>
      <c r="AA1638">
        <v>0</v>
      </c>
      <c r="AB1638">
        <v>0</v>
      </c>
      <c r="AC1638">
        <v>0</v>
      </c>
      <c r="AD1638" t="s">
        <v>3319</v>
      </c>
    </row>
    <row r="1639" spans="1:30" x14ac:dyDescent="0.25">
      <c r="H1639" t="s">
        <v>2735</v>
      </c>
    </row>
    <row r="1640" spans="1:30" x14ac:dyDescent="0.25">
      <c r="A1640">
        <v>817</v>
      </c>
      <c r="B1640">
        <v>5625</v>
      </c>
      <c r="C1640" t="s">
        <v>3320</v>
      </c>
      <c r="D1640" t="s">
        <v>453</v>
      </c>
      <c r="E1640" t="s">
        <v>120</v>
      </c>
      <c r="F1640" t="s">
        <v>3321</v>
      </c>
      <c r="G1640" t="str">
        <f>"201406017468"</f>
        <v>201406017468</v>
      </c>
      <c r="H1640" t="s">
        <v>3322</v>
      </c>
      <c r="I1640">
        <v>0</v>
      </c>
      <c r="J1640">
        <v>0</v>
      </c>
      <c r="K1640">
        <v>0</v>
      </c>
      <c r="L1640">
        <v>0</v>
      </c>
      <c r="M1640">
        <v>0</v>
      </c>
      <c r="N1640">
        <v>30</v>
      </c>
      <c r="O1640">
        <v>0</v>
      </c>
      <c r="P1640">
        <v>0</v>
      </c>
      <c r="Q1640">
        <v>0</v>
      </c>
      <c r="R1640">
        <v>0</v>
      </c>
      <c r="S1640">
        <v>0</v>
      </c>
      <c r="T1640">
        <v>0</v>
      </c>
      <c r="U1640">
        <v>0</v>
      </c>
      <c r="V1640">
        <v>67</v>
      </c>
      <c r="W1640">
        <v>469</v>
      </c>
      <c r="X1640">
        <v>0</v>
      </c>
      <c r="Z1640">
        <v>0</v>
      </c>
      <c r="AA1640">
        <v>0</v>
      </c>
      <c r="AB1640">
        <v>0</v>
      </c>
      <c r="AC1640">
        <v>0</v>
      </c>
      <c r="AD1640" t="s">
        <v>3323</v>
      </c>
    </row>
    <row r="1641" spans="1:30" x14ac:dyDescent="0.25">
      <c r="H1641" t="s">
        <v>3324</v>
      </c>
    </row>
    <row r="1642" spans="1:30" x14ac:dyDescent="0.25">
      <c r="A1642">
        <v>818</v>
      </c>
      <c r="B1642">
        <v>4137</v>
      </c>
      <c r="C1642" t="s">
        <v>3325</v>
      </c>
      <c r="D1642" t="s">
        <v>3326</v>
      </c>
      <c r="E1642" t="s">
        <v>77</v>
      </c>
      <c r="F1642" t="s">
        <v>3327</v>
      </c>
      <c r="G1642" t="str">
        <f>"00174045"</f>
        <v>00174045</v>
      </c>
      <c r="H1642" t="s">
        <v>1326</v>
      </c>
      <c r="I1642">
        <v>0</v>
      </c>
      <c r="J1642">
        <v>0</v>
      </c>
      <c r="K1642">
        <v>0</v>
      </c>
      <c r="L1642">
        <v>0</v>
      </c>
      <c r="M1642">
        <v>100</v>
      </c>
      <c r="N1642">
        <v>70</v>
      </c>
      <c r="O1642">
        <v>0</v>
      </c>
      <c r="P1642">
        <v>30</v>
      </c>
      <c r="Q1642">
        <v>0</v>
      </c>
      <c r="R1642">
        <v>0</v>
      </c>
      <c r="S1642">
        <v>0</v>
      </c>
      <c r="T1642">
        <v>0</v>
      </c>
      <c r="U1642">
        <v>0</v>
      </c>
      <c r="V1642">
        <v>29</v>
      </c>
      <c r="W1642">
        <v>203</v>
      </c>
      <c r="X1642">
        <v>0</v>
      </c>
      <c r="Z1642">
        <v>0</v>
      </c>
      <c r="AA1642">
        <v>0</v>
      </c>
      <c r="AB1642">
        <v>0</v>
      </c>
      <c r="AC1642">
        <v>0</v>
      </c>
      <c r="AD1642" t="s">
        <v>3328</v>
      </c>
    </row>
    <row r="1643" spans="1:30" x14ac:dyDescent="0.25">
      <c r="H1643" t="s">
        <v>3329</v>
      </c>
    </row>
    <row r="1644" spans="1:30" x14ac:dyDescent="0.25">
      <c r="A1644">
        <v>819</v>
      </c>
      <c r="B1644">
        <v>1619</v>
      </c>
      <c r="C1644" t="s">
        <v>3330</v>
      </c>
      <c r="D1644" t="s">
        <v>120</v>
      </c>
      <c r="E1644" t="s">
        <v>28</v>
      </c>
      <c r="F1644" t="s">
        <v>3331</v>
      </c>
      <c r="G1644" t="str">
        <f>"201403000038"</f>
        <v>201403000038</v>
      </c>
      <c r="H1644">
        <v>781</v>
      </c>
      <c r="I1644">
        <v>0</v>
      </c>
      <c r="J1644">
        <v>0</v>
      </c>
      <c r="K1644">
        <v>0</v>
      </c>
      <c r="L1644">
        <v>0</v>
      </c>
      <c r="M1644">
        <v>0</v>
      </c>
      <c r="N1644">
        <v>30</v>
      </c>
      <c r="O1644">
        <v>0</v>
      </c>
      <c r="P1644">
        <v>30</v>
      </c>
      <c r="Q1644">
        <v>0</v>
      </c>
      <c r="R1644">
        <v>0</v>
      </c>
      <c r="S1644">
        <v>0</v>
      </c>
      <c r="T1644">
        <v>0</v>
      </c>
      <c r="U1644">
        <v>0</v>
      </c>
      <c r="V1644">
        <v>45</v>
      </c>
      <c r="W1644">
        <v>315</v>
      </c>
      <c r="X1644">
        <v>0</v>
      </c>
      <c r="Z1644">
        <v>0</v>
      </c>
      <c r="AA1644">
        <v>0</v>
      </c>
      <c r="AB1644">
        <v>0</v>
      </c>
      <c r="AC1644">
        <v>0</v>
      </c>
      <c r="AD1644">
        <v>1156</v>
      </c>
    </row>
    <row r="1645" spans="1:30" x14ac:dyDescent="0.25">
      <c r="H1645" t="s">
        <v>3332</v>
      </c>
    </row>
    <row r="1646" spans="1:30" x14ac:dyDescent="0.25">
      <c r="A1646">
        <v>820</v>
      </c>
      <c r="B1646">
        <v>386</v>
      </c>
      <c r="C1646" t="s">
        <v>3333</v>
      </c>
      <c r="D1646" t="s">
        <v>32</v>
      </c>
      <c r="E1646" t="s">
        <v>737</v>
      </c>
      <c r="F1646" t="s">
        <v>3334</v>
      </c>
      <c r="G1646" t="str">
        <f>"00253093"</f>
        <v>00253093</v>
      </c>
      <c r="H1646" t="s">
        <v>573</v>
      </c>
      <c r="I1646">
        <v>0</v>
      </c>
      <c r="J1646">
        <v>0</v>
      </c>
      <c r="K1646">
        <v>0</v>
      </c>
      <c r="L1646">
        <v>0</v>
      </c>
      <c r="M1646">
        <v>0</v>
      </c>
      <c r="N1646">
        <v>30</v>
      </c>
      <c r="O1646">
        <v>30</v>
      </c>
      <c r="P1646">
        <v>0</v>
      </c>
      <c r="Q1646">
        <v>0</v>
      </c>
      <c r="R1646">
        <v>0</v>
      </c>
      <c r="S1646">
        <v>0</v>
      </c>
      <c r="T1646">
        <v>0</v>
      </c>
      <c r="U1646">
        <v>0</v>
      </c>
      <c r="V1646">
        <v>47</v>
      </c>
      <c r="W1646">
        <v>329</v>
      </c>
      <c r="X1646">
        <v>0</v>
      </c>
      <c r="Z1646">
        <v>0</v>
      </c>
      <c r="AA1646">
        <v>0</v>
      </c>
      <c r="AB1646">
        <v>0</v>
      </c>
      <c r="AC1646">
        <v>0</v>
      </c>
      <c r="AD1646" t="s">
        <v>3335</v>
      </c>
    </row>
    <row r="1647" spans="1:30" x14ac:dyDescent="0.25">
      <c r="H1647" t="s">
        <v>3336</v>
      </c>
    </row>
    <row r="1648" spans="1:30" x14ac:dyDescent="0.25">
      <c r="A1648">
        <v>821</v>
      </c>
      <c r="B1648">
        <v>579</v>
      </c>
      <c r="C1648" t="s">
        <v>661</v>
      </c>
      <c r="D1648" t="s">
        <v>283</v>
      </c>
      <c r="E1648" t="s">
        <v>3337</v>
      </c>
      <c r="F1648" t="s">
        <v>3338</v>
      </c>
      <c r="G1648" t="str">
        <f>"00188340"</f>
        <v>00188340</v>
      </c>
      <c r="H1648" t="s">
        <v>1356</v>
      </c>
      <c r="I1648">
        <v>150</v>
      </c>
      <c r="J1648">
        <v>0</v>
      </c>
      <c r="K1648">
        <v>0</v>
      </c>
      <c r="L1648">
        <v>0</v>
      </c>
      <c r="M1648">
        <v>0</v>
      </c>
      <c r="N1648">
        <v>0</v>
      </c>
      <c r="O1648">
        <v>0</v>
      </c>
      <c r="P1648">
        <v>0</v>
      </c>
      <c r="Q1648">
        <v>0</v>
      </c>
      <c r="R1648">
        <v>0</v>
      </c>
      <c r="S1648">
        <v>0</v>
      </c>
      <c r="T1648">
        <v>0</v>
      </c>
      <c r="U1648">
        <v>0</v>
      </c>
      <c r="V1648">
        <v>41</v>
      </c>
      <c r="W1648">
        <v>287</v>
      </c>
      <c r="X1648">
        <v>0</v>
      </c>
      <c r="Z1648">
        <v>2</v>
      </c>
      <c r="AA1648">
        <v>0</v>
      </c>
      <c r="AB1648">
        <v>0</v>
      </c>
      <c r="AC1648">
        <v>0</v>
      </c>
      <c r="AD1648" t="s">
        <v>3339</v>
      </c>
    </row>
    <row r="1649" spans="1:30" x14ac:dyDescent="0.25">
      <c r="H1649" t="s">
        <v>3340</v>
      </c>
    </row>
    <row r="1650" spans="1:30" x14ac:dyDescent="0.25">
      <c r="A1650">
        <v>822</v>
      </c>
      <c r="B1650">
        <v>4430</v>
      </c>
      <c r="C1650" t="s">
        <v>3341</v>
      </c>
      <c r="D1650" t="s">
        <v>1011</v>
      </c>
      <c r="E1650" t="s">
        <v>3342</v>
      </c>
      <c r="F1650" t="s">
        <v>3343</v>
      </c>
      <c r="G1650" t="str">
        <f>"00251422"</f>
        <v>00251422</v>
      </c>
      <c r="H1650" t="s">
        <v>363</v>
      </c>
      <c r="I1650">
        <v>0</v>
      </c>
      <c r="J1650">
        <v>0</v>
      </c>
      <c r="K1650">
        <v>0</v>
      </c>
      <c r="L1650">
        <v>0</v>
      </c>
      <c r="M1650">
        <v>0</v>
      </c>
      <c r="N1650">
        <v>30</v>
      </c>
      <c r="O1650">
        <v>30</v>
      </c>
      <c r="P1650">
        <v>0</v>
      </c>
      <c r="Q1650">
        <v>0</v>
      </c>
      <c r="R1650">
        <v>0</v>
      </c>
      <c r="S1650">
        <v>0</v>
      </c>
      <c r="T1650">
        <v>0</v>
      </c>
      <c r="U1650">
        <v>0</v>
      </c>
      <c r="V1650">
        <v>0</v>
      </c>
      <c r="W1650">
        <v>0</v>
      </c>
      <c r="X1650">
        <v>0</v>
      </c>
      <c r="Z1650">
        <v>0</v>
      </c>
      <c r="AA1650">
        <v>0</v>
      </c>
      <c r="AB1650">
        <v>24</v>
      </c>
      <c r="AC1650">
        <v>408</v>
      </c>
      <c r="AD1650" t="s">
        <v>3344</v>
      </c>
    </row>
    <row r="1651" spans="1:30" x14ac:dyDescent="0.25">
      <c r="H1651" t="s">
        <v>3345</v>
      </c>
    </row>
    <row r="1652" spans="1:30" x14ac:dyDescent="0.25">
      <c r="A1652">
        <v>823</v>
      </c>
      <c r="B1652">
        <v>271</v>
      </c>
      <c r="C1652" t="s">
        <v>3346</v>
      </c>
      <c r="D1652" t="s">
        <v>218</v>
      </c>
      <c r="E1652" t="s">
        <v>77</v>
      </c>
      <c r="F1652" t="s">
        <v>3347</v>
      </c>
      <c r="G1652" t="str">
        <f>"00221567"</f>
        <v>00221567</v>
      </c>
      <c r="H1652" t="s">
        <v>66</v>
      </c>
      <c r="I1652">
        <v>0</v>
      </c>
      <c r="J1652">
        <v>0</v>
      </c>
      <c r="K1652">
        <v>0</v>
      </c>
      <c r="L1652">
        <v>0</v>
      </c>
      <c r="M1652">
        <v>0</v>
      </c>
      <c r="N1652">
        <v>30</v>
      </c>
      <c r="O1652">
        <v>0</v>
      </c>
      <c r="P1652">
        <v>0</v>
      </c>
      <c r="Q1652">
        <v>0</v>
      </c>
      <c r="R1652">
        <v>0</v>
      </c>
      <c r="S1652">
        <v>0</v>
      </c>
      <c r="T1652">
        <v>0</v>
      </c>
      <c r="U1652">
        <v>0</v>
      </c>
      <c r="V1652">
        <v>55</v>
      </c>
      <c r="W1652">
        <v>385</v>
      </c>
      <c r="X1652">
        <v>0</v>
      </c>
      <c r="Z1652">
        <v>0</v>
      </c>
      <c r="AA1652">
        <v>0</v>
      </c>
      <c r="AB1652">
        <v>0</v>
      </c>
      <c r="AC1652">
        <v>0</v>
      </c>
      <c r="AD1652" t="s">
        <v>3348</v>
      </c>
    </row>
    <row r="1653" spans="1:30" x14ac:dyDescent="0.25">
      <c r="H1653" t="s">
        <v>3349</v>
      </c>
    </row>
    <row r="1654" spans="1:30" x14ac:dyDescent="0.25">
      <c r="A1654">
        <v>824</v>
      </c>
      <c r="B1654">
        <v>5994</v>
      </c>
      <c r="C1654" t="s">
        <v>3350</v>
      </c>
      <c r="D1654" t="s">
        <v>859</v>
      </c>
      <c r="E1654" t="s">
        <v>49</v>
      </c>
      <c r="F1654" t="s">
        <v>3351</v>
      </c>
      <c r="G1654" t="str">
        <f>"201511017765"</f>
        <v>201511017765</v>
      </c>
      <c r="H1654" t="s">
        <v>169</v>
      </c>
      <c r="I1654">
        <v>0</v>
      </c>
      <c r="J1654">
        <v>0</v>
      </c>
      <c r="K1654">
        <v>0</v>
      </c>
      <c r="L1654">
        <v>200</v>
      </c>
      <c r="M1654">
        <v>0</v>
      </c>
      <c r="N1654">
        <v>70</v>
      </c>
      <c r="O1654">
        <v>0</v>
      </c>
      <c r="P1654">
        <v>0</v>
      </c>
      <c r="Q1654">
        <v>0</v>
      </c>
      <c r="R1654">
        <v>0</v>
      </c>
      <c r="S1654">
        <v>0</v>
      </c>
      <c r="T1654">
        <v>0</v>
      </c>
      <c r="U1654">
        <v>0</v>
      </c>
      <c r="V1654">
        <v>13</v>
      </c>
      <c r="W1654">
        <v>91</v>
      </c>
      <c r="X1654">
        <v>0</v>
      </c>
      <c r="Z1654">
        <v>2</v>
      </c>
      <c r="AA1654">
        <v>0</v>
      </c>
      <c r="AB1654">
        <v>0</v>
      </c>
      <c r="AC1654">
        <v>0</v>
      </c>
      <c r="AD1654" t="s">
        <v>3352</v>
      </c>
    </row>
    <row r="1655" spans="1:30" x14ac:dyDescent="0.25">
      <c r="H1655" t="s">
        <v>3353</v>
      </c>
    </row>
    <row r="1656" spans="1:30" x14ac:dyDescent="0.25">
      <c r="A1656">
        <v>825</v>
      </c>
      <c r="B1656">
        <v>4804</v>
      </c>
      <c r="C1656" t="s">
        <v>3354</v>
      </c>
      <c r="D1656" t="s">
        <v>959</v>
      </c>
      <c r="E1656" t="s">
        <v>107</v>
      </c>
      <c r="F1656" t="s">
        <v>3355</v>
      </c>
      <c r="G1656" t="str">
        <f>"00345742"</f>
        <v>00345742</v>
      </c>
      <c r="H1656" t="s">
        <v>688</v>
      </c>
      <c r="I1656">
        <v>0</v>
      </c>
      <c r="J1656">
        <v>0</v>
      </c>
      <c r="K1656">
        <v>0</v>
      </c>
      <c r="L1656">
        <v>0</v>
      </c>
      <c r="M1656">
        <v>0</v>
      </c>
      <c r="N1656">
        <v>70</v>
      </c>
      <c r="O1656">
        <v>0</v>
      </c>
      <c r="P1656">
        <v>30</v>
      </c>
      <c r="Q1656">
        <v>0</v>
      </c>
      <c r="R1656">
        <v>0</v>
      </c>
      <c r="S1656">
        <v>0</v>
      </c>
      <c r="T1656">
        <v>0</v>
      </c>
      <c r="U1656">
        <v>0</v>
      </c>
      <c r="V1656">
        <v>39</v>
      </c>
      <c r="W1656">
        <v>273</v>
      </c>
      <c r="X1656">
        <v>0</v>
      </c>
      <c r="Z1656">
        <v>0</v>
      </c>
      <c r="AA1656">
        <v>0</v>
      </c>
      <c r="AB1656">
        <v>0</v>
      </c>
      <c r="AC1656">
        <v>0</v>
      </c>
      <c r="AD1656" t="s">
        <v>3356</v>
      </c>
    </row>
    <row r="1657" spans="1:30" x14ac:dyDescent="0.25">
      <c r="H1657" t="s">
        <v>3357</v>
      </c>
    </row>
    <row r="1658" spans="1:30" x14ac:dyDescent="0.25">
      <c r="A1658">
        <v>826</v>
      </c>
      <c r="B1658">
        <v>1852</v>
      </c>
      <c r="C1658" t="s">
        <v>2152</v>
      </c>
      <c r="D1658" t="s">
        <v>95</v>
      </c>
      <c r="E1658" t="s">
        <v>368</v>
      </c>
      <c r="F1658" t="s">
        <v>3358</v>
      </c>
      <c r="G1658" t="str">
        <f>"00269866"</f>
        <v>00269866</v>
      </c>
      <c r="H1658" t="s">
        <v>1368</v>
      </c>
      <c r="I1658">
        <v>0</v>
      </c>
      <c r="J1658">
        <v>0</v>
      </c>
      <c r="K1658">
        <v>0</v>
      </c>
      <c r="L1658">
        <v>0</v>
      </c>
      <c r="M1658">
        <v>0</v>
      </c>
      <c r="N1658">
        <v>30</v>
      </c>
      <c r="O1658">
        <v>0</v>
      </c>
      <c r="P1658">
        <v>0</v>
      </c>
      <c r="Q1658">
        <v>0</v>
      </c>
      <c r="R1658">
        <v>0</v>
      </c>
      <c r="S1658">
        <v>0</v>
      </c>
      <c r="T1658">
        <v>0</v>
      </c>
      <c r="U1658">
        <v>0</v>
      </c>
      <c r="V1658">
        <v>60</v>
      </c>
      <c r="W1658">
        <v>420</v>
      </c>
      <c r="X1658">
        <v>0</v>
      </c>
      <c r="Z1658">
        <v>0</v>
      </c>
      <c r="AA1658">
        <v>0</v>
      </c>
      <c r="AB1658">
        <v>0</v>
      </c>
      <c r="AC1658">
        <v>0</v>
      </c>
      <c r="AD1658" t="s">
        <v>3356</v>
      </c>
    </row>
    <row r="1659" spans="1:30" x14ac:dyDescent="0.25">
      <c r="H1659" t="s">
        <v>3359</v>
      </c>
    </row>
    <row r="1660" spans="1:30" x14ac:dyDescent="0.25">
      <c r="A1660">
        <v>827</v>
      </c>
      <c r="B1660">
        <v>3888</v>
      </c>
      <c r="C1660" t="s">
        <v>3360</v>
      </c>
      <c r="D1660" t="s">
        <v>180</v>
      </c>
      <c r="E1660" t="s">
        <v>77</v>
      </c>
      <c r="F1660" t="s">
        <v>3361</v>
      </c>
      <c r="G1660" t="str">
        <f>"00360610"</f>
        <v>00360610</v>
      </c>
      <c r="H1660" t="s">
        <v>781</v>
      </c>
      <c r="I1660">
        <v>0</v>
      </c>
      <c r="J1660">
        <v>0</v>
      </c>
      <c r="K1660">
        <v>0</v>
      </c>
      <c r="L1660">
        <v>0</v>
      </c>
      <c r="M1660">
        <v>0</v>
      </c>
      <c r="N1660">
        <v>0</v>
      </c>
      <c r="O1660">
        <v>0</v>
      </c>
      <c r="P1660">
        <v>0</v>
      </c>
      <c r="Q1660">
        <v>0</v>
      </c>
      <c r="R1660">
        <v>0</v>
      </c>
      <c r="S1660">
        <v>0</v>
      </c>
      <c r="T1660">
        <v>0</v>
      </c>
      <c r="U1660">
        <v>0</v>
      </c>
      <c r="V1660">
        <v>53</v>
      </c>
      <c r="W1660">
        <v>371</v>
      </c>
      <c r="X1660">
        <v>0</v>
      </c>
      <c r="Z1660">
        <v>0</v>
      </c>
      <c r="AA1660">
        <v>0</v>
      </c>
      <c r="AB1660">
        <v>0</v>
      </c>
      <c r="AC1660">
        <v>0</v>
      </c>
      <c r="AD1660" t="s">
        <v>3362</v>
      </c>
    </row>
    <row r="1661" spans="1:30" x14ac:dyDescent="0.25">
      <c r="H1661" t="s">
        <v>3363</v>
      </c>
    </row>
    <row r="1662" spans="1:30" x14ac:dyDescent="0.25">
      <c r="A1662">
        <v>828</v>
      </c>
      <c r="B1662">
        <v>2157</v>
      </c>
      <c r="C1662" t="s">
        <v>3364</v>
      </c>
      <c r="D1662" t="s">
        <v>289</v>
      </c>
      <c r="E1662" t="s">
        <v>389</v>
      </c>
      <c r="F1662" t="s">
        <v>3365</v>
      </c>
      <c r="G1662" t="str">
        <f>"00222434"</f>
        <v>00222434</v>
      </c>
      <c r="H1662" t="s">
        <v>3366</v>
      </c>
      <c r="I1662">
        <v>0</v>
      </c>
      <c r="J1662">
        <v>0</v>
      </c>
      <c r="K1662">
        <v>0</v>
      </c>
      <c r="L1662">
        <v>0</v>
      </c>
      <c r="M1662">
        <v>0</v>
      </c>
      <c r="N1662">
        <v>70</v>
      </c>
      <c r="O1662">
        <v>0</v>
      </c>
      <c r="P1662">
        <v>0</v>
      </c>
      <c r="Q1662">
        <v>0</v>
      </c>
      <c r="R1662">
        <v>0</v>
      </c>
      <c r="S1662">
        <v>0</v>
      </c>
      <c r="T1662">
        <v>0</v>
      </c>
      <c r="U1662">
        <v>0</v>
      </c>
      <c r="V1662">
        <v>24</v>
      </c>
      <c r="W1662">
        <v>168</v>
      </c>
      <c r="X1662">
        <v>0</v>
      </c>
      <c r="Z1662">
        <v>0</v>
      </c>
      <c r="AA1662">
        <v>0</v>
      </c>
      <c r="AB1662">
        <v>0</v>
      </c>
      <c r="AC1662">
        <v>0</v>
      </c>
      <c r="AD1662" t="s">
        <v>3367</v>
      </c>
    </row>
    <row r="1663" spans="1:30" x14ac:dyDescent="0.25">
      <c r="H1663" t="s">
        <v>3368</v>
      </c>
    </row>
    <row r="1664" spans="1:30" x14ac:dyDescent="0.25">
      <c r="A1664">
        <v>829</v>
      </c>
      <c r="B1664">
        <v>5073</v>
      </c>
      <c r="C1664" t="s">
        <v>3369</v>
      </c>
      <c r="D1664" t="s">
        <v>580</v>
      </c>
      <c r="E1664" t="s">
        <v>49</v>
      </c>
      <c r="F1664" t="s">
        <v>3370</v>
      </c>
      <c r="G1664" t="str">
        <f>"00336747"</f>
        <v>00336747</v>
      </c>
      <c r="H1664" t="s">
        <v>1368</v>
      </c>
      <c r="I1664">
        <v>0</v>
      </c>
      <c r="J1664">
        <v>0</v>
      </c>
      <c r="K1664">
        <v>0</v>
      </c>
      <c r="L1664">
        <v>0</v>
      </c>
      <c r="M1664">
        <v>0</v>
      </c>
      <c r="N1664">
        <v>0</v>
      </c>
      <c r="O1664">
        <v>0</v>
      </c>
      <c r="P1664">
        <v>0</v>
      </c>
      <c r="Q1664">
        <v>0</v>
      </c>
      <c r="R1664">
        <v>0</v>
      </c>
      <c r="S1664">
        <v>0</v>
      </c>
      <c r="T1664">
        <v>0</v>
      </c>
      <c r="U1664">
        <v>0</v>
      </c>
      <c r="V1664">
        <v>64</v>
      </c>
      <c r="W1664">
        <v>448</v>
      </c>
      <c r="X1664">
        <v>0</v>
      </c>
      <c r="Z1664">
        <v>0</v>
      </c>
      <c r="AA1664">
        <v>0</v>
      </c>
      <c r="AB1664">
        <v>0</v>
      </c>
      <c r="AC1664">
        <v>0</v>
      </c>
      <c r="AD1664" t="s">
        <v>3371</v>
      </c>
    </row>
    <row r="1665" spans="1:30" x14ac:dyDescent="0.25">
      <c r="H1665" t="s">
        <v>1327</v>
      </c>
    </row>
    <row r="1666" spans="1:30" x14ac:dyDescent="0.25">
      <c r="A1666">
        <v>830</v>
      </c>
      <c r="B1666">
        <v>2236</v>
      </c>
      <c r="C1666" t="s">
        <v>3372</v>
      </c>
      <c r="D1666" t="s">
        <v>598</v>
      </c>
      <c r="E1666" t="s">
        <v>102</v>
      </c>
      <c r="F1666" t="s">
        <v>3373</v>
      </c>
      <c r="G1666" t="str">
        <f>"200908000369"</f>
        <v>200908000369</v>
      </c>
      <c r="H1666" t="s">
        <v>1301</v>
      </c>
      <c r="I1666">
        <v>0</v>
      </c>
      <c r="J1666">
        <v>0</v>
      </c>
      <c r="K1666">
        <v>0</v>
      </c>
      <c r="L1666">
        <v>0</v>
      </c>
      <c r="M1666">
        <v>0</v>
      </c>
      <c r="N1666">
        <v>0</v>
      </c>
      <c r="O1666">
        <v>0</v>
      </c>
      <c r="P1666">
        <v>0</v>
      </c>
      <c r="Q1666">
        <v>0</v>
      </c>
      <c r="R1666">
        <v>0</v>
      </c>
      <c r="S1666">
        <v>0</v>
      </c>
      <c r="T1666">
        <v>0</v>
      </c>
      <c r="U1666">
        <v>0</v>
      </c>
      <c r="V1666">
        <v>0</v>
      </c>
      <c r="W1666">
        <v>0</v>
      </c>
      <c r="X1666">
        <v>0</v>
      </c>
      <c r="Z1666">
        <v>1</v>
      </c>
      <c r="AA1666">
        <v>0</v>
      </c>
      <c r="AB1666">
        <v>24</v>
      </c>
      <c r="AC1666">
        <v>408</v>
      </c>
      <c r="AD1666" t="s">
        <v>3374</v>
      </c>
    </row>
    <row r="1667" spans="1:30" x14ac:dyDescent="0.25">
      <c r="H1667" t="s">
        <v>3375</v>
      </c>
    </row>
    <row r="1668" spans="1:30" x14ac:dyDescent="0.25">
      <c r="A1668">
        <v>831</v>
      </c>
      <c r="B1668">
        <v>1967</v>
      </c>
      <c r="C1668" t="s">
        <v>3376</v>
      </c>
      <c r="D1668" t="s">
        <v>167</v>
      </c>
      <c r="E1668" t="s">
        <v>665</v>
      </c>
      <c r="F1668" t="s">
        <v>3377</v>
      </c>
      <c r="G1668" t="str">
        <f>"00159868"</f>
        <v>00159868</v>
      </c>
      <c r="H1668" t="s">
        <v>591</v>
      </c>
      <c r="I1668">
        <v>0</v>
      </c>
      <c r="J1668">
        <v>0</v>
      </c>
      <c r="K1668">
        <v>0</v>
      </c>
      <c r="L1668">
        <v>0</v>
      </c>
      <c r="M1668">
        <v>0</v>
      </c>
      <c r="N1668">
        <v>0</v>
      </c>
      <c r="O1668">
        <v>0</v>
      </c>
      <c r="P1668">
        <v>0</v>
      </c>
      <c r="Q1668">
        <v>0</v>
      </c>
      <c r="R1668">
        <v>0</v>
      </c>
      <c r="S1668">
        <v>0</v>
      </c>
      <c r="T1668">
        <v>0</v>
      </c>
      <c r="U1668">
        <v>0</v>
      </c>
      <c r="V1668">
        <v>4</v>
      </c>
      <c r="W1668">
        <v>28</v>
      </c>
      <c r="X1668">
        <v>0</v>
      </c>
      <c r="Z1668">
        <v>0</v>
      </c>
      <c r="AA1668">
        <v>0</v>
      </c>
      <c r="AB1668">
        <v>24</v>
      </c>
      <c r="AC1668">
        <v>408</v>
      </c>
      <c r="AD1668" t="s">
        <v>3378</v>
      </c>
    </row>
    <row r="1669" spans="1:30" x14ac:dyDescent="0.25">
      <c r="H1669" t="s">
        <v>3379</v>
      </c>
    </row>
    <row r="1670" spans="1:30" x14ac:dyDescent="0.25">
      <c r="A1670">
        <v>832</v>
      </c>
      <c r="B1670">
        <v>3814</v>
      </c>
      <c r="C1670" t="s">
        <v>3380</v>
      </c>
      <c r="D1670" t="s">
        <v>218</v>
      </c>
      <c r="E1670" t="s">
        <v>337</v>
      </c>
      <c r="F1670" t="s">
        <v>3381</v>
      </c>
      <c r="G1670" t="str">
        <f>"00364333"</f>
        <v>00364333</v>
      </c>
      <c r="H1670" t="s">
        <v>877</v>
      </c>
      <c r="I1670">
        <v>0</v>
      </c>
      <c r="J1670">
        <v>0</v>
      </c>
      <c r="K1670">
        <v>0</v>
      </c>
      <c r="L1670">
        <v>0</v>
      </c>
      <c r="M1670">
        <v>0</v>
      </c>
      <c r="N1670">
        <v>30</v>
      </c>
      <c r="O1670">
        <v>0</v>
      </c>
      <c r="P1670">
        <v>0</v>
      </c>
      <c r="Q1670">
        <v>0</v>
      </c>
      <c r="R1670">
        <v>0</v>
      </c>
      <c r="S1670">
        <v>0</v>
      </c>
      <c r="T1670">
        <v>0</v>
      </c>
      <c r="U1670">
        <v>0</v>
      </c>
      <c r="V1670">
        <v>60</v>
      </c>
      <c r="W1670">
        <v>420</v>
      </c>
      <c r="X1670">
        <v>0</v>
      </c>
      <c r="Z1670">
        <v>0</v>
      </c>
      <c r="AA1670">
        <v>0</v>
      </c>
      <c r="AB1670">
        <v>0</v>
      </c>
      <c r="AC1670">
        <v>0</v>
      </c>
      <c r="AD1670" t="s">
        <v>3382</v>
      </c>
    </row>
    <row r="1671" spans="1:30" x14ac:dyDescent="0.25">
      <c r="H1671" t="s">
        <v>3383</v>
      </c>
    </row>
    <row r="1672" spans="1:30" x14ac:dyDescent="0.25">
      <c r="A1672">
        <v>833</v>
      </c>
      <c r="B1672">
        <v>4059</v>
      </c>
      <c r="C1672" t="s">
        <v>3384</v>
      </c>
      <c r="D1672" t="s">
        <v>191</v>
      </c>
      <c r="E1672" t="s">
        <v>368</v>
      </c>
      <c r="F1672" t="s">
        <v>3385</v>
      </c>
      <c r="G1672" t="str">
        <f>"201511028142"</f>
        <v>201511028142</v>
      </c>
      <c r="H1672" t="s">
        <v>3028</v>
      </c>
      <c r="I1672">
        <v>0</v>
      </c>
      <c r="J1672">
        <v>0</v>
      </c>
      <c r="K1672">
        <v>0</v>
      </c>
      <c r="L1672">
        <v>0</v>
      </c>
      <c r="M1672">
        <v>0</v>
      </c>
      <c r="N1672">
        <v>70</v>
      </c>
      <c r="O1672">
        <v>0</v>
      </c>
      <c r="P1672">
        <v>0</v>
      </c>
      <c r="Q1672">
        <v>0</v>
      </c>
      <c r="R1672">
        <v>0</v>
      </c>
      <c r="S1672">
        <v>0</v>
      </c>
      <c r="T1672">
        <v>0</v>
      </c>
      <c r="U1672">
        <v>0</v>
      </c>
      <c r="V1672">
        <v>41</v>
      </c>
      <c r="W1672">
        <v>287</v>
      </c>
      <c r="X1672">
        <v>0</v>
      </c>
      <c r="Z1672">
        <v>2</v>
      </c>
      <c r="AA1672">
        <v>0</v>
      </c>
      <c r="AB1672">
        <v>0</v>
      </c>
      <c r="AC1672">
        <v>0</v>
      </c>
      <c r="AD1672" t="s">
        <v>3386</v>
      </c>
    </row>
    <row r="1673" spans="1:30" x14ac:dyDescent="0.25">
      <c r="H1673" t="s">
        <v>3387</v>
      </c>
    </row>
    <row r="1674" spans="1:30" x14ac:dyDescent="0.25">
      <c r="A1674">
        <v>834</v>
      </c>
      <c r="B1674">
        <v>470</v>
      </c>
      <c r="C1674" t="s">
        <v>3388</v>
      </c>
      <c r="D1674" t="s">
        <v>236</v>
      </c>
      <c r="E1674" t="s">
        <v>32</v>
      </c>
      <c r="F1674" t="s">
        <v>3389</v>
      </c>
      <c r="G1674" t="str">
        <f>"200802002540"</f>
        <v>200802002540</v>
      </c>
      <c r="H1674" t="s">
        <v>562</v>
      </c>
      <c r="I1674">
        <v>0</v>
      </c>
      <c r="J1674">
        <v>0</v>
      </c>
      <c r="K1674">
        <v>0</v>
      </c>
      <c r="L1674">
        <v>0</v>
      </c>
      <c r="M1674">
        <v>0</v>
      </c>
      <c r="N1674">
        <v>70</v>
      </c>
      <c r="O1674">
        <v>50</v>
      </c>
      <c r="P1674">
        <v>0</v>
      </c>
      <c r="Q1674">
        <v>0</v>
      </c>
      <c r="R1674">
        <v>0</v>
      </c>
      <c r="S1674">
        <v>0</v>
      </c>
      <c r="T1674">
        <v>0</v>
      </c>
      <c r="U1674">
        <v>0</v>
      </c>
      <c r="V1674">
        <v>41</v>
      </c>
      <c r="W1674">
        <v>287</v>
      </c>
      <c r="X1674">
        <v>0</v>
      </c>
      <c r="Z1674">
        <v>0</v>
      </c>
      <c r="AA1674">
        <v>0</v>
      </c>
      <c r="AB1674">
        <v>0</v>
      </c>
      <c r="AC1674">
        <v>0</v>
      </c>
      <c r="AD1674" t="s">
        <v>3390</v>
      </c>
    </row>
    <row r="1675" spans="1:30" x14ac:dyDescent="0.25">
      <c r="H1675" t="s">
        <v>3391</v>
      </c>
    </row>
    <row r="1676" spans="1:30" x14ac:dyDescent="0.25">
      <c r="A1676">
        <v>835</v>
      </c>
      <c r="B1676">
        <v>1288</v>
      </c>
      <c r="C1676" t="s">
        <v>3392</v>
      </c>
      <c r="D1676" t="s">
        <v>102</v>
      </c>
      <c r="E1676" t="s">
        <v>309</v>
      </c>
      <c r="F1676" t="s">
        <v>3393</v>
      </c>
      <c r="G1676" t="str">
        <f>"201402010540"</f>
        <v>201402010540</v>
      </c>
      <c r="H1676" t="s">
        <v>1838</v>
      </c>
      <c r="I1676">
        <v>0</v>
      </c>
      <c r="J1676">
        <v>0</v>
      </c>
      <c r="K1676">
        <v>0</v>
      </c>
      <c r="L1676">
        <v>0</v>
      </c>
      <c r="M1676">
        <v>0</v>
      </c>
      <c r="N1676">
        <v>0</v>
      </c>
      <c r="O1676">
        <v>0</v>
      </c>
      <c r="P1676">
        <v>0</v>
      </c>
      <c r="Q1676">
        <v>0</v>
      </c>
      <c r="R1676">
        <v>0</v>
      </c>
      <c r="S1676">
        <v>0</v>
      </c>
      <c r="T1676">
        <v>0</v>
      </c>
      <c r="U1676">
        <v>0</v>
      </c>
      <c r="V1676">
        <v>56</v>
      </c>
      <c r="W1676">
        <v>392</v>
      </c>
      <c r="X1676">
        <v>0</v>
      </c>
      <c r="Z1676">
        <v>0</v>
      </c>
      <c r="AA1676">
        <v>0</v>
      </c>
      <c r="AB1676">
        <v>0</v>
      </c>
      <c r="AC1676">
        <v>0</v>
      </c>
      <c r="AD1676" t="s">
        <v>3394</v>
      </c>
    </row>
    <row r="1677" spans="1:30" x14ac:dyDescent="0.25">
      <c r="H1677" t="s">
        <v>3395</v>
      </c>
    </row>
    <row r="1678" spans="1:30" x14ac:dyDescent="0.25">
      <c r="A1678">
        <v>836</v>
      </c>
      <c r="B1678">
        <v>467</v>
      </c>
      <c r="C1678" t="s">
        <v>3396</v>
      </c>
      <c r="D1678" t="s">
        <v>629</v>
      </c>
      <c r="E1678" t="s">
        <v>309</v>
      </c>
      <c r="F1678" t="s">
        <v>3397</v>
      </c>
      <c r="G1678" t="str">
        <f>"201601000359"</f>
        <v>201601000359</v>
      </c>
      <c r="H1678" t="s">
        <v>3398</v>
      </c>
      <c r="I1678">
        <v>0</v>
      </c>
      <c r="J1678">
        <v>0</v>
      </c>
      <c r="K1678">
        <v>0</v>
      </c>
      <c r="L1678">
        <v>0</v>
      </c>
      <c r="M1678">
        <v>0</v>
      </c>
      <c r="N1678">
        <v>30</v>
      </c>
      <c r="O1678">
        <v>0</v>
      </c>
      <c r="P1678">
        <v>30</v>
      </c>
      <c r="Q1678">
        <v>0</v>
      </c>
      <c r="R1678">
        <v>0</v>
      </c>
      <c r="S1678">
        <v>0</v>
      </c>
      <c r="T1678">
        <v>0</v>
      </c>
      <c r="U1678">
        <v>0</v>
      </c>
      <c r="V1678">
        <v>36</v>
      </c>
      <c r="W1678">
        <v>252</v>
      </c>
      <c r="X1678">
        <v>0</v>
      </c>
      <c r="Z1678">
        <v>0</v>
      </c>
      <c r="AA1678">
        <v>0</v>
      </c>
      <c r="AB1678">
        <v>0</v>
      </c>
      <c r="AC1678">
        <v>0</v>
      </c>
      <c r="AD1678" t="s">
        <v>3399</v>
      </c>
    </row>
    <row r="1679" spans="1:30" x14ac:dyDescent="0.25">
      <c r="H1679" t="s">
        <v>3400</v>
      </c>
    </row>
    <row r="1680" spans="1:30" x14ac:dyDescent="0.25">
      <c r="A1680">
        <v>837</v>
      </c>
      <c r="B1680">
        <v>2424</v>
      </c>
      <c r="C1680" t="s">
        <v>3401</v>
      </c>
      <c r="D1680" t="s">
        <v>389</v>
      </c>
      <c r="E1680" t="s">
        <v>28</v>
      </c>
      <c r="F1680" t="s">
        <v>3402</v>
      </c>
      <c r="G1680" t="str">
        <f>"00277990"</f>
        <v>00277990</v>
      </c>
      <c r="H1680">
        <v>671</v>
      </c>
      <c r="I1680">
        <v>0</v>
      </c>
      <c r="J1680">
        <v>0</v>
      </c>
      <c r="K1680">
        <v>0</v>
      </c>
      <c r="L1680">
        <v>0</v>
      </c>
      <c r="M1680">
        <v>0</v>
      </c>
      <c r="N1680">
        <v>0</v>
      </c>
      <c r="O1680">
        <v>0</v>
      </c>
      <c r="P1680">
        <v>50</v>
      </c>
      <c r="Q1680">
        <v>0</v>
      </c>
      <c r="R1680">
        <v>0</v>
      </c>
      <c r="S1680">
        <v>0</v>
      </c>
      <c r="T1680">
        <v>0</v>
      </c>
      <c r="U1680">
        <v>0</v>
      </c>
      <c r="V1680">
        <v>48</v>
      </c>
      <c r="W1680">
        <v>336</v>
      </c>
      <c r="X1680">
        <v>0</v>
      </c>
      <c r="Z1680">
        <v>0</v>
      </c>
      <c r="AA1680">
        <v>0</v>
      </c>
      <c r="AB1680">
        <v>5</v>
      </c>
      <c r="AC1680">
        <v>85</v>
      </c>
      <c r="AD1680">
        <v>1142</v>
      </c>
    </row>
    <row r="1681" spans="1:30" x14ac:dyDescent="0.25">
      <c r="H1681" t="s">
        <v>3403</v>
      </c>
    </row>
    <row r="1682" spans="1:30" x14ac:dyDescent="0.25">
      <c r="A1682">
        <v>838</v>
      </c>
      <c r="B1682">
        <v>5948</v>
      </c>
      <c r="C1682" t="s">
        <v>3404</v>
      </c>
      <c r="D1682" t="s">
        <v>444</v>
      </c>
      <c r="E1682" t="s">
        <v>49</v>
      </c>
      <c r="F1682" t="s">
        <v>3405</v>
      </c>
      <c r="G1682" t="str">
        <f>"00184287"</f>
        <v>00184287</v>
      </c>
      <c r="H1682" t="s">
        <v>3406</v>
      </c>
      <c r="I1682">
        <v>0</v>
      </c>
      <c r="J1682">
        <v>0</v>
      </c>
      <c r="K1682">
        <v>0</v>
      </c>
      <c r="L1682">
        <v>0</v>
      </c>
      <c r="M1682">
        <v>100</v>
      </c>
      <c r="N1682">
        <v>70</v>
      </c>
      <c r="O1682">
        <v>0</v>
      </c>
      <c r="P1682">
        <v>0</v>
      </c>
      <c r="Q1682">
        <v>0</v>
      </c>
      <c r="R1682">
        <v>0</v>
      </c>
      <c r="S1682">
        <v>0</v>
      </c>
      <c r="T1682">
        <v>0</v>
      </c>
      <c r="U1682">
        <v>0</v>
      </c>
      <c r="V1682">
        <v>0</v>
      </c>
      <c r="W1682">
        <v>0</v>
      </c>
      <c r="X1682">
        <v>0</v>
      </c>
      <c r="Z1682">
        <v>0</v>
      </c>
      <c r="AA1682">
        <v>0</v>
      </c>
      <c r="AB1682">
        <v>0</v>
      </c>
      <c r="AC1682">
        <v>0</v>
      </c>
      <c r="AD1682" t="s">
        <v>3407</v>
      </c>
    </row>
    <row r="1683" spans="1:30" x14ac:dyDescent="0.25">
      <c r="H1683" t="s">
        <v>3408</v>
      </c>
    </row>
    <row r="1684" spans="1:30" x14ac:dyDescent="0.25">
      <c r="A1684">
        <v>839</v>
      </c>
      <c r="B1684">
        <v>2311</v>
      </c>
      <c r="C1684" t="s">
        <v>3409</v>
      </c>
      <c r="D1684" t="s">
        <v>44</v>
      </c>
      <c r="E1684" t="s">
        <v>102</v>
      </c>
      <c r="F1684" t="s">
        <v>3410</v>
      </c>
      <c r="G1684" t="str">
        <f>"00010581"</f>
        <v>00010581</v>
      </c>
      <c r="H1684" t="s">
        <v>3411</v>
      </c>
      <c r="I1684">
        <v>0</v>
      </c>
      <c r="J1684">
        <v>0</v>
      </c>
      <c r="K1684">
        <v>0</v>
      </c>
      <c r="L1684">
        <v>0</v>
      </c>
      <c r="M1684">
        <v>0</v>
      </c>
      <c r="N1684">
        <v>70</v>
      </c>
      <c r="O1684">
        <v>0</v>
      </c>
      <c r="P1684">
        <v>0</v>
      </c>
      <c r="Q1684">
        <v>0</v>
      </c>
      <c r="R1684">
        <v>0</v>
      </c>
      <c r="S1684">
        <v>0</v>
      </c>
      <c r="T1684">
        <v>0</v>
      </c>
      <c r="U1684">
        <v>0</v>
      </c>
      <c r="V1684">
        <v>0</v>
      </c>
      <c r="W1684">
        <v>0</v>
      </c>
      <c r="X1684">
        <v>0</v>
      </c>
      <c r="Z1684">
        <v>0</v>
      </c>
      <c r="AA1684">
        <v>0</v>
      </c>
      <c r="AB1684">
        <v>0</v>
      </c>
      <c r="AC1684">
        <v>0</v>
      </c>
      <c r="AD1684" t="s">
        <v>3412</v>
      </c>
    </row>
    <row r="1685" spans="1:30" x14ac:dyDescent="0.25">
      <c r="H1685" t="s">
        <v>3413</v>
      </c>
    </row>
    <row r="1686" spans="1:30" x14ac:dyDescent="0.25">
      <c r="A1686">
        <v>840</v>
      </c>
      <c r="B1686">
        <v>5667</v>
      </c>
      <c r="C1686" t="s">
        <v>3414</v>
      </c>
      <c r="D1686" t="s">
        <v>3415</v>
      </c>
      <c r="E1686" t="s">
        <v>102</v>
      </c>
      <c r="F1686" t="s">
        <v>3416</v>
      </c>
      <c r="G1686" t="str">
        <f>"00357058"</f>
        <v>00357058</v>
      </c>
      <c r="H1686" t="s">
        <v>521</v>
      </c>
      <c r="I1686">
        <v>0</v>
      </c>
      <c r="J1686">
        <v>0</v>
      </c>
      <c r="K1686">
        <v>0</v>
      </c>
      <c r="L1686">
        <v>0</v>
      </c>
      <c r="M1686">
        <v>0</v>
      </c>
      <c r="N1686">
        <v>30</v>
      </c>
      <c r="O1686">
        <v>0</v>
      </c>
      <c r="P1686">
        <v>0</v>
      </c>
      <c r="Q1686">
        <v>0</v>
      </c>
      <c r="R1686">
        <v>0</v>
      </c>
      <c r="S1686">
        <v>0</v>
      </c>
      <c r="T1686">
        <v>0</v>
      </c>
      <c r="U1686">
        <v>0</v>
      </c>
      <c r="V1686">
        <v>55</v>
      </c>
      <c r="W1686">
        <v>385</v>
      </c>
      <c r="X1686">
        <v>0</v>
      </c>
      <c r="Z1686">
        <v>0</v>
      </c>
      <c r="AA1686">
        <v>0</v>
      </c>
      <c r="AB1686">
        <v>0</v>
      </c>
      <c r="AC1686">
        <v>0</v>
      </c>
      <c r="AD1686" t="s">
        <v>3417</v>
      </c>
    </row>
    <row r="1687" spans="1:30" x14ac:dyDescent="0.25">
      <c r="H1687" t="s">
        <v>3418</v>
      </c>
    </row>
    <row r="1688" spans="1:30" x14ac:dyDescent="0.25">
      <c r="A1688">
        <v>841</v>
      </c>
      <c r="B1688">
        <v>161</v>
      </c>
      <c r="C1688" t="s">
        <v>3419</v>
      </c>
      <c r="D1688" t="s">
        <v>32</v>
      </c>
      <c r="E1688" t="s">
        <v>389</v>
      </c>
      <c r="F1688" t="s">
        <v>3420</v>
      </c>
      <c r="G1688" t="str">
        <f>"200801000021"</f>
        <v>200801000021</v>
      </c>
      <c r="H1688" t="s">
        <v>521</v>
      </c>
      <c r="I1688">
        <v>0</v>
      </c>
      <c r="J1688">
        <v>0</v>
      </c>
      <c r="K1688">
        <v>0</v>
      </c>
      <c r="L1688">
        <v>0</v>
      </c>
      <c r="M1688">
        <v>0</v>
      </c>
      <c r="N1688">
        <v>30</v>
      </c>
      <c r="O1688">
        <v>0</v>
      </c>
      <c r="P1688">
        <v>0</v>
      </c>
      <c r="Q1688">
        <v>0</v>
      </c>
      <c r="R1688">
        <v>0</v>
      </c>
      <c r="S1688">
        <v>0</v>
      </c>
      <c r="T1688">
        <v>0</v>
      </c>
      <c r="U1688">
        <v>0</v>
      </c>
      <c r="V1688">
        <v>55</v>
      </c>
      <c r="W1688">
        <v>385</v>
      </c>
      <c r="X1688">
        <v>0</v>
      </c>
      <c r="Z1688">
        <v>0</v>
      </c>
      <c r="AA1688">
        <v>0</v>
      </c>
      <c r="AB1688">
        <v>0</v>
      </c>
      <c r="AC1688">
        <v>0</v>
      </c>
      <c r="AD1688" t="s">
        <v>3417</v>
      </c>
    </row>
    <row r="1689" spans="1:30" x14ac:dyDescent="0.25">
      <c r="H1689" t="s">
        <v>3421</v>
      </c>
    </row>
    <row r="1690" spans="1:30" x14ac:dyDescent="0.25">
      <c r="A1690">
        <v>842</v>
      </c>
      <c r="B1690">
        <v>5568</v>
      </c>
      <c r="C1690" t="s">
        <v>3422</v>
      </c>
      <c r="D1690" t="s">
        <v>28</v>
      </c>
      <c r="E1690" t="s">
        <v>32</v>
      </c>
      <c r="F1690" t="s">
        <v>3423</v>
      </c>
      <c r="G1690" t="str">
        <f>"201511029998"</f>
        <v>201511029998</v>
      </c>
      <c r="H1690" t="s">
        <v>243</v>
      </c>
      <c r="I1690">
        <v>0</v>
      </c>
      <c r="J1690">
        <v>0</v>
      </c>
      <c r="K1690">
        <v>0</v>
      </c>
      <c r="L1690">
        <v>200</v>
      </c>
      <c r="M1690">
        <v>0</v>
      </c>
      <c r="N1690">
        <v>30</v>
      </c>
      <c r="O1690">
        <v>0</v>
      </c>
      <c r="P1690">
        <v>0</v>
      </c>
      <c r="Q1690">
        <v>0</v>
      </c>
      <c r="R1690">
        <v>0</v>
      </c>
      <c r="S1690">
        <v>0</v>
      </c>
      <c r="T1690">
        <v>0</v>
      </c>
      <c r="U1690">
        <v>0</v>
      </c>
      <c r="V1690">
        <v>7</v>
      </c>
      <c r="W1690">
        <v>49</v>
      </c>
      <c r="X1690">
        <v>0</v>
      </c>
      <c r="Z1690">
        <v>0</v>
      </c>
      <c r="AA1690">
        <v>0</v>
      </c>
      <c r="AB1690">
        <v>0</v>
      </c>
      <c r="AC1690">
        <v>0</v>
      </c>
      <c r="AD1690" t="s">
        <v>3424</v>
      </c>
    </row>
    <row r="1691" spans="1:30" x14ac:dyDescent="0.25">
      <c r="H1691" t="s">
        <v>3425</v>
      </c>
    </row>
    <row r="1692" spans="1:30" x14ac:dyDescent="0.25">
      <c r="A1692">
        <v>843</v>
      </c>
      <c r="B1692">
        <v>4920</v>
      </c>
      <c r="C1692" t="s">
        <v>3426</v>
      </c>
      <c r="D1692" t="s">
        <v>283</v>
      </c>
      <c r="E1692" t="s">
        <v>32</v>
      </c>
      <c r="F1692" t="s">
        <v>3427</v>
      </c>
      <c r="G1692" t="str">
        <f>"201406013405"</f>
        <v>201406013405</v>
      </c>
      <c r="H1692" t="s">
        <v>144</v>
      </c>
      <c r="I1692">
        <v>0</v>
      </c>
      <c r="J1692">
        <v>0</v>
      </c>
      <c r="K1692">
        <v>0</v>
      </c>
      <c r="L1692">
        <v>200</v>
      </c>
      <c r="M1692">
        <v>0</v>
      </c>
      <c r="N1692">
        <v>50</v>
      </c>
      <c r="O1692">
        <v>0</v>
      </c>
      <c r="P1692">
        <v>0</v>
      </c>
      <c r="Q1692">
        <v>0</v>
      </c>
      <c r="R1692">
        <v>0</v>
      </c>
      <c r="S1692">
        <v>0</v>
      </c>
      <c r="T1692">
        <v>0</v>
      </c>
      <c r="U1692">
        <v>0</v>
      </c>
      <c r="V1692">
        <v>24</v>
      </c>
      <c r="W1692">
        <v>168</v>
      </c>
      <c r="X1692">
        <v>0</v>
      </c>
      <c r="Z1692">
        <v>0</v>
      </c>
      <c r="AA1692">
        <v>0</v>
      </c>
      <c r="AB1692">
        <v>0</v>
      </c>
      <c r="AC1692">
        <v>0</v>
      </c>
      <c r="AD1692" t="s">
        <v>3428</v>
      </c>
    </row>
    <row r="1693" spans="1:30" x14ac:dyDescent="0.25">
      <c r="H1693" t="s">
        <v>3429</v>
      </c>
    </row>
    <row r="1694" spans="1:30" x14ac:dyDescent="0.25">
      <c r="A1694">
        <v>844</v>
      </c>
      <c r="B1694">
        <v>4674</v>
      </c>
      <c r="C1694" t="s">
        <v>3430</v>
      </c>
      <c r="D1694" t="s">
        <v>346</v>
      </c>
      <c r="E1694" t="s">
        <v>2714</v>
      </c>
      <c r="F1694" t="s">
        <v>3431</v>
      </c>
      <c r="G1694" t="str">
        <f>"00205698"</f>
        <v>00205698</v>
      </c>
      <c r="H1694" t="s">
        <v>1281</v>
      </c>
      <c r="I1694">
        <v>0</v>
      </c>
      <c r="J1694">
        <v>0</v>
      </c>
      <c r="K1694">
        <v>0</v>
      </c>
      <c r="L1694">
        <v>0</v>
      </c>
      <c r="M1694">
        <v>100</v>
      </c>
      <c r="N1694">
        <v>30</v>
      </c>
      <c r="O1694">
        <v>0</v>
      </c>
      <c r="P1694">
        <v>0</v>
      </c>
      <c r="Q1694">
        <v>0</v>
      </c>
      <c r="R1694">
        <v>0</v>
      </c>
      <c r="S1694">
        <v>0</v>
      </c>
      <c r="T1694">
        <v>0</v>
      </c>
      <c r="U1694">
        <v>0</v>
      </c>
      <c r="V1694">
        <v>35</v>
      </c>
      <c r="W1694">
        <v>245</v>
      </c>
      <c r="X1694">
        <v>0</v>
      </c>
      <c r="Z1694">
        <v>0</v>
      </c>
      <c r="AA1694">
        <v>0</v>
      </c>
      <c r="AB1694">
        <v>0</v>
      </c>
      <c r="AC1694">
        <v>0</v>
      </c>
      <c r="AD1694" t="s">
        <v>3432</v>
      </c>
    </row>
    <row r="1695" spans="1:30" x14ac:dyDescent="0.25">
      <c r="H1695" t="s">
        <v>3433</v>
      </c>
    </row>
    <row r="1696" spans="1:30" x14ac:dyDescent="0.25">
      <c r="A1696">
        <v>845</v>
      </c>
      <c r="B1696">
        <v>2100</v>
      </c>
      <c r="C1696" t="s">
        <v>3434</v>
      </c>
      <c r="D1696" t="s">
        <v>218</v>
      </c>
      <c r="E1696" t="s">
        <v>102</v>
      </c>
      <c r="F1696" t="s">
        <v>3435</v>
      </c>
      <c r="G1696" t="str">
        <f>"201511038468"</f>
        <v>201511038468</v>
      </c>
      <c r="H1696">
        <v>693</v>
      </c>
      <c r="I1696">
        <v>0</v>
      </c>
      <c r="J1696">
        <v>0</v>
      </c>
      <c r="K1696">
        <v>0</v>
      </c>
      <c r="L1696">
        <v>0</v>
      </c>
      <c r="M1696">
        <v>0</v>
      </c>
      <c r="N1696">
        <v>0</v>
      </c>
      <c r="O1696">
        <v>0</v>
      </c>
      <c r="P1696">
        <v>0</v>
      </c>
      <c r="Q1696">
        <v>0</v>
      </c>
      <c r="R1696">
        <v>0</v>
      </c>
      <c r="S1696">
        <v>0</v>
      </c>
      <c r="T1696">
        <v>0</v>
      </c>
      <c r="U1696">
        <v>0</v>
      </c>
      <c r="V1696">
        <v>63</v>
      </c>
      <c r="W1696">
        <v>441</v>
      </c>
      <c r="X1696">
        <v>0</v>
      </c>
      <c r="Z1696">
        <v>0</v>
      </c>
      <c r="AA1696">
        <v>0</v>
      </c>
      <c r="AB1696">
        <v>0</v>
      </c>
      <c r="AC1696">
        <v>0</v>
      </c>
      <c r="AD1696">
        <v>1134</v>
      </c>
    </row>
    <row r="1697" spans="1:30" x14ac:dyDescent="0.25">
      <c r="H1697" t="s">
        <v>3436</v>
      </c>
    </row>
    <row r="1698" spans="1:30" x14ac:dyDescent="0.25">
      <c r="A1698">
        <v>846</v>
      </c>
      <c r="B1698">
        <v>4586</v>
      </c>
      <c r="C1698" t="s">
        <v>3437</v>
      </c>
      <c r="D1698" t="s">
        <v>3438</v>
      </c>
      <c r="E1698" t="s">
        <v>167</v>
      </c>
      <c r="F1698" t="s">
        <v>3439</v>
      </c>
      <c r="G1698" t="str">
        <f>"201601000935"</f>
        <v>201601000935</v>
      </c>
      <c r="H1698" t="s">
        <v>1868</v>
      </c>
      <c r="I1698">
        <v>0</v>
      </c>
      <c r="J1698">
        <v>0</v>
      </c>
      <c r="K1698">
        <v>0</v>
      </c>
      <c r="L1698">
        <v>0</v>
      </c>
      <c r="M1698">
        <v>0</v>
      </c>
      <c r="N1698">
        <v>30</v>
      </c>
      <c r="O1698">
        <v>0</v>
      </c>
      <c r="P1698">
        <v>0</v>
      </c>
      <c r="Q1698">
        <v>0</v>
      </c>
      <c r="R1698">
        <v>0</v>
      </c>
      <c r="S1698">
        <v>0</v>
      </c>
      <c r="T1698">
        <v>0</v>
      </c>
      <c r="U1698">
        <v>0</v>
      </c>
      <c r="V1698">
        <v>51</v>
      </c>
      <c r="W1698">
        <v>357</v>
      </c>
      <c r="X1698">
        <v>0</v>
      </c>
      <c r="Z1698">
        <v>0</v>
      </c>
      <c r="AA1698">
        <v>0</v>
      </c>
      <c r="AB1698">
        <v>0</v>
      </c>
      <c r="AC1698">
        <v>0</v>
      </c>
      <c r="AD1698" t="s">
        <v>3440</v>
      </c>
    </row>
    <row r="1699" spans="1:30" x14ac:dyDescent="0.25">
      <c r="H1699" t="s">
        <v>3441</v>
      </c>
    </row>
    <row r="1700" spans="1:30" x14ac:dyDescent="0.25">
      <c r="A1700">
        <v>847</v>
      </c>
      <c r="B1700">
        <v>3038</v>
      </c>
      <c r="C1700" t="s">
        <v>3442</v>
      </c>
      <c r="D1700" t="s">
        <v>1237</v>
      </c>
      <c r="E1700" t="s">
        <v>49</v>
      </c>
      <c r="F1700" t="s">
        <v>3443</v>
      </c>
      <c r="G1700" t="str">
        <f>"00214554"</f>
        <v>00214554</v>
      </c>
      <c r="H1700" t="s">
        <v>1549</v>
      </c>
      <c r="I1700">
        <v>0</v>
      </c>
      <c r="J1700">
        <v>0</v>
      </c>
      <c r="K1700">
        <v>0</v>
      </c>
      <c r="L1700">
        <v>0</v>
      </c>
      <c r="M1700">
        <v>0</v>
      </c>
      <c r="N1700">
        <v>30</v>
      </c>
      <c r="O1700">
        <v>0</v>
      </c>
      <c r="P1700">
        <v>0</v>
      </c>
      <c r="Q1700">
        <v>0</v>
      </c>
      <c r="R1700">
        <v>0</v>
      </c>
      <c r="S1700">
        <v>0</v>
      </c>
      <c r="T1700">
        <v>0</v>
      </c>
      <c r="U1700">
        <v>0</v>
      </c>
      <c r="V1700">
        <v>58</v>
      </c>
      <c r="W1700">
        <v>406</v>
      </c>
      <c r="X1700">
        <v>0</v>
      </c>
      <c r="Z1700">
        <v>2</v>
      </c>
      <c r="AA1700">
        <v>0</v>
      </c>
      <c r="AB1700">
        <v>0</v>
      </c>
      <c r="AC1700">
        <v>0</v>
      </c>
      <c r="AD1700" t="s">
        <v>3444</v>
      </c>
    </row>
    <row r="1701" spans="1:30" x14ac:dyDescent="0.25">
      <c r="H1701" t="s">
        <v>3445</v>
      </c>
    </row>
    <row r="1702" spans="1:30" x14ac:dyDescent="0.25">
      <c r="A1702">
        <v>848</v>
      </c>
      <c r="B1702">
        <v>3164</v>
      </c>
      <c r="C1702" t="s">
        <v>3446</v>
      </c>
      <c r="D1702" t="s">
        <v>218</v>
      </c>
      <c r="E1702" t="s">
        <v>76</v>
      </c>
      <c r="F1702" t="s">
        <v>3447</v>
      </c>
      <c r="G1702" t="str">
        <f>"200801009277"</f>
        <v>200801009277</v>
      </c>
      <c r="H1702" t="s">
        <v>887</v>
      </c>
      <c r="I1702">
        <v>0</v>
      </c>
      <c r="J1702">
        <v>0</v>
      </c>
      <c r="K1702">
        <v>0</v>
      </c>
      <c r="L1702">
        <v>200</v>
      </c>
      <c r="M1702">
        <v>0</v>
      </c>
      <c r="N1702">
        <v>30</v>
      </c>
      <c r="O1702">
        <v>0</v>
      </c>
      <c r="P1702">
        <v>0</v>
      </c>
      <c r="Q1702">
        <v>50</v>
      </c>
      <c r="R1702">
        <v>0</v>
      </c>
      <c r="S1702">
        <v>0</v>
      </c>
      <c r="T1702">
        <v>0</v>
      </c>
      <c r="U1702">
        <v>0</v>
      </c>
      <c r="V1702">
        <v>21</v>
      </c>
      <c r="W1702">
        <v>147</v>
      </c>
      <c r="X1702">
        <v>0</v>
      </c>
      <c r="Z1702">
        <v>0</v>
      </c>
      <c r="AA1702">
        <v>0</v>
      </c>
      <c r="AB1702">
        <v>0</v>
      </c>
      <c r="AC1702">
        <v>0</v>
      </c>
      <c r="AD1702" t="s">
        <v>3448</v>
      </c>
    </row>
    <row r="1703" spans="1:30" x14ac:dyDescent="0.25">
      <c r="H1703" t="s">
        <v>3449</v>
      </c>
    </row>
    <row r="1704" spans="1:30" x14ac:dyDescent="0.25">
      <c r="A1704">
        <v>849</v>
      </c>
      <c r="B1704">
        <v>5301</v>
      </c>
      <c r="C1704" t="s">
        <v>3450</v>
      </c>
      <c r="D1704" t="s">
        <v>83</v>
      </c>
      <c r="E1704" t="s">
        <v>49</v>
      </c>
      <c r="F1704" t="s">
        <v>3451</v>
      </c>
      <c r="G1704" t="str">
        <f>"00250429"</f>
        <v>00250429</v>
      </c>
      <c r="H1704" t="s">
        <v>855</v>
      </c>
      <c r="I1704">
        <v>0</v>
      </c>
      <c r="J1704">
        <v>0</v>
      </c>
      <c r="K1704">
        <v>0</v>
      </c>
      <c r="L1704">
        <v>0</v>
      </c>
      <c r="M1704">
        <v>0</v>
      </c>
      <c r="N1704">
        <v>30</v>
      </c>
      <c r="O1704">
        <v>0</v>
      </c>
      <c r="P1704">
        <v>0</v>
      </c>
      <c r="Q1704">
        <v>70</v>
      </c>
      <c r="R1704">
        <v>0</v>
      </c>
      <c r="S1704">
        <v>0</v>
      </c>
      <c r="T1704">
        <v>0</v>
      </c>
      <c r="U1704">
        <v>0</v>
      </c>
      <c r="V1704">
        <v>48</v>
      </c>
      <c r="W1704">
        <v>336</v>
      </c>
      <c r="X1704">
        <v>0</v>
      </c>
      <c r="Z1704">
        <v>0</v>
      </c>
      <c r="AA1704">
        <v>0</v>
      </c>
      <c r="AB1704">
        <v>0</v>
      </c>
      <c r="AC1704">
        <v>0</v>
      </c>
      <c r="AD1704" t="s">
        <v>3452</v>
      </c>
    </row>
    <row r="1705" spans="1:30" x14ac:dyDescent="0.25">
      <c r="H1705" t="s">
        <v>3453</v>
      </c>
    </row>
    <row r="1706" spans="1:30" x14ac:dyDescent="0.25">
      <c r="A1706">
        <v>850</v>
      </c>
      <c r="B1706">
        <v>4366</v>
      </c>
      <c r="C1706" t="s">
        <v>3454</v>
      </c>
      <c r="D1706" t="s">
        <v>494</v>
      </c>
      <c r="E1706" t="s">
        <v>3455</v>
      </c>
      <c r="F1706" t="s">
        <v>3456</v>
      </c>
      <c r="G1706" t="str">
        <f>"00311562"</f>
        <v>00311562</v>
      </c>
      <c r="H1706">
        <v>770</v>
      </c>
      <c r="I1706">
        <v>0</v>
      </c>
      <c r="J1706">
        <v>0</v>
      </c>
      <c r="K1706">
        <v>0</v>
      </c>
      <c r="L1706">
        <v>0</v>
      </c>
      <c r="M1706">
        <v>0</v>
      </c>
      <c r="N1706">
        <v>30</v>
      </c>
      <c r="O1706">
        <v>0</v>
      </c>
      <c r="P1706">
        <v>0</v>
      </c>
      <c r="Q1706">
        <v>30</v>
      </c>
      <c r="R1706">
        <v>0</v>
      </c>
      <c r="S1706">
        <v>0</v>
      </c>
      <c r="T1706">
        <v>0</v>
      </c>
      <c r="U1706">
        <v>0</v>
      </c>
      <c r="V1706">
        <v>43</v>
      </c>
      <c r="W1706">
        <v>301</v>
      </c>
      <c r="X1706">
        <v>0</v>
      </c>
      <c r="Z1706">
        <v>0</v>
      </c>
      <c r="AA1706">
        <v>0</v>
      </c>
      <c r="AB1706">
        <v>0</v>
      </c>
      <c r="AC1706">
        <v>0</v>
      </c>
      <c r="AD1706">
        <v>1131</v>
      </c>
    </row>
    <row r="1707" spans="1:30" x14ac:dyDescent="0.25">
      <c r="H1707" t="s">
        <v>3457</v>
      </c>
    </row>
    <row r="1708" spans="1:30" x14ac:dyDescent="0.25">
      <c r="A1708">
        <v>851</v>
      </c>
      <c r="B1708">
        <v>2087</v>
      </c>
      <c r="C1708" t="s">
        <v>3458</v>
      </c>
      <c r="D1708" t="s">
        <v>218</v>
      </c>
      <c r="E1708" t="s">
        <v>358</v>
      </c>
      <c r="F1708" t="s">
        <v>3459</v>
      </c>
      <c r="G1708" t="str">
        <f>"00004303"</f>
        <v>00004303</v>
      </c>
      <c r="H1708" t="s">
        <v>3093</v>
      </c>
      <c r="I1708">
        <v>0</v>
      </c>
      <c r="J1708">
        <v>0</v>
      </c>
      <c r="K1708">
        <v>0</v>
      </c>
      <c r="L1708">
        <v>0</v>
      </c>
      <c r="M1708">
        <v>0</v>
      </c>
      <c r="N1708">
        <v>30</v>
      </c>
      <c r="O1708">
        <v>0</v>
      </c>
      <c r="P1708">
        <v>0</v>
      </c>
      <c r="Q1708">
        <v>0</v>
      </c>
      <c r="R1708">
        <v>0</v>
      </c>
      <c r="S1708">
        <v>0</v>
      </c>
      <c r="T1708">
        <v>0</v>
      </c>
      <c r="U1708">
        <v>0</v>
      </c>
      <c r="V1708">
        <v>9</v>
      </c>
      <c r="W1708">
        <v>63</v>
      </c>
      <c r="X1708">
        <v>0</v>
      </c>
      <c r="Z1708">
        <v>0</v>
      </c>
      <c r="AA1708">
        <v>0</v>
      </c>
      <c r="AB1708">
        <v>14</v>
      </c>
      <c r="AC1708">
        <v>238</v>
      </c>
      <c r="AD1708" t="s">
        <v>3460</v>
      </c>
    </row>
    <row r="1709" spans="1:30" x14ac:dyDescent="0.25">
      <c r="H1709" t="s">
        <v>3461</v>
      </c>
    </row>
    <row r="1710" spans="1:30" x14ac:dyDescent="0.25">
      <c r="A1710">
        <v>852</v>
      </c>
      <c r="B1710">
        <v>1371</v>
      </c>
      <c r="C1710" t="s">
        <v>3462</v>
      </c>
      <c r="D1710" t="s">
        <v>83</v>
      </c>
      <c r="E1710" t="s">
        <v>1622</v>
      </c>
      <c r="F1710" t="s">
        <v>3463</v>
      </c>
      <c r="G1710" t="str">
        <f>"00245172"</f>
        <v>00245172</v>
      </c>
      <c r="H1710" t="s">
        <v>3464</v>
      </c>
      <c r="I1710">
        <v>150</v>
      </c>
      <c r="J1710">
        <v>0</v>
      </c>
      <c r="K1710">
        <v>0</v>
      </c>
      <c r="L1710">
        <v>0</v>
      </c>
      <c r="M1710">
        <v>0</v>
      </c>
      <c r="N1710">
        <v>70</v>
      </c>
      <c r="O1710">
        <v>30</v>
      </c>
      <c r="P1710">
        <v>0</v>
      </c>
      <c r="Q1710">
        <v>70</v>
      </c>
      <c r="R1710">
        <v>0</v>
      </c>
      <c r="S1710">
        <v>0</v>
      </c>
      <c r="T1710">
        <v>0</v>
      </c>
      <c r="U1710">
        <v>0</v>
      </c>
      <c r="V1710">
        <v>17</v>
      </c>
      <c r="W1710">
        <v>119</v>
      </c>
      <c r="X1710">
        <v>0</v>
      </c>
      <c r="Z1710">
        <v>1</v>
      </c>
      <c r="AA1710">
        <v>0</v>
      </c>
      <c r="AB1710">
        <v>0</v>
      </c>
      <c r="AC1710">
        <v>0</v>
      </c>
      <c r="AD1710" t="s">
        <v>3465</v>
      </c>
    </row>
    <row r="1711" spans="1:30" x14ac:dyDescent="0.25">
      <c r="H1711" t="s">
        <v>3466</v>
      </c>
    </row>
    <row r="1712" spans="1:30" x14ac:dyDescent="0.25">
      <c r="A1712">
        <v>853</v>
      </c>
      <c r="B1712">
        <v>144</v>
      </c>
      <c r="C1712" t="s">
        <v>3467</v>
      </c>
      <c r="D1712" t="s">
        <v>83</v>
      </c>
      <c r="E1712" t="s">
        <v>254</v>
      </c>
      <c r="F1712" t="s">
        <v>3468</v>
      </c>
      <c r="G1712" t="str">
        <f>"00007351"</f>
        <v>00007351</v>
      </c>
      <c r="H1712" t="s">
        <v>169</v>
      </c>
      <c r="I1712">
        <v>0</v>
      </c>
      <c r="J1712">
        <v>0</v>
      </c>
      <c r="K1712">
        <v>0</v>
      </c>
      <c r="L1712">
        <v>0</v>
      </c>
      <c r="M1712">
        <v>0</v>
      </c>
      <c r="N1712">
        <v>30</v>
      </c>
      <c r="O1712">
        <v>0</v>
      </c>
      <c r="P1712">
        <v>0</v>
      </c>
      <c r="Q1712">
        <v>0</v>
      </c>
      <c r="R1712">
        <v>0</v>
      </c>
      <c r="S1712">
        <v>0</v>
      </c>
      <c r="T1712">
        <v>0</v>
      </c>
      <c r="U1712">
        <v>0</v>
      </c>
      <c r="V1712">
        <v>44</v>
      </c>
      <c r="W1712">
        <v>308</v>
      </c>
      <c r="X1712">
        <v>0</v>
      </c>
      <c r="Z1712">
        <v>0</v>
      </c>
      <c r="AA1712">
        <v>0</v>
      </c>
      <c r="AB1712">
        <v>0</v>
      </c>
      <c r="AC1712">
        <v>0</v>
      </c>
      <c r="AD1712" t="s">
        <v>3469</v>
      </c>
    </row>
    <row r="1713" spans="1:30" x14ac:dyDescent="0.25">
      <c r="H1713" t="s">
        <v>3470</v>
      </c>
    </row>
    <row r="1714" spans="1:30" x14ac:dyDescent="0.25">
      <c r="A1714">
        <v>854</v>
      </c>
      <c r="B1714">
        <v>3590</v>
      </c>
      <c r="C1714" t="s">
        <v>3471</v>
      </c>
      <c r="D1714" t="s">
        <v>598</v>
      </c>
      <c r="E1714" t="s">
        <v>167</v>
      </c>
      <c r="F1714" t="s">
        <v>3472</v>
      </c>
      <c r="G1714" t="str">
        <f>"00203703"</f>
        <v>00203703</v>
      </c>
      <c r="H1714" t="s">
        <v>2628</v>
      </c>
      <c r="I1714">
        <v>0</v>
      </c>
      <c r="J1714">
        <v>0</v>
      </c>
      <c r="K1714">
        <v>0</v>
      </c>
      <c r="L1714">
        <v>0</v>
      </c>
      <c r="M1714">
        <v>0</v>
      </c>
      <c r="N1714">
        <v>30</v>
      </c>
      <c r="O1714">
        <v>30</v>
      </c>
      <c r="P1714">
        <v>0</v>
      </c>
      <c r="Q1714">
        <v>0</v>
      </c>
      <c r="R1714">
        <v>0</v>
      </c>
      <c r="S1714">
        <v>0</v>
      </c>
      <c r="T1714">
        <v>0</v>
      </c>
      <c r="U1714">
        <v>0</v>
      </c>
      <c r="V1714">
        <v>57</v>
      </c>
      <c r="W1714">
        <v>399</v>
      </c>
      <c r="X1714">
        <v>0</v>
      </c>
      <c r="Z1714">
        <v>0</v>
      </c>
      <c r="AA1714">
        <v>0</v>
      </c>
      <c r="AB1714">
        <v>0</v>
      </c>
      <c r="AC1714">
        <v>0</v>
      </c>
      <c r="AD1714" t="s">
        <v>3469</v>
      </c>
    </row>
    <row r="1715" spans="1:30" x14ac:dyDescent="0.25">
      <c r="H1715" t="s">
        <v>3473</v>
      </c>
    </row>
    <row r="1716" spans="1:30" x14ac:dyDescent="0.25">
      <c r="A1716">
        <v>855</v>
      </c>
      <c r="B1716">
        <v>2587</v>
      </c>
      <c r="C1716" t="s">
        <v>3474</v>
      </c>
      <c r="D1716" t="s">
        <v>306</v>
      </c>
      <c r="E1716" t="s">
        <v>102</v>
      </c>
      <c r="F1716" t="s">
        <v>3475</v>
      </c>
      <c r="G1716" t="str">
        <f>"00194762"</f>
        <v>00194762</v>
      </c>
      <c r="H1716" t="s">
        <v>2798</v>
      </c>
      <c r="I1716">
        <v>0</v>
      </c>
      <c r="J1716">
        <v>0</v>
      </c>
      <c r="K1716">
        <v>0</v>
      </c>
      <c r="L1716">
        <v>0</v>
      </c>
      <c r="M1716">
        <v>0</v>
      </c>
      <c r="N1716">
        <v>0</v>
      </c>
      <c r="O1716">
        <v>0</v>
      </c>
      <c r="P1716">
        <v>0</v>
      </c>
      <c r="Q1716">
        <v>0</v>
      </c>
      <c r="R1716">
        <v>0</v>
      </c>
      <c r="S1716">
        <v>0</v>
      </c>
      <c r="T1716">
        <v>0</v>
      </c>
      <c r="U1716">
        <v>0</v>
      </c>
      <c r="V1716">
        <v>65</v>
      </c>
      <c r="W1716">
        <v>455</v>
      </c>
      <c r="X1716">
        <v>0</v>
      </c>
      <c r="Z1716">
        <v>1</v>
      </c>
      <c r="AA1716">
        <v>0</v>
      </c>
      <c r="AB1716">
        <v>0</v>
      </c>
      <c r="AC1716">
        <v>0</v>
      </c>
      <c r="AD1716" t="s">
        <v>3476</v>
      </c>
    </row>
    <row r="1717" spans="1:30" x14ac:dyDescent="0.25">
      <c r="H1717" t="s">
        <v>3477</v>
      </c>
    </row>
    <row r="1718" spans="1:30" x14ac:dyDescent="0.25">
      <c r="A1718">
        <v>856</v>
      </c>
      <c r="B1718">
        <v>3266</v>
      </c>
      <c r="C1718" t="s">
        <v>2626</v>
      </c>
      <c r="D1718" t="s">
        <v>449</v>
      </c>
      <c r="E1718" t="s">
        <v>32</v>
      </c>
      <c r="F1718" t="s">
        <v>3478</v>
      </c>
      <c r="G1718" t="str">
        <f>"00352600"</f>
        <v>00352600</v>
      </c>
      <c r="H1718" t="s">
        <v>1588</v>
      </c>
      <c r="I1718">
        <v>0</v>
      </c>
      <c r="J1718">
        <v>0</v>
      </c>
      <c r="K1718">
        <v>0</v>
      </c>
      <c r="L1718">
        <v>0</v>
      </c>
      <c r="M1718">
        <v>0</v>
      </c>
      <c r="N1718">
        <v>0</v>
      </c>
      <c r="O1718">
        <v>0</v>
      </c>
      <c r="P1718">
        <v>0</v>
      </c>
      <c r="Q1718">
        <v>0</v>
      </c>
      <c r="R1718">
        <v>0</v>
      </c>
      <c r="S1718">
        <v>0</v>
      </c>
      <c r="T1718">
        <v>0</v>
      </c>
      <c r="U1718">
        <v>0</v>
      </c>
      <c r="V1718">
        <v>59</v>
      </c>
      <c r="W1718">
        <v>413</v>
      </c>
      <c r="X1718">
        <v>0</v>
      </c>
      <c r="Z1718">
        <v>0</v>
      </c>
      <c r="AA1718">
        <v>0</v>
      </c>
      <c r="AB1718">
        <v>0</v>
      </c>
      <c r="AC1718">
        <v>0</v>
      </c>
      <c r="AD1718" t="s">
        <v>3479</v>
      </c>
    </row>
    <row r="1719" spans="1:30" x14ac:dyDescent="0.25">
      <c r="H1719" t="s">
        <v>3480</v>
      </c>
    </row>
    <row r="1720" spans="1:30" x14ac:dyDescent="0.25">
      <c r="A1720">
        <v>857</v>
      </c>
      <c r="B1720">
        <v>5397</v>
      </c>
      <c r="C1720" t="s">
        <v>3481</v>
      </c>
      <c r="D1720" t="s">
        <v>64</v>
      </c>
      <c r="E1720" t="s">
        <v>28</v>
      </c>
      <c r="F1720" t="s">
        <v>3482</v>
      </c>
      <c r="G1720" t="str">
        <f>"00356490"</f>
        <v>00356490</v>
      </c>
      <c r="H1720" t="s">
        <v>3464</v>
      </c>
      <c r="I1720">
        <v>0</v>
      </c>
      <c r="J1720">
        <v>0</v>
      </c>
      <c r="K1720">
        <v>0</v>
      </c>
      <c r="L1720">
        <v>0</v>
      </c>
      <c r="M1720">
        <v>0</v>
      </c>
      <c r="N1720">
        <v>30</v>
      </c>
      <c r="O1720">
        <v>0</v>
      </c>
      <c r="P1720">
        <v>0</v>
      </c>
      <c r="Q1720">
        <v>0</v>
      </c>
      <c r="R1720">
        <v>0</v>
      </c>
      <c r="S1720">
        <v>0</v>
      </c>
      <c r="T1720">
        <v>0</v>
      </c>
      <c r="U1720">
        <v>0</v>
      </c>
      <c r="V1720">
        <v>53</v>
      </c>
      <c r="W1720">
        <v>371</v>
      </c>
      <c r="X1720">
        <v>0</v>
      </c>
      <c r="Z1720">
        <v>0</v>
      </c>
      <c r="AA1720">
        <v>0</v>
      </c>
      <c r="AB1720">
        <v>2</v>
      </c>
      <c r="AC1720">
        <v>34</v>
      </c>
      <c r="AD1720" t="s">
        <v>3479</v>
      </c>
    </row>
    <row r="1721" spans="1:30" x14ac:dyDescent="0.25">
      <c r="H1721" t="s">
        <v>570</v>
      </c>
    </row>
    <row r="1722" spans="1:30" x14ac:dyDescent="0.25">
      <c r="A1722">
        <v>858</v>
      </c>
      <c r="B1722">
        <v>2661</v>
      </c>
      <c r="C1722" t="s">
        <v>3483</v>
      </c>
      <c r="D1722" t="s">
        <v>3484</v>
      </c>
      <c r="E1722" t="s">
        <v>120</v>
      </c>
      <c r="F1722" t="s">
        <v>3485</v>
      </c>
      <c r="G1722" t="str">
        <f>"201406005941"</f>
        <v>201406005941</v>
      </c>
      <c r="H1722" t="s">
        <v>2937</v>
      </c>
      <c r="I1722">
        <v>0</v>
      </c>
      <c r="J1722">
        <v>0</v>
      </c>
      <c r="K1722">
        <v>0</v>
      </c>
      <c r="L1722">
        <v>0</v>
      </c>
      <c r="M1722">
        <v>0</v>
      </c>
      <c r="N1722">
        <v>0</v>
      </c>
      <c r="O1722">
        <v>0</v>
      </c>
      <c r="P1722">
        <v>0</v>
      </c>
      <c r="Q1722">
        <v>0</v>
      </c>
      <c r="R1722">
        <v>0</v>
      </c>
      <c r="S1722">
        <v>0</v>
      </c>
      <c r="T1722">
        <v>0</v>
      </c>
      <c r="U1722">
        <v>0</v>
      </c>
      <c r="V1722">
        <v>49</v>
      </c>
      <c r="W1722">
        <v>343</v>
      </c>
      <c r="X1722">
        <v>0</v>
      </c>
      <c r="Z1722">
        <v>2</v>
      </c>
      <c r="AA1722">
        <v>0</v>
      </c>
      <c r="AB1722">
        <v>5</v>
      </c>
      <c r="AC1722">
        <v>85</v>
      </c>
      <c r="AD1722" t="s">
        <v>3486</v>
      </c>
    </row>
    <row r="1723" spans="1:30" x14ac:dyDescent="0.25">
      <c r="H1723" t="s">
        <v>3487</v>
      </c>
    </row>
    <row r="1724" spans="1:30" x14ac:dyDescent="0.25">
      <c r="A1724">
        <v>859</v>
      </c>
      <c r="B1724">
        <v>2997</v>
      </c>
      <c r="C1724" t="s">
        <v>3488</v>
      </c>
      <c r="D1724" t="s">
        <v>3489</v>
      </c>
      <c r="E1724" t="s">
        <v>28</v>
      </c>
      <c r="F1724" t="s">
        <v>3490</v>
      </c>
      <c r="G1724" t="str">
        <f>"00150770"</f>
        <v>00150770</v>
      </c>
      <c r="H1724" t="s">
        <v>1549</v>
      </c>
      <c r="I1724">
        <v>0</v>
      </c>
      <c r="J1724">
        <v>0</v>
      </c>
      <c r="K1724">
        <v>0</v>
      </c>
      <c r="L1724">
        <v>0</v>
      </c>
      <c r="M1724">
        <v>0</v>
      </c>
      <c r="N1724">
        <v>30</v>
      </c>
      <c r="O1724">
        <v>0</v>
      </c>
      <c r="P1724">
        <v>0</v>
      </c>
      <c r="Q1724">
        <v>0</v>
      </c>
      <c r="R1724">
        <v>0</v>
      </c>
      <c r="S1724">
        <v>0</v>
      </c>
      <c r="T1724">
        <v>0</v>
      </c>
      <c r="U1724">
        <v>0</v>
      </c>
      <c r="V1724">
        <v>56</v>
      </c>
      <c r="W1724">
        <v>392</v>
      </c>
      <c r="X1724">
        <v>0</v>
      </c>
      <c r="Z1724">
        <v>0</v>
      </c>
      <c r="AA1724">
        <v>0</v>
      </c>
      <c r="AB1724">
        <v>0</v>
      </c>
      <c r="AC1724">
        <v>0</v>
      </c>
      <c r="AD1724" t="s">
        <v>3491</v>
      </c>
    </row>
    <row r="1725" spans="1:30" x14ac:dyDescent="0.25">
      <c r="H1725" t="s">
        <v>3492</v>
      </c>
    </row>
    <row r="1726" spans="1:30" x14ac:dyDescent="0.25">
      <c r="A1726">
        <v>860</v>
      </c>
      <c r="B1726">
        <v>4591</v>
      </c>
      <c r="C1726" t="s">
        <v>3493</v>
      </c>
      <c r="D1726" t="s">
        <v>76</v>
      </c>
      <c r="E1726" t="s">
        <v>32</v>
      </c>
      <c r="F1726" t="s">
        <v>3494</v>
      </c>
      <c r="G1726" t="str">
        <f>"201511017986"</f>
        <v>201511017986</v>
      </c>
      <c r="H1726" t="s">
        <v>431</v>
      </c>
      <c r="I1726">
        <v>0</v>
      </c>
      <c r="J1726">
        <v>0</v>
      </c>
      <c r="K1726">
        <v>0</v>
      </c>
      <c r="L1726">
        <v>0</v>
      </c>
      <c r="M1726">
        <v>0</v>
      </c>
      <c r="N1726">
        <v>50</v>
      </c>
      <c r="O1726">
        <v>0</v>
      </c>
      <c r="P1726">
        <v>0</v>
      </c>
      <c r="Q1726">
        <v>0</v>
      </c>
      <c r="R1726">
        <v>0</v>
      </c>
      <c r="S1726">
        <v>0</v>
      </c>
      <c r="T1726">
        <v>0</v>
      </c>
      <c r="U1726">
        <v>0</v>
      </c>
      <c r="V1726">
        <v>0</v>
      </c>
      <c r="W1726">
        <v>0</v>
      </c>
      <c r="X1726">
        <v>0</v>
      </c>
      <c r="Z1726">
        <v>0</v>
      </c>
      <c r="AA1726">
        <v>0</v>
      </c>
      <c r="AB1726">
        <v>24</v>
      </c>
      <c r="AC1726">
        <v>408</v>
      </c>
      <c r="AD1726" t="s">
        <v>3495</v>
      </c>
    </row>
    <row r="1727" spans="1:30" x14ac:dyDescent="0.25">
      <c r="H1727" t="s">
        <v>3496</v>
      </c>
    </row>
    <row r="1728" spans="1:30" x14ac:dyDescent="0.25">
      <c r="A1728">
        <v>861</v>
      </c>
      <c r="B1728">
        <v>3304</v>
      </c>
      <c r="C1728" t="s">
        <v>3497</v>
      </c>
      <c r="D1728" t="s">
        <v>180</v>
      </c>
      <c r="E1728" t="s">
        <v>120</v>
      </c>
      <c r="F1728" t="s">
        <v>3498</v>
      </c>
      <c r="G1728" t="str">
        <f>"201412005487"</f>
        <v>201412005487</v>
      </c>
      <c r="H1728">
        <v>704</v>
      </c>
      <c r="I1728">
        <v>0</v>
      </c>
      <c r="J1728">
        <v>0</v>
      </c>
      <c r="K1728">
        <v>0</v>
      </c>
      <c r="L1728">
        <v>0</v>
      </c>
      <c r="M1728">
        <v>0</v>
      </c>
      <c r="N1728">
        <v>30</v>
      </c>
      <c r="O1728">
        <v>0</v>
      </c>
      <c r="P1728">
        <v>0</v>
      </c>
      <c r="Q1728">
        <v>0</v>
      </c>
      <c r="R1728">
        <v>0</v>
      </c>
      <c r="S1728">
        <v>0</v>
      </c>
      <c r="T1728">
        <v>0</v>
      </c>
      <c r="U1728">
        <v>0</v>
      </c>
      <c r="V1728">
        <v>55</v>
      </c>
      <c r="W1728">
        <v>385</v>
      </c>
      <c r="X1728">
        <v>0</v>
      </c>
      <c r="Z1728">
        <v>0</v>
      </c>
      <c r="AA1728">
        <v>0</v>
      </c>
      <c r="AB1728">
        <v>0</v>
      </c>
      <c r="AC1728">
        <v>0</v>
      </c>
      <c r="AD1728">
        <v>1119</v>
      </c>
    </row>
    <row r="1729" spans="1:30" x14ac:dyDescent="0.25">
      <c r="H1729" t="s">
        <v>3499</v>
      </c>
    </row>
    <row r="1730" spans="1:30" x14ac:dyDescent="0.25">
      <c r="A1730">
        <v>862</v>
      </c>
      <c r="B1730">
        <v>3470</v>
      </c>
      <c r="C1730" t="s">
        <v>3500</v>
      </c>
      <c r="D1730" t="s">
        <v>3501</v>
      </c>
      <c r="E1730" t="s">
        <v>76</v>
      </c>
      <c r="F1730" t="s">
        <v>3502</v>
      </c>
      <c r="G1730" t="str">
        <f>"00161587"</f>
        <v>00161587</v>
      </c>
      <c r="H1730">
        <v>660</v>
      </c>
      <c r="I1730">
        <v>0</v>
      </c>
      <c r="J1730">
        <v>0</v>
      </c>
      <c r="K1730">
        <v>0</v>
      </c>
      <c r="L1730">
        <v>0</v>
      </c>
      <c r="M1730">
        <v>0</v>
      </c>
      <c r="N1730">
        <v>30</v>
      </c>
      <c r="O1730">
        <v>0</v>
      </c>
      <c r="P1730">
        <v>0</v>
      </c>
      <c r="Q1730">
        <v>0</v>
      </c>
      <c r="R1730">
        <v>0</v>
      </c>
      <c r="S1730">
        <v>0</v>
      </c>
      <c r="T1730">
        <v>0</v>
      </c>
      <c r="U1730">
        <v>0</v>
      </c>
      <c r="V1730">
        <v>3</v>
      </c>
      <c r="W1730">
        <v>21</v>
      </c>
      <c r="X1730">
        <v>0</v>
      </c>
      <c r="Z1730">
        <v>0</v>
      </c>
      <c r="AA1730">
        <v>0</v>
      </c>
      <c r="AB1730">
        <v>24</v>
      </c>
      <c r="AC1730">
        <v>408</v>
      </c>
      <c r="AD1730">
        <v>1119</v>
      </c>
    </row>
    <row r="1731" spans="1:30" x14ac:dyDescent="0.25">
      <c r="H1731" t="s">
        <v>3503</v>
      </c>
    </row>
    <row r="1732" spans="1:30" x14ac:dyDescent="0.25">
      <c r="A1732">
        <v>863</v>
      </c>
      <c r="B1732">
        <v>4902</v>
      </c>
      <c r="C1732" t="s">
        <v>3504</v>
      </c>
      <c r="D1732" t="s">
        <v>28</v>
      </c>
      <c r="E1732" t="s">
        <v>859</v>
      </c>
      <c r="F1732" t="s">
        <v>3505</v>
      </c>
      <c r="G1732" t="str">
        <f>"00206086"</f>
        <v>00206086</v>
      </c>
      <c r="H1732" t="s">
        <v>1388</v>
      </c>
      <c r="I1732">
        <v>0</v>
      </c>
      <c r="J1732">
        <v>0</v>
      </c>
      <c r="K1732">
        <v>0</v>
      </c>
      <c r="L1732">
        <v>0</v>
      </c>
      <c r="M1732">
        <v>0</v>
      </c>
      <c r="N1732">
        <v>70</v>
      </c>
      <c r="O1732">
        <v>30</v>
      </c>
      <c r="P1732">
        <v>0</v>
      </c>
      <c r="Q1732">
        <v>0</v>
      </c>
      <c r="R1732">
        <v>0</v>
      </c>
      <c r="S1732">
        <v>0</v>
      </c>
      <c r="T1732">
        <v>0</v>
      </c>
      <c r="U1732">
        <v>0</v>
      </c>
      <c r="V1732">
        <v>42</v>
      </c>
      <c r="W1732">
        <v>294</v>
      </c>
      <c r="X1732">
        <v>0</v>
      </c>
      <c r="Z1732">
        <v>0</v>
      </c>
      <c r="AA1732">
        <v>0</v>
      </c>
      <c r="AB1732">
        <v>0</v>
      </c>
      <c r="AC1732">
        <v>0</v>
      </c>
      <c r="AD1732" t="s">
        <v>3506</v>
      </c>
    </row>
    <row r="1733" spans="1:30" x14ac:dyDescent="0.25">
      <c r="H1733" t="s">
        <v>3507</v>
      </c>
    </row>
    <row r="1734" spans="1:30" x14ac:dyDescent="0.25">
      <c r="A1734">
        <v>864</v>
      </c>
      <c r="B1734">
        <v>1422</v>
      </c>
      <c r="C1734" t="s">
        <v>686</v>
      </c>
      <c r="D1734" t="s">
        <v>3508</v>
      </c>
      <c r="E1734" t="s">
        <v>28</v>
      </c>
      <c r="F1734" t="s">
        <v>3509</v>
      </c>
      <c r="G1734" t="str">
        <f>"201402002350"</f>
        <v>201402002350</v>
      </c>
      <c r="H1734" t="s">
        <v>3510</v>
      </c>
      <c r="I1734">
        <v>0</v>
      </c>
      <c r="J1734">
        <v>0</v>
      </c>
      <c r="K1734">
        <v>0</v>
      </c>
      <c r="L1734">
        <v>0</v>
      </c>
      <c r="M1734">
        <v>0</v>
      </c>
      <c r="N1734">
        <v>30</v>
      </c>
      <c r="O1734">
        <v>0</v>
      </c>
      <c r="P1734">
        <v>0</v>
      </c>
      <c r="Q1734">
        <v>0</v>
      </c>
      <c r="R1734">
        <v>0</v>
      </c>
      <c r="S1734">
        <v>0</v>
      </c>
      <c r="T1734">
        <v>0</v>
      </c>
      <c r="U1734">
        <v>0</v>
      </c>
      <c r="V1734">
        <v>54</v>
      </c>
      <c r="W1734">
        <v>378</v>
      </c>
      <c r="X1734">
        <v>0</v>
      </c>
      <c r="Z1734">
        <v>0</v>
      </c>
      <c r="AA1734">
        <v>0</v>
      </c>
      <c r="AB1734">
        <v>0</v>
      </c>
      <c r="AC1734">
        <v>0</v>
      </c>
      <c r="AD1734" t="s">
        <v>3511</v>
      </c>
    </row>
    <row r="1735" spans="1:30" x14ac:dyDescent="0.25">
      <c r="H1735" t="s">
        <v>3512</v>
      </c>
    </row>
    <row r="1736" spans="1:30" x14ac:dyDescent="0.25">
      <c r="A1736">
        <v>865</v>
      </c>
      <c r="B1736">
        <v>54</v>
      </c>
      <c r="C1736" t="s">
        <v>3513</v>
      </c>
      <c r="D1736" t="s">
        <v>236</v>
      </c>
      <c r="E1736" t="s">
        <v>49</v>
      </c>
      <c r="F1736" t="s">
        <v>3514</v>
      </c>
      <c r="G1736" t="str">
        <f>"201506002188"</f>
        <v>201506002188</v>
      </c>
      <c r="H1736" t="s">
        <v>59</v>
      </c>
      <c r="I1736">
        <v>0</v>
      </c>
      <c r="J1736">
        <v>0</v>
      </c>
      <c r="K1736">
        <v>0</v>
      </c>
      <c r="L1736">
        <v>0</v>
      </c>
      <c r="M1736">
        <v>0</v>
      </c>
      <c r="N1736">
        <v>30</v>
      </c>
      <c r="O1736">
        <v>0</v>
      </c>
      <c r="P1736">
        <v>0</v>
      </c>
      <c r="Q1736">
        <v>0</v>
      </c>
      <c r="R1736">
        <v>0</v>
      </c>
      <c r="S1736">
        <v>0</v>
      </c>
      <c r="T1736">
        <v>0</v>
      </c>
      <c r="U1736">
        <v>0</v>
      </c>
      <c r="V1736">
        <v>51</v>
      </c>
      <c r="W1736">
        <v>357</v>
      </c>
      <c r="X1736">
        <v>0</v>
      </c>
      <c r="Z1736">
        <v>1</v>
      </c>
      <c r="AA1736">
        <v>0</v>
      </c>
      <c r="AB1736">
        <v>0</v>
      </c>
      <c r="AC1736">
        <v>0</v>
      </c>
      <c r="AD1736" t="s">
        <v>3515</v>
      </c>
    </row>
    <row r="1737" spans="1:30" x14ac:dyDescent="0.25">
      <c r="H1737" t="s">
        <v>1327</v>
      </c>
    </row>
    <row r="1738" spans="1:30" x14ac:dyDescent="0.25">
      <c r="A1738">
        <v>866</v>
      </c>
      <c r="B1738">
        <v>5312</v>
      </c>
      <c r="C1738" t="s">
        <v>3516</v>
      </c>
      <c r="D1738" t="s">
        <v>3517</v>
      </c>
      <c r="E1738" t="s">
        <v>28</v>
      </c>
      <c r="F1738" t="s">
        <v>3518</v>
      </c>
      <c r="G1738" t="str">
        <f>"00170526"</f>
        <v>00170526</v>
      </c>
      <c r="H1738">
        <v>660</v>
      </c>
      <c r="I1738">
        <v>0</v>
      </c>
      <c r="J1738">
        <v>0</v>
      </c>
      <c r="K1738">
        <v>0</v>
      </c>
      <c r="L1738">
        <v>0</v>
      </c>
      <c r="M1738">
        <v>0</v>
      </c>
      <c r="N1738">
        <v>30</v>
      </c>
      <c r="O1738">
        <v>0</v>
      </c>
      <c r="P1738">
        <v>0</v>
      </c>
      <c r="Q1738">
        <v>0</v>
      </c>
      <c r="R1738">
        <v>0</v>
      </c>
      <c r="S1738">
        <v>0</v>
      </c>
      <c r="T1738">
        <v>0</v>
      </c>
      <c r="U1738">
        <v>0</v>
      </c>
      <c r="V1738">
        <v>61</v>
      </c>
      <c r="W1738">
        <v>427</v>
      </c>
      <c r="X1738">
        <v>0</v>
      </c>
      <c r="Z1738">
        <v>0</v>
      </c>
      <c r="AA1738">
        <v>0</v>
      </c>
      <c r="AB1738">
        <v>0</v>
      </c>
      <c r="AC1738">
        <v>0</v>
      </c>
      <c r="AD1738">
        <v>1117</v>
      </c>
    </row>
    <row r="1739" spans="1:30" x14ac:dyDescent="0.25">
      <c r="H1739" t="s">
        <v>3519</v>
      </c>
    </row>
    <row r="1740" spans="1:30" x14ac:dyDescent="0.25">
      <c r="A1740">
        <v>867</v>
      </c>
      <c r="B1740">
        <v>270</v>
      </c>
      <c r="C1740" t="s">
        <v>3520</v>
      </c>
      <c r="D1740" t="s">
        <v>772</v>
      </c>
      <c r="E1740" t="s">
        <v>1169</v>
      </c>
      <c r="F1740" t="s">
        <v>3521</v>
      </c>
      <c r="G1740" t="str">
        <f>"201405000098"</f>
        <v>201405000098</v>
      </c>
      <c r="H1740" t="s">
        <v>2129</v>
      </c>
      <c r="I1740">
        <v>0</v>
      </c>
      <c r="J1740">
        <v>0</v>
      </c>
      <c r="K1740">
        <v>0</v>
      </c>
      <c r="L1740">
        <v>0</v>
      </c>
      <c r="M1740">
        <v>0</v>
      </c>
      <c r="N1740">
        <v>0</v>
      </c>
      <c r="O1740">
        <v>0</v>
      </c>
      <c r="P1740">
        <v>0</v>
      </c>
      <c r="Q1740">
        <v>0</v>
      </c>
      <c r="R1740">
        <v>0</v>
      </c>
      <c r="S1740">
        <v>0</v>
      </c>
      <c r="T1740">
        <v>0</v>
      </c>
      <c r="U1740">
        <v>0</v>
      </c>
      <c r="V1740">
        <v>38</v>
      </c>
      <c r="W1740">
        <v>266</v>
      </c>
      <c r="X1740">
        <v>0</v>
      </c>
      <c r="Z1740">
        <v>0</v>
      </c>
      <c r="AA1740">
        <v>0</v>
      </c>
      <c r="AB1740">
        <v>0</v>
      </c>
      <c r="AC1740">
        <v>0</v>
      </c>
      <c r="AD1740" t="s">
        <v>3522</v>
      </c>
    </row>
    <row r="1741" spans="1:30" x14ac:dyDescent="0.25">
      <c r="H1741" t="s">
        <v>3523</v>
      </c>
    </row>
    <row r="1742" spans="1:30" x14ac:dyDescent="0.25">
      <c r="A1742">
        <v>868</v>
      </c>
      <c r="B1742">
        <v>4626</v>
      </c>
      <c r="C1742" t="s">
        <v>3524</v>
      </c>
      <c r="D1742" t="s">
        <v>3525</v>
      </c>
      <c r="E1742" t="s">
        <v>254</v>
      </c>
      <c r="F1742" t="s">
        <v>3526</v>
      </c>
      <c r="G1742" t="str">
        <f>"00192961"</f>
        <v>00192961</v>
      </c>
      <c r="H1742" t="s">
        <v>1383</v>
      </c>
      <c r="I1742">
        <v>0</v>
      </c>
      <c r="J1742">
        <v>0</v>
      </c>
      <c r="K1742">
        <v>0</v>
      </c>
      <c r="L1742">
        <v>0</v>
      </c>
      <c r="M1742">
        <v>0</v>
      </c>
      <c r="N1742">
        <v>30</v>
      </c>
      <c r="O1742">
        <v>0</v>
      </c>
      <c r="P1742">
        <v>0</v>
      </c>
      <c r="Q1742">
        <v>0</v>
      </c>
      <c r="R1742">
        <v>0</v>
      </c>
      <c r="S1742">
        <v>0</v>
      </c>
      <c r="T1742">
        <v>0</v>
      </c>
      <c r="U1742">
        <v>0</v>
      </c>
      <c r="V1742">
        <v>30</v>
      </c>
      <c r="W1742">
        <v>210</v>
      </c>
      <c r="X1742">
        <v>0</v>
      </c>
      <c r="Z1742">
        <v>0</v>
      </c>
      <c r="AA1742">
        <v>0</v>
      </c>
      <c r="AB1742">
        <v>0</v>
      </c>
      <c r="AC1742">
        <v>0</v>
      </c>
      <c r="AD1742" t="s">
        <v>3527</v>
      </c>
    </row>
    <row r="1743" spans="1:30" x14ac:dyDescent="0.25">
      <c r="H1743" t="s">
        <v>3528</v>
      </c>
    </row>
    <row r="1744" spans="1:30" x14ac:dyDescent="0.25">
      <c r="A1744">
        <v>869</v>
      </c>
      <c r="B1744">
        <v>5443</v>
      </c>
      <c r="C1744" t="s">
        <v>3059</v>
      </c>
      <c r="D1744" t="s">
        <v>3529</v>
      </c>
      <c r="E1744" t="s">
        <v>33</v>
      </c>
      <c r="F1744" t="s">
        <v>3530</v>
      </c>
      <c r="G1744" t="str">
        <f>"00232773"</f>
        <v>00232773</v>
      </c>
      <c r="H1744" t="s">
        <v>363</v>
      </c>
      <c r="I1744">
        <v>0</v>
      </c>
      <c r="J1744">
        <v>0</v>
      </c>
      <c r="K1744">
        <v>0</v>
      </c>
      <c r="L1744">
        <v>0</v>
      </c>
      <c r="M1744">
        <v>0</v>
      </c>
      <c r="N1744">
        <v>30</v>
      </c>
      <c r="O1744">
        <v>0</v>
      </c>
      <c r="P1744">
        <v>0</v>
      </c>
      <c r="Q1744">
        <v>0</v>
      </c>
      <c r="R1744">
        <v>0</v>
      </c>
      <c r="S1744">
        <v>0</v>
      </c>
      <c r="T1744">
        <v>0</v>
      </c>
      <c r="U1744">
        <v>0</v>
      </c>
      <c r="V1744">
        <v>57</v>
      </c>
      <c r="W1744">
        <v>399</v>
      </c>
      <c r="X1744">
        <v>0</v>
      </c>
      <c r="Z1744">
        <v>0</v>
      </c>
      <c r="AA1744">
        <v>0</v>
      </c>
      <c r="AB1744">
        <v>0</v>
      </c>
      <c r="AC1744">
        <v>0</v>
      </c>
      <c r="AD1744" t="s">
        <v>3531</v>
      </c>
    </row>
    <row r="1745" spans="1:30" x14ac:dyDescent="0.25">
      <c r="H1745" t="s">
        <v>3532</v>
      </c>
    </row>
    <row r="1746" spans="1:30" x14ac:dyDescent="0.25">
      <c r="A1746">
        <v>870</v>
      </c>
      <c r="B1746">
        <v>5354</v>
      </c>
      <c r="C1746" t="s">
        <v>3533</v>
      </c>
      <c r="D1746" t="s">
        <v>1011</v>
      </c>
      <c r="E1746" t="s">
        <v>102</v>
      </c>
      <c r="F1746" t="s">
        <v>3534</v>
      </c>
      <c r="G1746" t="str">
        <f>"00349205"</f>
        <v>00349205</v>
      </c>
      <c r="H1746" t="s">
        <v>919</v>
      </c>
      <c r="I1746">
        <v>0</v>
      </c>
      <c r="J1746">
        <v>0</v>
      </c>
      <c r="K1746">
        <v>0</v>
      </c>
      <c r="L1746">
        <v>0</v>
      </c>
      <c r="M1746">
        <v>0</v>
      </c>
      <c r="N1746">
        <v>30</v>
      </c>
      <c r="O1746">
        <v>0</v>
      </c>
      <c r="P1746">
        <v>0</v>
      </c>
      <c r="Q1746">
        <v>0</v>
      </c>
      <c r="R1746">
        <v>0</v>
      </c>
      <c r="S1746">
        <v>0</v>
      </c>
      <c r="T1746">
        <v>0</v>
      </c>
      <c r="U1746">
        <v>0</v>
      </c>
      <c r="V1746">
        <v>48</v>
      </c>
      <c r="W1746">
        <v>336</v>
      </c>
      <c r="X1746">
        <v>0</v>
      </c>
      <c r="Z1746">
        <v>0</v>
      </c>
      <c r="AA1746">
        <v>0</v>
      </c>
      <c r="AB1746">
        <v>0</v>
      </c>
      <c r="AC1746">
        <v>0</v>
      </c>
      <c r="AD1746" t="s">
        <v>3535</v>
      </c>
    </row>
    <row r="1747" spans="1:30" x14ac:dyDescent="0.25">
      <c r="H1747" t="s">
        <v>1327</v>
      </c>
    </row>
    <row r="1748" spans="1:30" x14ac:dyDescent="0.25">
      <c r="A1748">
        <v>871</v>
      </c>
      <c r="B1748">
        <v>4313</v>
      </c>
      <c r="C1748" t="s">
        <v>3536</v>
      </c>
      <c r="D1748" t="s">
        <v>772</v>
      </c>
      <c r="E1748" t="s">
        <v>959</v>
      </c>
      <c r="F1748" t="s">
        <v>3537</v>
      </c>
      <c r="G1748" t="str">
        <f>"201510002221"</f>
        <v>201510002221</v>
      </c>
      <c r="H1748">
        <v>649</v>
      </c>
      <c r="I1748">
        <v>0</v>
      </c>
      <c r="J1748">
        <v>0</v>
      </c>
      <c r="K1748">
        <v>0</v>
      </c>
      <c r="L1748">
        <v>0</v>
      </c>
      <c r="M1748">
        <v>0</v>
      </c>
      <c r="N1748">
        <v>0</v>
      </c>
      <c r="O1748">
        <v>0</v>
      </c>
      <c r="P1748">
        <v>0</v>
      </c>
      <c r="Q1748">
        <v>0</v>
      </c>
      <c r="R1748">
        <v>0</v>
      </c>
      <c r="S1748">
        <v>0</v>
      </c>
      <c r="T1748">
        <v>0</v>
      </c>
      <c r="U1748">
        <v>0</v>
      </c>
      <c r="V1748">
        <v>66</v>
      </c>
      <c r="W1748">
        <v>462</v>
      </c>
      <c r="X1748">
        <v>0</v>
      </c>
      <c r="Z1748">
        <v>1</v>
      </c>
      <c r="AA1748">
        <v>0</v>
      </c>
      <c r="AB1748">
        <v>0</v>
      </c>
      <c r="AC1748">
        <v>0</v>
      </c>
      <c r="AD1748">
        <v>1111</v>
      </c>
    </row>
    <row r="1749" spans="1:30" x14ac:dyDescent="0.25">
      <c r="H1749" t="s">
        <v>727</v>
      </c>
    </row>
    <row r="1750" spans="1:30" x14ac:dyDescent="0.25">
      <c r="A1750">
        <v>872</v>
      </c>
      <c r="B1750">
        <v>5856</v>
      </c>
      <c r="C1750" t="s">
        <v>3538</v>
      </c>
      <c r="D1750" t="s">
        <v>120</v>
      </c>
      <c r="E1750" t="s">
        <v>337</v>
      </c>
      <c r="F1750" t="s">
        <v>3539</v>
      </c>
      <c r="G1750" t="str">
        <f>"00342229"</f>
        <v>00342229</v>
      </c>
      <c r="H1750" t="s">
        <v>1838</v>
      </c>
      <c r="I1750">
        <v>0</v>
      </c>
      <c r="J1750">
        <v>0</v>
      </c>
      <c r="K1750">
        <v>0</v>
      </c>
      <c r="L1750">
        <v>0</v>
      </c>
      <c r="M1750">
        <v>0</v>
      </c>
      <c r="N1750">
        <v>0</v>
      </c>
      <c r="O1750">
        <v>0</v>
      </c>
      <c r="P1750">
        <v>0</v>
      </c>
      <c r="Q1750">
        <v>0</v>
      </c>
      <c r="R1750">
        <v>0</v>
      </c>
      <c r="S1750">
        <v>0</v>
      </c>
      <c r="T1750">
        <v>0</v>
      </c>
      <c r="U1750">
        <v>0</v>
      </c>
      <c r="V1750">
        <v>51</v>
      </c>
      <c r="W1750">
        <v>357</v>
      </c>
      <c r="X1750">
        <v>0</v>
      </c>
      <c r="Z1750">
        <v>1</v>
      </c>
      <c r="AA1750">
        <v>0</v>
      </c>
      <c r="AB1750">
        <v>0</v>
      </c>
      <c r="AC1750">
        <v>0</v>
      </c>
      <c r="AD1750" t="s">
        <v>3540</v>
      </c>
    </row>
    <row r="1751" spans="1:30" x14ac:dyDescent="0.25">
      <c r="H1751" t="s">
        <v>3541</v>
      </c>
    </row>
    <row r="1752" spans="1:30" x14ac:dyDescent="0.25">
      <c r="A1752">
        <v>873</v>
      </c>
      <c r="B1752">
        <v>949</v>
      </c>
      <c r="C1752" t="s">
        <v>2266</v>
      </c>
      <c r="D1752" t="s">
        <v>3064</v>
      </c>
      <c r="E1752" t="s">
        <v>254</v>
      </c>
      <c r="F1752" t="s">
        <v>3542</v>
      </c>
      <c r="G1752" t="str">
        <f>"00190614"</f>
        <v>00190614</v>
      </c>
      <c r="H1752" t="s">
        <v>349</v>
      </c>
      <c r="I1752">
        <v>0</v>
      </c>
      <c r="J1752">
        <v>0</v>
      </c>
      <c r="K1752">
        <v>0</v>
      </c>
      <c r="L1752">
        <v>200</v>
      </c>
      <c r="M1752">
        <v>0</v>
      </c>
      <c r="N1752">
        <v>30</v>
      </c>
      <c r="O1752">
        <v>0</v>
      </c>
      <c r="P1752">
        <v>0</v>
      </c>
      <c r="Q1752">
        <v>0</v>
      </c>
      <c r="R1752">
        <v>0</v>
      </c>
      <c r="S1752">
        <v>0</v>
      </c>
      <c r="T1752">
        <v>0</v>
      </c>
      <c r="U1752">
        <v>0</v>
      </c>
      <c r="V1752">
        <v>16</v>
      </c>
      <c r="W1752">
        <v>112</v>
      </c>
      <c r="X1752">
        <v>0</v>
      </c>
      <c r="Z1752">
        <v>0</v>
      </c>
      <c r="AA1752">
        <v>0</v>
      </c>
      <c r="AB1752">
        <v>0</v>
      </c>
      <c r="AC1752">
        <v>0</v>
      </c>
      <c r="AD1752" t="s">
        <v>3543</v>
      </c>
    </row>
    <row r="1753" spans="1:30" x14ac:dyDescent="0.25">
      <c r="H1753" t="s">
        <v>3544</v>
      </c>
    </row>
    <row r="1754" spans="1:30" x14ac:dyDescent="0.25">
      <c r="A1754">
        <v>874</v>
      </c>
      <c r="B1754">
        <v>2973</v>
      </c>
      <c r="C1754" t="s">
        <v>3545</v>
      </c>
      <c r="D1754" t="s">
        <v>1304</v>
      </c>
      <c r="E1754" t="s">
        <v>102</v>
      </c>
      <c r="F1754" t="s">
        <v>3546</v>
      </c>
      <c r="G1754" t="str">
        <f>"00203176"</f>
        <v>00203176</v>
      </c>
      <c r="H1754" t="s">
        <v>144</v>
      </c>
      <c r="I1754">
        <v>0</v>
      </c>
      <c r="J1754">
        <v>0</v>
      </c>
      <c r="K1754">
        <v>0</v>
      </c>
      <c r="L1754">
        <v>0</v>
      </c>
      <c r="M1754">
        <v>0</v>
      </c>
      <c r="N1754">
        <v>0</v>
      </c>
      <c r="O1754">
        <v>0</v>
      </c>
      <c r="P1754">
        <v>0</v>
      </c>
      <c r="Q1754">
        <v>0</v>
      </c>
      <c r="R1754">
        <v>0</v>
      </c>
      <c r="S1754">
        <v>0</v>
      </c>
      <c r="T1754">
        <v>0</v>
      </c>
      <c r="U1754">
        <v>0</v>
      </c>
      <c r="V1754">
        <v>43</v>
      </c>
      <c r="W1754">
        <v>301</v>
      </c>
      <c r="X1754">
        <v>0</v>
      </c>
      <c r="Z1754">
        <v>1</v>
      </c>
      <c r="AA1754">
        <v>0</v>
      </c>
      <c r="AB1754">
        <v>5</v>
      </c>
      <c r="AC1754">
        <v>85</v>
      </c>
      <c r="AD1754" t="s">
        <v>3547</v>
      </c>
    </row>
    <row r="1755" spans="1:30" x14ac:dyDescent="0.25">
      <c r="H1755" t="s">
        <v>3548</v>
      </c>
    </row>
    <row r="1756" spans="1:30" x14ac:dyDescent="0.25">
      <c r="A1756">
        <v>875</v>
      </c>
      <c r="B1756">
        <v>2842</v>
      </c>
      <c r="C1756" t="s">
        <v>3549</v>
      </c>
      <c r="D1756" t="s">
        <v>106</v>
      </c>
      <c r="E1756" t="s">
        <v>28</v>
      </c>
      <c r="F1756" t="s">
        <v>3550</v>
      </c>
      <c r="G1756" t="str">
        <f>"200809000793"</f>
        <v>200809000793</v>
      </c>
      <c r="H1756" t="s">
        <v>562</v>
      </c>
      <c r="I1756">
        <v>0</v>
      </c>
      <c r="J1756">
        <v>0</v>
      </c>
      <c r="K1756">
        <v>0</v>
      </c>
      <c r="L1756">
        <v>0</v>
      </c>
      <c r="M1756">
        <v>0</v>
      </c>
      <c r="N1756">
        <v>30</v>
      </c>
      <c r="O1756">
        <v>0</v>
      </c>
      <c r="P1756">
        <v>0</v>
      </c>
      <c r="Q1756">
        <v>0</v>
      </c>
      <c r="R1756">
        <v>0</v>
      </c>
      <c r="S1756">
        <v>0</v>
      </c>
      <c r="T1756">
        <v>0</v>
      </c>
      <c r="U1756">
        <v>0</v>
      </c>
      <c r="V1756">
        <v>36</v>
      </c>
      <c r="W1756">
        <v>252</v>
      </c>
      <c r="X1756">
        <v>0</v>
      </c>
      <c r="Z1756">
        <v>0</v>
      </c>
      <c r="AA1756">
        <v>0</v>
      </c>
      <c r="AB1756">
        <v>5</v>
      </c>
      <c r="AC1756">
        <v>85</v>
      </c>
      <c r="AD1756" t="s">
        <v>3551</v>
      </c>
    </row>
    <row r="1757" spans="1:30" x14ac:dyDescent="0.25">
      <c r="H1757" t="s">
        <v>3552</v>
      </c>
    </row>
    <row r="1758" spans="1:30" x14ac:dyDescent="0.25">
      <c r="A1758">
        <v>876</v>
      </c>
      <c r="B1758">
        <v>1403</v>
      </c>
      <c r="C1758" t="s">
        <v>3553</v>
      </c>
      <c r="D1758" t="s">
        <v>44</v>
      </c>
      <c r="E1758" t="s">
        <v>602</v>
      </c>
      <c r="F1758" t="s">
        <v>3554</v>
      </c>
      <c r="G1758" t="str">
        <f>"200904000515"</f>
        <v>200904000515</v>
      </c>
      <c r="H1758" t="s">
        <v>285</v>
      </c>
      <c r="I1758">
        <v>0</v>
      </c>
      <c r="J1758">
        <v>0</v>
      </c>
      <c r="K1758">
        <v>0</v>
      </c>
      <c r="L1758">
        <v>0</v>
      </c>
      <c r="M1758">
        <v>0</v>
      </c>
      <c r="N1758">
        <v>50</v>
      </c>
      <c r="O1758">
        <v>0</v>
      </c>
      <c r="P1758">
        <v>0</v>
      </c>
      <c r="Q1758">
        <v>0</v>
      </c>
      <c r="R1758">
        <v>0</v>
      </c>
      <c r="S1758">
        <v>0</v>
      </c>
      <c r="T1758">
        <v>0</v>
      </c>
      <c r="U1758">
        <v>0</v>
      </c>
      <c r="V1758">
        <v>52</v>
      </c>
      <c r="W1758">
        <v>364</v>
      </c>
      <c r="X1758">
        <v>0</v>
      </c>
      <c r="Z1758">
        <v>0</v>
      </c>
      <c r="AA1758">
        <v>0</v>
      </c>
      <c r="AB1758">
        <v>0</v>
      </c>
      <c r="AC1758">
        <v>0</v>
      </c>
      <c r="AD1758" t="s">
        <v>3555</v>
      </c>
    </row>
    <row r="1759" spans="1:30" x14ac:dyDescent="0.25">
      <c r="H1759" t="s">
        <v>3556</v>
      </c>
    </row>
    <row r="1760" spans="1:30" x14ac:dyDescent="0.25">
      <c r="A1760">
        <v>877</v>
      </c>
      <c r="B1760">
        <v>3382</v>
      </c>
      <c r="C1760" t="s">
        <v>3557</v>
      </c>
      <c r="D1760" t="s">
        <v>425</v>
      </c>
      <c r="E1760" t="s">
        <v>28</v>
      </c>
      <c r="F1760" t="s">
        <v>3558</v>
      </c>
      <c r="G1760" t="str">
        <f>"201411000690"</f>
        <v>201411000690</v>
      </c>
      <c r="H1760" t="s">
        <v>1978</v>
      </c>
      <c r="I1760">
        <v>0</v>
      </c>
      <c r="J1760">
        <v>0</v>
      </c>
      <c r="K1760">
        <v>0</v>
      </c>
      <c r="L1760">
        <v>200</v>
      </c>
      <c r="M1760">
        <v>0</v>
      </c>
      <c r="N1760">
        <v>50</v>
      </c>
      <c r="O1760">
        <v>0</v>
      </c>
      <c r="P1760">
        <v>0</v>
      </c>
      <c r="Q1760">
        <v>0</v>
      </c>
      <c r="R1760">
        <v>0</v>
      </c>
      <c r="S1760">
        <v>0</v>
      </c>
      <c r="T1760">
        <v>0</v>
      </c>
      <c r="U1760">
        <v>0</v>
      </c>
      <c r="V1760">
        <v>0</v>
      </c>
      <c r="W1760">
        <v>0</v>
      </c>
      <c r="X1760">
        <v>0</v>
      </c>
      <c r="Z1760">
        <v>0</v>
      </c>
      <c r="AA1760">
        <v>0</v>
      </c>
      <c r="AB1760">
        <v>0</v>
      </c>
      <c r="AC1760">
        <v>0</v>
      </c>
      <c r="AD1760" t="s">
        <v>3559</v>
      </c>
    </row>
    <row r="1761" spans="1:30" x14ac:dyDescent="0.25">
      <c r="H1761" t="s">
        <v>3560</v>
      </c>
    </row>
    <row r="1762" spans="1:30" x14ac:dyDescent="0.25">
      <c r="A1762">
        <v>878</v>
      </c>
      <c r="B1762">
        <v>3358</v>
      </c>
      <c r="C1762" t="s">
        <v>123</v>
      </c>
      <c r="D1762" t="s">
        <v>283</v>
      </c>
      <c r="E1762" t="s">
        <v>700</v>
      </c>
      <c r="F1762" t="s">
        <v>3561</v>
      </c>
      <c r="G1762" t="str">
        <f>"00350139"</f>
        <v>00350139</v>
      </c>
      <c r="H1762" t="s">
        <v>2598</v>
      </c>
      <c r="I1762">
        <v>0</v>
      </c>
      <c r="J1762">
        <v>0</v>
      </c>
      <c r="K1762">
        <v>0</v>
      </c>
      <c r="L1762">
        <v>0</v>
      </c>
      <c r="M1762">
        <v>0</v>
      </c>
      <c r="N1762">
        <v>30</v>
      </c>
      <c r="O1762">
        <v>0</v>
      </c>
      <c r="P1762">
        <v>0</v>
      </c>
      <c r="Q1762">
        <v>0</v>
      </c>
      <c r="R1762">
        <v>0</v>
      </c>
      <c r="S1762">
        <v>0</v>
      </c>
      <c r="T1762">
        <v>0</v>
      </c>
      <c r="U1762">
        <v>0</v>
      </c>
      <c r="V1762">
        <v>61</v>
      </c>
      <c r="W1762">
        <v>427</v>
      </c>
      <c r="X1762">
        <v>0</v>
      </c>
      <c r="Z1762">
        <v>0</v>
      </c>
      <c r="AA1762">
        <v>0</v>
      </c>
      <c r="AB1762">
        <v>0</v>
      </c>
      <c r="AC1762">
        <v>0</v>
      </c>
      <c r="AD1762" t="s">
        <v>3562</v>
      </c>
    </row>
    <row r="1763" spans="1:30" x14ac:dyDescent="0.25">
      <c r="H1763" t="s">
        <v>3563</v>
      </c>
    </row>
    <row r="1764" spans="1:30" x14ac:dyDescent="0.25">
      <c r="A1764">
        <v>879</v>
      </c>
      <c r="B1764">
        <v>5196</v>
      </c>
      <c r="C1764" t="s">
        <v>3564</v>
      </c>
      <c r="D1764" t="s">
        <v>490</v>
      </c>
      <c r="E1764" t="s">
        <v>3565</v>
      </c>
      <c r="F1764" t="s">
        <v>3566</v>
      </c>
      <c r="G1764" t="str">
        <f>"00166514"</f>
        <v>00166514</v>
      </c>
      <c r="H1764">
        <v>858</v>
      </c>
      <c r="I1764">
        <v>0</v>
      </c>
      <c r="J1764">
        <v>0</v>
      </c>
      <c r="K1764">
        <v>0</v>
      </c>
      <c r="L1764">
        <v>0</v>
      </c>
      <c r="M1764">
        <v>0</v>
      </c>
      <c r="N1764">
        <v>30</v>
      </c>
      <c r="O1764">
        <v>0</v>
      </c>
      <c r="P1764">
        <v>0</v>
      </c>
      <c r="Q1764">
        <v>0</v>
      </c>
      <c r="R1764">
        <v>0</v>
      </c>
      <c r="S1764">
        <v>0</v>
      </c>
      <c r="T1764">
        <v>0</v>
      </c>
      <c r="U1764">
        <v>0</v>
      </c>
      <c r="V1764">
        <v>30</v>
      </c>
      <c r="W1764">
        <v>210</v>
      </c>
      <c r="X1764">
        <v>0</v>
      </c>
      <c r="Z1764">
        <v>1</v>
      </c>
      <c r="AA1764">
        <v>0</v>
      </c>
      <c r="AB1764">
        <v>0</v>
      </c>
      <c r="AC1764">
        <v>0</v>
      </c>
      <c r="AD1764">
        <v>1098</v>
      </c>
    </row>
    <row r="1765" spans="1:30" x14ac:dyDescent="0.25">
      <c r="H1765" t="s">
        <v>3567</v>
      </c>
    </row>
    <row r="1766" spans="1:30" x14ac:dyDescent="0.25">
      <c r="A1766">
        <v>880</v>
      </c>
      <c r="B1766">
        <v>704</v>
      </c>
      <c r="C1766" t="s">
        <v>3568</v>
      </c>
      <c r="D1766" t="s">
        <v>3569</v>
      </c>
      <c r="E1766" t="s">
        <v>28</v>
      </c>
      <c r="F1766" t="s">
        <v>3570</v>
      </c>
      <c r="G1766" t="str">
        <f>"00270192"</f>
        <v>00270192</v>
      </c>
      <c r="H1766" t="s">
        <v>2254</v>
      </c>
      <c r="I1766">
        <v>0</v>
      </c>
      <c r="J1766">
        <v>0</v>
      </c>
      <c r="K1766">
        <v>0</v>
      </c>
      <c r="L1766">
        <v>0</v>
      </c>
      <c r="M1766">
        <v>0</v>
      </c>
      <c r="N1766">
        <v>30</v>
      </c>
      <c r="O1766">
        <v>0</v>
      </c>
      <c r="P1766">
        <v>0</v>
      </c>
      <c r="Q1766">
        <v>0</v>
      </c>
      <c r="R1766">
        <v>0</v>
      </c>
      <c r="S1766">
        <v>0</v>
      </c>
      <c r="T1766">
        <v>0</v>
      </c>
      <c r="U1766">
        <v>0</v>
      </c>
      <c r="V1766">
        <v>56</v>
      </c>
      <c r="W1766">
        <v>392</v>
      </c>
      <c r="X1766">
        <v>0</v>
      </c>
      <c r="Z1766">
        <v>0</v>
      </c>
      <c r="AA1766">
        <v>0</v>
      </c>
      <c r="AB1766">
        <v>0</v>
      </c>
      <c r="AC1766">
        <v>0</v>
      </c>
      <c r="AD1766" t="s">
        <v>3571</v>
      </c>
    </row>
    <row r="1767" spans="1:30" x14ac:dyDescent="0.25">
      <c r="H1767" t="s">
        <v>3572</v>
      </c>
    </row>
    <row r="1768" spans="1:30" x14ac:dyDescent="0.25">
      <c r="A1768">
        <v>881</v>
      </c>
      <c r="B1768">
        <v>2849</v>
      </c>
      <c r="C1768" t="s">
        <v>3573</v>
      </c>
      <c r="D1768" t="s">
        <v>107</v>
      </c>
      <c r="E1768" t="s">
        <v>32</v>
      </c>
      <c r="F1768" t="s">
        <v>3574</v>
      </c>
      <c r="G1768" t="str">
        <f>"201406017175"</f>
        <v>201406017175</v>
      </c>
      <c r="H1768">
        <v>671</v>
      </c>
      <c r="I1768">
        <v>0</v>
      </c>
      <c r="J1768">
        <v>0</v>
      </c>
      <c r="K1768">
        <v>0</v>
      </c>
      <c r="L1768">
        <v>0</v>
      </c>
      <c r="M1768">
        <v>0</v>
      </c>
      <c r="N1768">
        <v>50</v>
      </c>
      <c r="O1768">
        <v>0</v>
      </c>
      <c r="P1768">
        <v>30</v>
      </c>
      <c r="Q1768">
        <v>0</v>
      </c>
      <c r="R1768">
        <v>0</v>
      </c>
      <c r="S1768">
        <v>0</v>
      </c>
      <c r="T1768">
        <v>0</v>
      </c>
      <c r="U1768">
        <v>0</v>
      </c>
      <c r="V1768">
        <v>49</v>
      </c>
      <c r="W1768">
        <v>343</v>
      </c>
      <c r="X1768">
        <v>0</v>
      </c>
      <c r="Z1768">
        <v>0</v>
      </c>
      <c r="AA1768">
        <v>0</v>
      </c>
      <c r="AB1768">
        <v>0</v>
      </c>
      <c r="AC1768">
        <v>0</v>
      </c>
      <c r="AD1768">
        <v>1094</v>
      </c>
    </row>
    <row r="1769" spans="1:30" x14ac:dyDescent="0.25">
      <c r="H1769" t="s">
        <v>3575</v>
      </c>
    </row>
    <row r="1770" spans="1:30" x14ac:dyDescent="0.25">
      <c r="A1770">
        <v>882</v>
      </c>
      <c r="B1770">
        <v>1659</v>
      </c>
      <c r="C1770" t="s">
        <v>3038</v>
      </c>
      <c r="D1770" t="s">
        <v>32</v>
      </c>
      <c r="E1770" t="s">
        <v>28</v>
      </c>
      <c r="F1770" t="s">
        <v>3576</v>
      </c>
      <c r="G1770" t="str">
        <f>"201604001599"</f>
        <v>201604001599</v>
      </c>
      <c r="H1770" t="s">
        <v>631</v>
      </c>
      <c r="I1770">
        <v>0</v>
      </c>
      <c r="J1770">
        <v>0</v>
      </c>
      <c r="K1770">
        <v>0</v>
      </c>
      <c r="L1770">
        <v>0</v>
      </c>
      <c r="M1770">
        <v>0</v>
      </c>
      <c r="N1770">
        <v>70</v>
      </c>
      <c r="O1770">
        <v>0</v>
      </c>
      <c r="P1770">
        <v>0</v>
      </c>
      <c r="Q1770">
        <v>0</v>
      </c>
      <c r="R1770">
        <v>0</v>
      </c>
      <c r="S1770">
        <v>0</v>
      </c>
      <c r="T1770">
        <v>0</v>
      </c>
      <c r="U1770">
        <v>0</v>
      </c>
      <c r="V1770">
        <v>43</v>
      </c>
      <c r="W1770">
        <v>301</v>
      </c>
      <c r="X1770">
        <v>0</v>
      </c>
      <c r="Z1770">
        <v>0</v>
      </c>
      <c r="AA1770">
        <v>0</v>
      </c>
      <c r="AB1770">
        <v>0</v>
      </c>
      <c r="AC1770">
        <v>0</v>
      </c>
      <c r="AD1770" t="s">
        <v>3577</v>
      </c>
    </row>
    <row r="1771" spans="1:30" x14ac:dyDescent="0.25">
      <c r="H1771" t="s">
        <v>3578</v>
      </c>
    </row>
    <row r="1772" spans="1:30" x14ac:dyDescent="0.25">
      <c r="A1772">
        <v>883</v>
      </c>
      <c r="B1772">
        <v>4211</v>
      </c>
      <c r="C1772" t="s">
        <v>3579</v>
      </c>
      <c r="D1772" t="s">
        <v>2024</v>
      </c>
      <c r="E1772" t="s">
        <v>358</v>
      </c>
      <c r="F1772" t="s">
        <v>3580</v>
      </c>
      <c r="G1772" t="str">
        <f>"00088638"</f>
        <v>00088638</v>
      </c>
      <c r="H1772" t="s">
        <v>1030</v>
      </c>
      <c r="I1772">
        <v>0</v>
      </c>
      <c r="J1772">
        <v>0</v>
      </c>
      <c r="K1772">
        <v>0</v>
      </c>
      <c r="L1772">
        <v>0</v>
      </c>
      <c r="M1772">
        <v>0</v>
      </c>
      <c r="N1772">
        <v>30</v>
      </c>
      <c r="O1772">
        <v>0</v>
      </c>
      <c r="P1772">
        <v>0</v>
      </c>
      <c r="Q1772">
        <v>0</v>
      </c>
      <c r="R1772">
        <v>0</v>
      </c>
      <c r="S1772">
        <v>0</v>
      </c>
      <c r="T1772">
        <v>0</v>
      </c>
      <c r="U1772">
        <v>0</v>
      </c>
      <c r="V1772">
        <v>33</v>
      </c>
      <c r="W1772">
        <v>231</v>
      </c>
      <c r="X1772">
        <v>0</v>
      </c>
      <c r="Z1772">
        <v>0</v>
      </c>
      <c r="AA1772">
        <v>0</v>
      </c>
      <c r="AB1772">
        <v>0</v>
      </c>
      <c r="AC1772">
        <v>0</v>
      </c>
      <c r="AD1772" t="s">
        <v>3581</v>
      </c>
    </row>
    <row r="1773" spans="1:30" x14ac:dyDescent="0.25">
      <c r="H1773" t="s">
        <v>3582</v>
      </c>
    </row>
    <row r="1774" spans="1:30" x14ac:dyDescent="0.25">
      <c r="A1774">
        <v>884</v>
      </c>
      <c r="B1774">
        <v>2739</v>
      </c>
      <c r="C1774" t="s">
        <v>3583</v>
      </c>
      <c r="D1774" t="s">
        <v>28</v>
      </c>
      <c r="E1774" t="s">
        <v>32</v>
      </c>
      <c r="F1774" t="s">
        <v>3584</v>
      </c>
      <c r="G1774" t="str">
        <f>"200712006110"</f>
        <v>200712006110</v>
      </c>
      <c r="H1774">
        <v>759</v>
      </c>
      <c r="I1774">
        <v>0</v>
      </c>
      <c r="J1774">
        <v>0</v>
      </c>
      <c r="K1774">
        <v>0</v>
      </c>
      <c r="L1774">
        <v>200</v>
      </c>
      <c r="M1774">
        <v>0</v>
      </c>
      <c r="N1774">
        <v>70</v>
      </c>
      <c r="O1774">
        <v>0</v>
      </c>
      <c r="P1774">
        <v>0</v>
      </c>
      <c r="Q1774">
        <v>0</v>
      </c>
      <c r="R1774">
        <v>0</v>
      </c>
      <c r="S1774">
        <v>0</v>
      </c>
      <c r="T1774">
        <v>0</v>
      </c>
      <c r="U1774">
        <v>0</v>
      </c>
      <c r="V1774">
        <v>9</v>
      </c>
      <c r="W1774">
        <v>63</v>
      </c>
      <c r="X1774">
        <v>0</v>
      </c>
      <c r="Z1774">
        <v>0</v>
      </c>
      <c r="AA1774">
        <v>0</v>
      </c>
      <c r="AB1774">
        <v>0</v>
      </c>
      <c r="AC1774">
        <v>0</v>
      </c>
      <c r="AD1774">
        <v>1092</v>
      </c>
    </row>
    <row r="1775" spans="1:30" x14ac:dyDescent="0.25">
      <c r="H1775" t="s">
        <v>3585</v>
      </c>
    </row>
    <row r="1776" spans="1:30" x14ac:dyDescent="0.25">
      <c r="A1776">
        <v>885</v>
      </c>
      <c r="B1776">
        <v>775</v>
      </c>
      <c r="C1776" t="s">
        <v>3586</v>
      </c>
      <c r="D1776" t="s">
        <v>490</v>
      </c>
      <c r="E1776" t="s">
        <v>76</v>
      </c>
      <c r="F1776" t="s">
        <v>3587</v>
      </c>
      <c r="G1776" t="str">
        <f>"200903000008"</f>
        <v>200903000008</v>
      </c>
      <c r="H1776" t="s">
        <v>919</v>
      </c>
      <c r="I1776">
        <v>0</v>
      </c>
      <c r="J1776">
        <v>0</v>
      </c>
      <c r="K1776">
        <v>0</v>
      </c>
      <c r="L1776">
        <v>0</v>
      </c>
      <c r="M1776">
        <v>0</v>
      </c>
      <c r="N1776">
        <v>30</v>
      </c>
      <c r="O1776">
        <v>0</v>
      </c>
      <c r="P1776">
        <v>0</v>
      </c>
      <c r="Q1776">
        <v>0</v>
      </c>
      <c r="R1776">
        <v>0</v>
      </c>
      <c r="S1776">
        <v>0</v>
      </c>
      <c r="T1776">
        <v>0</v>
      </c>
      <c r="U1776">
        <v>0</v>
      </c>
      <c r="V1776">
        <v>45</v>
      </c>
      <c r="W1776">
        <v>315</v>
      </c>
      <c r="X1776">
        <v>0</v>
      </c>
      <c r="Z1776">
        <v>1</v>
      </c>
      <c r="AA1776">
        <v>0</v>
      </c>
      <c r="AB1776">
        <v>0</v>
      </c>
      <c r="AC1776">
        <v>0</v>
      </c>
      <c r="AD1776" t="s">
        <v>3588</v>
      </c>
    </row>
    <row r="1777" spans="1:30" x14ac:dyDescent="0.25">
      <c r="H1777" t="s">
        <v>3589</v>
      </c>
    </row>
    <row r="1778" spans="1:30" x14ac:dyDescent="0.25">
      <c r="A1778">
        <v>886</v>
      </c>
      <c r="B1778">
        <v>5044</v>
      </c>
      <c r="C1778" t="s">
        <v>3590</v>
      </c>
      <c r="D1778" t="s">
        <v>337</v>
      </c>
      <c r="E1778" t="s">
        <v>167</v>
      </c>
      <c r="F1778" t="s">
        <v>3591</v>
      </c>
      <c r="G1778" t="str">
        <f>"00157041"</f>
        <v>00157041</v>
      </c>
      <c r="H1778" t="s">
        <v>3592</v>
      </c>
      <c r="I1778">
        <v>0</v>
      </c>
      <c r="J1778">
        <v>0</v>
      </c>
      <c r="K1778">
        <v>0</v>
      </c>
      <c r="L1778">
        <v>200</v>
      </c>
      <c r="M1778">
        <v>0</v>
      </c>
      <c r="N1778">
        <v>30</v>
      </c>
      <c r="O1778">
        <v>0</v>
      </c>
      <c r="P1778">
        <v>0</v>
      </c>
      <c r="Q1778">
        <v>0</v>
      </c>
      <c r="R1778">
        <v>0</v>
      </c>
      <c r="S1778">
        <v>0</v>
      </c>
      <c r="T1778">
        <v>0</v>
      </c>
      <c r="U1778">
        <v>0</v>
      </c>
      <c r="V1778">
        <v>0</v>
      </c>
      <c r="W1778">
        <v>0</v>
      </c>
      <c r="X1778">
        <v>0</v>
      </c>
      <c r="Z1778">
        <v>0</v>
      </c>
      <c r="AA1778">
        <v>0</v>
      </c>
      <c r="AB1778">
        <v>0</v>
      </c>
      <c r="AC1778">
        <v>0</v>
      </c>
      <c r="AD1778" t="s">
        <v>3593</v>
      </c>
    </row>
    <row r="1779" spans="1:30" x14ac:dyDescent="0.25">
      <c r="H1779" t="s">
        <v>3594</v>
      </c>
    </row>
    <row r="1780" spans="1:30" x14ac:dyDescent="0.25">
      <c r="A1780">
        <v>887</v>
      </c>
      <c r="B1780">
        <v>630</v>
      </c>
      <c r="C1780" t="s">
        <v>3595</v>
      </c>
      <c r="D1780" t="s">
        <v>166</v>
      </c>
      <c r="E1780" t="s">
        <v>49</v>
      </c>
      <c r="F1780" t="s">
        <v>3596</v>
      </c>
      <c r="G1780" t="str">
        <f>"201510000452"</f>
        <v>201510000452</v>
      </c>
      <c r="H1780" t="s">
        <v>2497</v>
      </c>
      <c r="I1780">
        <v>0</v>
      </c>
      <c r="J1780">
        <v>0</v>
      </c>
      <c r="K1780">
        <v>0</v>
      </c>
      <c r="L1780">
        <v>0</v>
      </c>
      <c r="M1780">
        <v>0</v>
      </c>
      <c r="N1780">
        <v>30</v>
      </c>
      <c r="O1780">
        <v>0</v>
      </c>
      <c r="P1780">
        <v>0</v>
      </c>
      <c r="Q1780">
        <v>0</v>
      </c>
      <c r="R1780">
        <v>0</v>
      </c>
      <c r="S1780">
        <v>0</v>
      </c>
      <c r="T1780">
        <v>0</v>
      </c>
      <c r="U1780">
        <v>0</v>
      </c>
      <c r="V1780">
        <v>10</v>
      </c>
      <c r="W1780">
        <v>70</v>
      </c>
      <c r="X1780">
        <v>0</v>
      </c>
      <c r="Z1780">
        <v>0</v>
      </c>
      <c r="AA1780">
        <v>0</v>
      </c>
      <c r="AB1780">
        <v>18</v>
      </c>
      <c r="AC1780">
        <v>306</v>
      </c>
      <c r="AD1780" t="s">
        <v>3593</v>
      </c>
    </row>
    <row r="1781" spans="1:30" x14ac:dyDescent="0.25">
      <c r="H1781" t="s">
        <v>3597</v>
      </c>
    </row>
    <row r="1782" spans="1:30" x14ac:dyDescent="0.25">
      <c r="A1782">
        <v>888</v>
      </c>
      <c r="B1782">
        <v>5310</v>
      </c>
      <c r="C1782" t="s">
        <v>3598</v>
      </c>
      <c r="D1782" t="s">
        <v>106</v>
      </c>
      <c r="E1782" t="s">
        <v>1248</v>
      </c>
      <c r="F1782" t="s">
        <v>3599</v>
      </c>
      <c r="G1782" t="str">
        <f>"201402001442"</f>
        <v>201402001442</v>
      </c>
      <c r="H1782" t="s">
        <v>3600</v>
      </c>
      <c r="I1782">
        <v>0</v>
      </c>
      <c r="J1782">
        <v>0</v>
      </c>
      <c r="K1782">
        <v>0</v>
      </c>
      <c r="L1782">
        <v>0</v>
      </c>
      <c r="M1782">
        <v>0</v>
      </c>
      <c r="N1782">
        <v>30</v>
      </c>
      <c r="O1782">
        <v>0</v>
      </c>
      <c r="P1782">
        <v>0</v>
      </c>
      <c r="Q1782">
        <v>0</v>
      </c>
      <c r="R1782">
        <v>0</v>
      </c>
      <c r="S1782">
        <v>0</v>
      </c>
      <c r="T1782">
        <v>0</v>
      </c>
      <c r="U1782">
        <v>0</v>
      </c>
      <c r="V1782">
        <v>20</v>
      </c>
      <c r="W1782">
        <v>140</v>
      </c>
      <c r="X1782">
        <v>0</v>
      </c>
      <c r="Z1782">
        <v>0</v>
      </c>
      <c r="AA1782">
        <v>0</v>
      </c>
      <c r="AB1782">
        <v>0</v>
      </c>
      <c r="AC1782">
        <v>0</v>
      </c>
      <c r="AD1782" t="s">
        <v>3601</v>
      </c>
    </row>
    <row r="1783" spans="1:30" x14ac:dyDescent="0.25">
      <c r="H1783" t="s">
        <v>3602</v>
      </c>
    </row>
    <row r="1784" spans="1:30" x14ac:dyDescent="0.25">
      <c r="A1784">
        <v>889</v>
      </c>
      <c r="B1784">
        <v>4317</v>
      </c>
      <c r="C1784" t="s">
        <v>3603</v>
      </c>
      <c r="D1784" t="s">
        <v>180</v>
      </c>
      <c r="E1784" t="s">
        <v>28</v>
      </c>
      <c r="F1784" t="s">
        <v>3604</v>
      </c>
      <c r="G1784" t="str">
        <f>"200801002333"</f>
        <v>200801002333</v>
      </c>
      <c r="H1784">
        <v>748</v>
      </c>
      <c r="I1784">
        <v>0</v>
      </c>
      <c r="J1784">
        <v>0</v>
      </c>
      <c r="K1784">
        <v>0</v>
      </c>
      <c r="L1784">
        <v>0</v>
      </c>
      <c r="M1784">
        <v>0</v>
      </c>
      <c r="N1784">
        <v>30</v>
      </c>
      <c r="O1784">
        <v>0</v>
      </c>
      <c r="P1784">
        <v>0</v>
      </c>
      <c r="Q1784">
        <v>0</v>
      </c>
      <c r="R1784">
        <v>0</v>
      </c>
      <c r="S1784">
        <v>0</v>
      </c>
      <c r="T1784">
        <v>0</v>
      </c>
      <c r="U1784">
        <v>0</v>
      </c>
      <c r="V1784">
        <v>44</v>
      </c>
      <c r="W1784">
        <v>308</v>
      </c>
      <c r="X1784">
        <v>0</v>
      </c>
      <c r="Z1784">
        <v>0</v>
      </c>
      <c r="AA1784">
        <v>0</v>
      </c>
      <c r="AB1784">
        <v>0</v>
      </c>
      <c r="AC1784">
        <v>0</v>
      </c>
      <c r="AD1784">
        <v>1086</v>
      </c>
    </row>
    <row r="1785" spans="1:30" x14ac:dyDescent="0.25">
      <c r="H1785" t="s">
        <v>3605</v>
      </c>
    </row>
    <row r="1786" spans="1:30" x14ac:dyDescent="0.25">
      <c r="A1786">
        <v>890</v>
      </c>
      <c r="B1786">
        <v>2881</v>
      </c>
      <c r="C1786" t="s">
        <v>3606</v>
      </c>
      <c r="D1786" t="s">
        <v>76</v>
      </c>
      <c r="E1786" t="s">
        <v>141</v>
      </c>
      <c r="F1786" t="s">
        <v>3607</v>
      </c>
      <c r="G1786" t="str">
        <f>"00147274"</f>
        <v>00147274</v>
      </c>
      <c r="H1786" t="s">
        <v>131</v>
      </c>
      <c r="I1786">
        <v>150</v>
      </c>
      <c r="J1786">
        <v>0</v>
      </c>
      <c r="K1786">
        <v>0</v>
      </c>
      <c r="L1786">
        <v>0</v>
      </c>
      <c r="M1786">
        <v>0</v>
      </c>
      <c r="N1786">
        <v>30</v>
      </c>
      <c r="O1786">
        <v>0</v>
      </c>
      <c r="P1786">
        <v>0</v>
      </c>
      <c r="Q1786">
        <v>0</v>
      </c>
      <c r="R1786">
        <v>0</v>
      </c>
      <c r="S1786">
        <v>0</v>
      </c>
      <c r="T1786">
        <v>0</v>
      </c>
      <c r="U1786">
        <v>0</v>
      </c>
      <c r="V1786">
        <v>19</v>
      </c>
      <c r="W1786">
        <v>133</v>
      </c>
      <c r="X1786">
        <v>0</v>
      </c>
      <c r="Z1786">
        <v>0</v>
      </c>
      <c r="AA1786">
        <v>0</v>
      </c>
      <c r="AB1786">
        <v>0</v>
      </c>
      <c r="AC1786">
        <v>0</v>
      </c>
      <c r="AD1786" t="s">
        <v>3608</v>
      </c>
    </row>
    <row r="1787" spans="1:30" x14ac:dyDescent="0.25">
      <c r="H1787" t="s">
        <v>3609</v>
      </c>
    </row>
    <row r="1788" spans="1:30" x14ac:dyDescent="0.25">
      <c r="A1788">
        <v>891</v>
      </c>
      <c r="B1788">
        <v>3614</v>
      </c>
      <c r="C1788" t="s">
        <v>3610</v>
      </c>
      <c r="D1788" t="s">
        <v>2610</v>
      </c>
      <c r="E1788" t="s">
        <v>28</v>
      </c>
      <c r="F1788" t="s">
        <v>3611</v>
      </c>
      <c r="G1788" t="str">
        <f>"00367002"</f>
        <v>00367002</v>
      </c>
      <c r="H1788" t="s">
        <v>1100</v>
      </c>
      <c r="I1788">
        <v>0</v>
      </c>
      <c r="J1788">
        <v>0</v>
      </c>
      <c r="K1788">
        <v>0</v>
      </c>
      <c r="L1788">
        <v>0</v>
      </c>
      <c r="M1788">
        <v>0</v>
      </c>
      <c r="N1788">
        <v>30</v>
      </c>
      <c r="O1788">
        <v>0</v>
      </c>
      <c r="P1788">
        <v>0</v>
      </c>
      <c r="Q1788">
        <v>0</v>
      </c>
      <c r="R1788">
        <v>0</v>
      </c>
      <c r="S1788">
        <v>0</v>
      </c>
      <c r="T1788">
        <v>0</v>
      </c>
      <c r="U1788">
        <v>0</v>
      </c>
      <c r="V1788">
        <v>48</v>
      </c>
      <c r="W1788">
        <v>336</v>
      </c>
      <c r="X1788">
        <v>0</v>
      </c>
      <c r="Z1788">
        <v>2</v>
      </c>
      <c r="AA1788">
        <v>0</v>
      </c>
      <c r="AB1788">
        <v>0</v>
      </c>
      <c r="AC1788">
        <v>0</v>
      </c>
      <c r="AD1788" t="s">
        <v>3612</v>
      </c>
    </row>
    <row r="1789" spans="1:30" x14ac:dyDescent="0.25">
      <c r="H1789" t="s">
        <v>1824</v>
      </c>
    </row>
    <row r="1790" spans="1:30" x14ac:dyDescent="0.25">
      <c r="A1790">
        <v>892</v>
      </c>
      <c r="B1790">
        <v>5355</v>
      </c>
      <c r="C1790" t="s">
        <v>3613</v>
      </c>
      <c r="D1790" t="s">
        <v>70</v>
      </c>
      <c r="E1790" t="s">
        <v>445</v>
      </c>
      <c r="F1790" t="s">
        <v>3614</v>
      </c>
      <c r="G1790" t="str">
        <f>"00243302"</f>
        <v>00243302</v>
      </c>
      <c r="H1790" t="s">
        <v>109</v>
      </c>
      <c r="I1790">
        <v>0</v>
      </c>
      <c r="J1790">
        <v>0</v>
      </c>
      <c r="K1790">
        <v>0</v>
      </c>
      <c r="L1790">
        <v>200</v>
      </c>
      <c r="M1790">
        <v>0</v>
      </c>
      <c r="N1790">
        <v>30</v>
      </c>
      <c r="O1790">
        <v>0</v>
      </c>
      <c r="P1790">
        <v>0</v>
      </c>
      <c r="Q1790">
        <v>0</v>
      </c>
      <c r="R1790">
        <v>0</v>
      </c>
      <c r="S1790">
        <v>0</v>
      </c>
      <c r="T1790">
        <v>0</v>
      </c>
      <c r="U1790">
        <v>0</v>
      </c>
      <c r="V1790">
        <v>0</v>
      </c>
      <c r="W1790">
        <v>0</v>
      </c>
      <c r="X1790">
        <v>0</v>
      </c>
      <c r="Z1790">
        <v>0</v>
      </c>
      <c r="AA1790">
        <v>0</v>
      </c>
      <c r="AB1790">
        <v>0</v>
      </c>
      <c r="AC1790">
        <v>0</v>
      </c>
      <c r="AD1790" t="s">
        <v>3615</v>
      </c>
    </row>
    <row r="1791" spans="1:30" x14ac:dyDescent="0.25">
      <c r="H1791" t="s">
        <v>3616</v>
      </c>
    </row>
    <row r="1792" spans="1:30" x14ac:dyDescent="0.25">
      <c r="A1792">
        <v>893</v>
      </c>
      <c r="B1792">
        <v>1146</v>
      </c>
      <c r="C1792" t="s">
        <v>3617</v>
      </c>
      <c r="D1792" t="s">
        <v>309</v>
      </c>
      <c r="E1792" t="s">
        <v>49</v>
      </c>
      <c r="F1792" t="s">
        <v>3618</v>
      </c>
      <c r="G1792" t="str">
        <f>"00297744"</f>
        <v>00297744</v>
      </c>
      <c r="H1792">
        <v>847</v>
      </c>
      <c r="I1792">
        <v>0</v>
      </c>
      <c r="J1792">
        <v>0</v>
      </c>
      <c r="K1792">
        <v>0</v>
      </c>
      <c r="L1792">
        <v>0</v>
      </c>
      <c r="M1792">
        <v>0</v>
      </c>
      <c r="N1792">
        <v>30</v>
      </c>
      <c r="O1792">
        <v>0</v>
      </c>
      <c r="P1792">
        <v>30</v>
      </c>
      <c r="Q1792">
        <v>0</v>
      </c>
      <c r="R1792">
        <v>0</v>
      </c>
      <c r="S1792">
        <v>0</v>
      </c>
      <c r="T1792">
        <v>0</v>
      </c>
      <c r="U1792">
        <v>0</v>
      </c>
      <c r="V1792">
        <v>25</v>
      </c>
      <c r="W1792">
        <v>175</v>
      </c>
      <c r="X1792">
        <v>0</v>
      </c>
      <c r="Z1792">
        <v>0</v>
      </c>
      <c r="AA1792">
        <v>0</v>
      </c>
      <c r="AB1792">
        <v>0</v>
      </c>
      <c r="AC1792">
        <v>0</v>
      </c>
      <c r="AD1792">
        <v>1082</v>
      </c>
    </row>
    <row r="1793" spans="1:30" x14ac:dyDescent="0.25">
      <c r="H1793" t="s">
        <v>3619</v>
      </c>
    </row>
    <row r="1794" spans="1:30" x14ac:dyDescent="0.25">
      <c r="A1794">
        <v>894</v>
      </c>
      <c r="B1794">
        <v>163</v>
      </c>
      <c r="C1794" t="s">
        <v>3620</v>
      </c>
      <c r="D1794" t="s">
        <v>1540</v>
      </c>
      <c r="E1794" t="s">
        <v>254</v>
      </c>
      <c r="F1794" t="s">
        <v>3621</v>
      </c>
      <c r="G1794" t="str">
        <f>"00102670"</f>
        <v>00102670</v>
      </c>
      <c r="H1794" t="s">
        <v>35</v>
      </c>
      <c r="I1794">
        <v>0</v>
      </c>
      <c r="J1794">
        <v>0</v>
      </c>
      <c r="K1794">
        <v>0</v>
      </c>
      <c r="L1794">
        <v>0</v>
      </c>
      <c r="M1794">
        <v>0</v>
      </c>
      <c r="N1794">
        <v>0</v>
      </c>
      <c r="O1794">
        <v>0</v>
      </c>
      <c r="P1794">
        <v>0</v>
      </c>
      <c r="Q1794">
        <v>0</v>
      </c>
      <c r="R1794">
        <v>0</v>
      </c>
      <c r="S1794">
        <v>0</v>
      </c>
      <c r="T1794">
        <v>0</v>
      </c>
      <c r="U1794">
        <v>0</v>
      </c>
      <c r="V1794">
        <v>36</v>
      </c>
      <c r="W1794">
        <v>252</v>
      </c>
      <c r="X1794">
        <v>0</v>
      </c>
      <c r="Z1794">
        <v>0</v>
      </c>
      <c r="AA1794">
        <v>0</v>
      </c>
      <c r="AB1794">
        <v>0</v>
      </c>
      <c r="AC1794">
        <v>0</v>
      </c>
      <c r="AD1794" t="s">
        <v>3622</v>
      </c>
    </row>
    <row r="1795" spans="1:30" x14ac:dyDescent="0.25">
      <c r="H1795" t="s">
        <v>3623</v>
      </c>
    </row>
    <row r="1796" spans="1:30" x14ac:dyDescent="0.25">
      <c r="A1796">
        <v>895</v>
      </c>
      <c r="B1796">
        <v>5619</v>
      </c>
      <c r="C1796" t="s">
        <v>3624</v>
      </c>
      <c r="D1796" t="s">
        <v>598</v>
      </c>
      <c r="E1796" t="s">
        <v>76</v>
      </c>
      <c r="F1796" t="s">
        <v>3625</v>
      </c>
      <c r="G1796" t="str">
        <f>"00153739"</f>
        <v>00153739</v>
      </c>
      <c r="H1796">
        <v>737</v>
      </c>
      <c r="I1796">
        <v>0</v>
      </c>
      <c r="J1796">
        <v>0</v>
      </c>
      <c r="K1796">
        <v>0</v>
      </c>
      <c r="L1796">
        <v>0</v>
      </c>
      <c r="M1796">
        <v>0</v>
      </c>
      <c r="N1796">
        <v>0</v>
      </c>
      <c r="O1796">
        <v>0</v>
      </c>
      <c r="P1796">
        <v>0</v>
      </c>
      <c r="Q1796">
        <v>0</v>
      </c>
      <c r="R1796">
        <v>0</v>
      </c>
      <c r="S1796">
        <v>0</v>
      </c>
      <c r="T1796">
        <v>0</v>
      </c>
      <c r="U1796">
        <v>0</v>
      </c>
      <c r="V1796">
        <v>49</v>
      </c>
      <c r="W1796">
        <v>343</v>
      </c>
      <c r="X1796">
        <v>0</v>
      </c>
      <c r="Z1796">
        <v>0</v>
      </c>
      <c r="AA1796">
        <v>0</v>
      </c>
      <c r="AB1796">
        <v>0</v>
      </c>
      <c r="AC1796">
        <v>0</v>
      </c>
      <c r="AD1796">
        <v>1080</v>
      </c>
    </row>
    <row r="1797" spans="1:30" x14ac:dyDescent="0.25">
      <c r="H1797" t="s">
        <v>3626</v>
      </c>
    </row>
    <row r="1798" spans="1:30" x14ac:dyDescent="0.25">
      <c r="A1798">
        <v>896</v>
      </c>
      <c r="B1798">
        <v>6112</v>
      </c>
      <c r="C1798" t="s">
        <v>3627</v>
      </c>
      <c r="D1798" t="s">
        <v>1473</v>
      </c>
      <c r="E1798" t="s">
        <v>3337</v>
      </c>
      <c r="F1798" t="s">
        <v>3628</v>
      </c>
      <c r="G1798" t="str">
        <f>"00159761"</f>
        <v>00159761</v>
      </c>
      <c r="H1798" t="s">
        <v>215</v>
      </c>
      <c r="I1798">
        <v>0</v>
      </c>
      <c r="J1798">
        <v>0</v>
      </c>
      <c r="K1798">
        <v>0</v>
      </c>
      <c r="L1798">
        <v>200</v>
      </c>
      <c r="M1798">
        <v>0</v>
      </c>
      <c r="N1798">
        <v>70</v>
      </c>
      <c r="O1798">
        <v>0</v>
      </c>
      <c r="P1798">
        <v>0</v>
      </c>
      <c r="Q1798">
        <v>0</v>
      </c>
      <c r="R1798">
        <v>0</v>
      </c>
      <c r="S1798">
        <v>0</v>
      </c>
      <c r="T1798">
        <v>0</v>
      </c>
      <c r="U1798">
        <v>0</v>
      </c>
      <c r="V1798">
        <v>11</v>
      </c>
      <c r="W1798">
        <v>77</v>
      </c>
      <c r="X1798">
        <v>0</v>
      </c>
      <c r="Z1798">
        <v>2</v>
      </c>
      <c r="AA1798">
        <v>0</v>
      </c>
      <c r="AB1798">
        <v>0</v>
      </c>
      <c r="AC1798">
        <v>0</v>
      </c>
      <c r="AD1798" t="s">
        <v>3629</v>
      </c>
    </row>
    <row r="1799" spans="1:30" x14ac:dyDescent="0.25">
      <c r="H1799" t="s">
        <v>3630</v>
      </c>
    </row>
    <row r="1800" spans="1:30" x14ac:dyDescent="0.25">
      <c r="A1800">
        <v>897</v>
      </c>
      <c r="B1800">
        <v>2885</v>
      </c>
      <c r="C1800" t="s">
        <v>3631</v>
      </c>
      <c r="D1800" t="s">
        <v>3632</v>
      </c>
      <c r="E1800" t="s">
        <v>102</v>
      </c>
      <c r="F1800" t="s">
        <v>3633</v>
      </c>
      <c r="G1800" t="str">
        <f>"00336918"</f>
        <v>00336918</v>
      </c>
      <c r="H1800">
        <v>671</v>
      </c>
      <c r="I1800">
        <v>0</v>
      </c>
      <c r="J1800">
        <v>0</v>
      </c>
      <c r="K1800">
        <v>0</v>
      </c>
      <c r="L1800">
        <v>0</v>
      </c>
      <c r="M1800">
        <v>0</v>
      </c>
      <c r="N1800">
        <v>30</v>
      </c>
      <c r="O1800">
        <v>0</v>
      </c>
      <c r="P1800">
        <v>0</v>
      </c>
      <c r="Q1800">
        <v>0</v>
      </c>
      <c r="R1800">
        <v>0</v>
      </c>
      <c r="S1800">
        <v>0</v>
      </c>
      <c r="T1800">
        <v>0</v>
      </c>
      <c r="U1800">
        <v>0</v>
      </c>
      <c r="V1800">
        <v>54</v>
      </c>
      <c r="W1800">
        <v>378</v>
      </c>
      <c r="X1800">
        <v>0</v>
      </c>
      <c r="Z1800">
        <v>0</v>
      </c>
      <c r="AA1800">
        <v>0</v>
      </c>
      <c r="AB1800">
        <v>0</v>
      </c>
      <c r="AC1800">
        <v>0</v>
      </c>
      <c r="AD1800">
        <v>1079</v>
      </c>
    </row>
    <row r="1801" spans="1:30" x14ac:dyDescent="0.25">
      <c r="H1801" t="s">
        <v>3634</v>
      </c>
    </row>
    <row r="1802" spans="1:30" x14ac:dyDescent="0.25">
      <c r="A1802">
        <v>898</v>
      </c>
      <c r="B1802">
        <v>756</v>
      </c>
      <c r="C1802" t="s">
        <v>3635</v>
      </c>
      <c r="D1802" t="s">
        <v>180</v>
      </c>
      <c r="E1802" t="s">
        <v>45</v>
      </c>
      <c r="F1802" t="s">
        <v>3636</v>
      </c>
      <c r="G1802" t="str">
        <f>"201511011818"</f>
        <v>201511011818</v>
      </c>
      <c r="H1802" t="s">
        <v>3637</v>
      </c>
      <c r="I1802">
        <v>0</v>
      </c>
      <c r="J1802">
        <v>0</v>
      </c>
      <c r="K1802">
        <v>0</v>
      </c>
      <c r="L1802">
        <v>0</v>
      </c>
      <c r="M1802">
        <v>0</v>
      </c>
      <c r="N1802">
        <v>70</v>
      </c>
      <c r="O1802">
        <v>0</v>
      </c>
      <c r="P1802">
        <v>0</v>
      </c>
      <c r="Q1802">
        <v>0</v>
      </c>
      <c r="R1802">
        <v>0</v>
      </c>
      <c r="S1802">
        <v>0</v>
      </c>
      <c r="T1802">
        <v>0</v>
      </c>
      <c r="U1802">
        <v>0</v>
      </c>
      <c r="V1802">
        <v>17</v>
      </c>
      <c r="W1802">
        <v>119</v>
      </c>
      <c r="X1802">
        <v>0</v>
      </c>
      <c r="Z1802">
        <v>0</v>
      </c>
      <c r="AA1802">
        <v>0</v>
      </c>
      <c r="AB1802">
        <v>0</v>
      </c>
      <c r="AC1802">
        <v>0</v>
      </c>
      <c r="AD1802" t="s">
        <v>3638</v>
      </c>
    </row>
    <row r="1803" spans="1:30" x14ac:dyDescent="0.25">
      <c r="H1803" t="s">
        <v>3639</v>
      </c>
    </row>
    <row r="1804" spans="1:30" x14ac:dyDescent="0.25">
      <c r="A1804">
        <v>899</v>
      </c>
      <c r="B1804">
        <v>4938</v>
      </c>
      <c r="C1804" t="s">
        <v>3640</v>
      </c>
      <c r="D1804" t="s">
        <v>95</v>
      </c>
      <c r="E1804" t="s">
        <v>49</v>
      </c>
      <c r="F1804" t="s">
        <v>3641</v>
      </c>
      <c r="G1804" t="str">
        <f>"201405000902"</f>
        <v>201405000902</v>
      </c>
      <c r="H1804" t="s">
        <v>872</v>
      </c>
      <c r="I1804">
        <v>150</v>
      </c>
      <c r="J1804">
        <v>0</v>
      </c>
      <c r="K1804">
        <v>0</v>
      </c>
      <c r="L1804">
        <v>0</v>
      </c>
      <c r="M1804">
        <v>0</v>
      </c>
      <c r="N1804">
        <v>30</v>
      </c>
      <c r="O1804">
        <v>0</v>
      </c>
      <c r="P1804">
        <v>0</v>
      </c>
      <c r="Q1804">
        <v>0</v>
      </c>
      <c r="R1804">
        <v>0</v>
      </c>
      <c r="S1804">
        <v>0</v>
      </c>
      <c r="T1804">
        <v>0</v>
      </c>
      <c r="U1804">
        <v>0</v>
      </c>
      <c r="V1804">
        <v>28</v>
      </c>
      <c r="W1804">
        <v>196</v>
      </c>
      <c r="X1804">
        <v>0</v>
      </c>
      <c r="Z1804">
        <v>0</v>
      </c>
      <c r="AA1804">
        <v>0</v>
      </c>
      <c r="AB1804">
        <v>0</v>
      </c>
      <c r="AC1804">
        <v>0</v>
      </c>
      <c r="AD1804" t="s">
        <v>3638</v>
      </c>
    </row>
    <row r="1805" spans="1:30" x14ac:dyDescent="0.25">
      <c r="H1805" t="s">
        <v>3642</v>
      </c>
    </row>
    <row r="1806" spans="1:30" x14ac:dyDescent="0.25">
      <c r="A1806">
        <v>900</v>
      </c>
      <c r="B1806">
        <v>6060</v>
      </c>
      <c r="C1806" t="s">
        <v>3643</v>
      </c>
      <c r="D1806" t="s">
        <v>589</v>
      </c>
      <c r="E1806" t="s">
        <v>389</v>
      </c>
      <c r="F1806" t="s">
        <v>3644</v>
      </c>
      <c r="G1806" t="str">
        <f>"00348735"</f>
        <v>00348735</v>
      </c>
      <c r="H1806">
        <v>902</v>
      </c>
      <c r="I1806">
        <v>0</v>
      </c>
      <c r="J1806">
        <v>0</v>
      </c>
      <c r="K1806">
        <v>0</v>
      </c>
      <c r="L1806">
        <v>0</v>
      </c>
      <c r="M1806">
        <v>0</v>
      </c>
      <c r="N1806">
        <v>70</v>
      </c>
      <c r="O1806">
        <v>0</v>
      </c>
      <c r="P1806">
        <v>0</v>
      </c>
      <c r="Q1806">
        <v>0</v>
      </c>
      <c r="R1806">
        <v>0</v>
      </c>
      <c r="S1806">
        <v>0</v>
      </c>
      <c r="T1806">
        <v>0</v>
      </c>
      <c r="U1806">
        <v>0</v>
      </c>
      <c r="V1806">
        <v>15</v>
      </c>
      <c r="W1806">
        <v>105</v>
      </c>
      <c r="X1806">
        <v>0</v>
      </c>
      <c r="Z1806">
        <v>0</v>
      </c>
      <c r="AA1806">
        <v>0</v>
      </c>
      <c r="AB1806">
        <v>0</v>
      </c>
      <c r="AC1806">
        <v>0</v>
      </c>
      <c r="AD1806">
        <v>1077</v>
      </c>
    </row>
    <row r="1807" spans="1:30" x14ac:dyDescent="0.25">
      <c r="H1807" t="s">
        <v>3645</v>
      </c>
    </row>
    <row r="1808" spans="1:30" x14ac:dyDescent="0.25">
      <c r="A1808">
        <v>901</v>
      </c>
      <c r="B1808">
        <v>2888</v>
      </c>
      <c r="C1808" t="s">
        <v>3646</v>
      </c>
      <c r="D1808" t="s">
        <v>57</v>
      </c>
      <c r="E1808" t="s">
        <v>299</v>
      </c>
      <c r="F1808" t="s">
        <v>3647</v>
      </c>
      <c r="G1808" t="str">
        <f>"00252343"</f>
        <v>00252343</v>
      </c>
      <c r="H1808">
        <v>671</v>
      </c>
      <c r="I1808">
        <v>0</v>
      </c>
      <c r="J1808">
        <v>0</v>
      </c>
      <c r="K1808">
        <v>0</v>
      </c>
      <c r="L1808">
        <v>0</v>
      </c>
      <c r="M1808">
        <v>0</v>
      </c>
      <c r="N1808">
        <v>0</v>
      </c>
      <c r="O1808">
        <v>0</v>
      </c>
      <c r="P1808">
        <v>0</v>
      </c>
      <c r="Q1808">
        <v>0</v>
      </c>
      <c r="R1808">
        <v>0</v>
      </c>
      <c r="S1808">
        <v>0</v>
      </c>
      <c r="T1808">
        <v>0</v>
      </c>
      <c r="U1808">
        <v>0</v>
      </c>
      <c r="V1808">
        <v>58</v>
      </c>
      <c r="W1808">
        <v>406</v>
      </c>
      <c r="X1808">
        <v>0</v>
      </c>
      <c r="Z1808">
        <v>0</v>
      </c>
      <c r="AA1808">
        <v>0</v>
      </c>
      <c r="AB1808">
        <v>0</v>
      </c>
      <c r="AC1808">
        <v>0</v>
      </c>
      <c r="AD1808">
        <v>1077</v>
      </c>
    </row>
    <row r="1809" spans="1:30" x14ac:dyDescent="0.25">
      <c r="H1809" t="s">
        <v>3648</v>
      </c>
    </row>
    <row r="1810" spans="1:30" x14ac:dyDescent="0.25">
      <c r="A1810">
        <v>902</v>
      </c>
      <c r="B1810">
        <v>4981</v>
      </c>
      <c r="C1810" t="s">
        <v>3649</v>
      </c>
      <c r="D1810" t="s">
        <v>1169</v>
      </c>
      <c r="E1810" t="s">
        <v>102</v>
      </c>
      <c r="F1810" t="s">
        <v>3650</v>
      </c>
      <c r="G1810" t="str">
        <f>"201402003674"</f>
        <v>201402003674</v>
      </c>
      <c r="H1810" t="s">
        <v>470</v>
      </c>
      <c r="I1810">
        <v>0</v>
      </c>
      <c r="J1810">
        <v>0</v>
      </c>
      <c r="K1810">
        <v>0</v>
      </c>
      <c r="L1810">
        <v>0</v>
      </c>
      <c r="M1810">
        <v>0</v>
      </c>
      <c r="N1810">
        <v>30</v>
      </c>
      <c r="O1810">
        <v>0</v>
      </c>
      <c r="P1810">
        <v>0</v>
      </c>
      <c r="Q1810">
        <v>0</v>
      </c>
      <c r="R1810">
        <v>0</v>
      </c>
      <c r="S1810">
        <v>0</v>
      </c>
      <c r="T1810">
        <v>0</v>
      </c>
      <c r="U1810">
        <v>0</v>
      </c>
      <c r="V1810">
        <v>40</v>
      </c>
      <c r="W1810">
        <v>280</v>
      </c>
      <c r="X1810">
        <v>0</v>
      </c>
      <c r="Z1810">
        <v>0</v>
      </c>
      <c r="AA1810">
        <v>0</v>
      </c>
      <c r="AB1810">
        <v>0</v>
      </c>
      <c r="AC1810">
        <v>0</v>
      </c>
      <c r="AD1810" t="s">
        <v>3651</v>
      </c>
    </row>
    <row r="1811" spans="1:30" x14ac:dyDescent="0.25">
      <c r="H1811" t="s">
        <v>3652</v>
      </c>
    </row>
    <row r="1812" spans="1:30" x14ac:dyDescent="0.25">
      <c r="A1812">
        <v>903</v>
      </c>
      <c r="B1812">
        <v>4497</v>
      </c>
      <c r="C1812" t="s">
        <v>3653</v>
      </c>
      <c r="D1812" t="s">
        <v>95</v>
      </c>
      <c r="E1812" t="s">
        <v>142</v>
      </c>
      <c r="F1812" t="s">
        <v>3654</v>
      </c>
      <c r="G1812" t="str">
        <f>"201406002810"</f>
        <v>201406002810</v>
      </c>
      <c r="H1812" t="s">
        <v>1100</v>
      </c>
      <c r="I1812">
        <v>0</v>
      </c>
      <c r="J1812">
        <v>0</v>
      </c>
      <c r="K1812">
        <v>0</v>
      </c>
      <c r="L1812">
        <v>200</v>
      </c>
      <c r="M1812">
        <v>0</v>
      </c>
      <c r="N1812">
        <v>30</v>
      </c>
      <c r="O1812">
        <v>0</v>
      </c>
      <c r="P1812">
        <v>0</v>
      </c>
      <c r="Q1812">
        <v>0</v>
      </c>
      <c r="R1812">
        <v>0</v>
      </c>
      <c r="S1812">
        <v>0</v>
      </c>
      <c r="T1812">
        <v>0</v>
      </c>
      <c r="U1812">
        <v>0</v>
      </c>
      <c r="V1812">
        <v>18</v>
      </c>
      <c r="W1812">
        <v>126</v>
      </c>
      <c r="X1812">
        <v>0</v>
      </c>
      <c r="Z1812">
        <v>0</v>
      </c>
      <c r="AA1812">
        <v>0</v>
      </c>
      <c r="AB1812">
        <v>0</v>
      </c>
      <c r="AC1812">
        <v>0</v>
      </c>
      <c r="AD1812" t="s">
        <v>3655</v>
      </c>
    </row>
    <row r="1813" spans="1:30" x14ac:dyDescent="0.25">
      <c r="H1813" t="s">
        <v>2739</v>
      </c>
    </row>
    <row r="1814" spans="1:30" x14ac:dyDescent="0.25">
      <c r="A1814">
        <v>904</v>
      </c>
      <c r="B1814">
        <v>449</v>
      </c>
      <c r="C1814" t="s">
        <v>3656</v>
      </c>
      <c r="D1814" t="s">
        <v>120</v>
      </c>
      <c r="E1814" t="s">
        <v>32</v>
      </c>
      <c r="F1814" t="s">
        <v>3657</v>
      </c>
      <c r="G1814" t="str">
        <f>"00167598"</f>
        <v>00167598</v>
      </c>
      <c r="H1814" t="s">
        <v>1734</v>
      </c>
      <c r="I1814">
        <v>0</v>
      </c>
      <c r="J1814">
        <v>0</v>
      </c>
      <c r="K1814">
        <v>0</v>
      </c>
      <c r="L1814">
        <v>0</v>
      </c>
      <c r="M1814">
        <v>0</v>
      </c>
      <c r="N1814">
        <v>30</v>
      </c>
      <c r="O1814">
        <v>0</v>
      </c>
      <c r="P1814">
        <v>0</v>
      </c>
      <c r="Q1814">
        <v>0</v>
      </c>
      <c r="R1814">
        <v>0</v>
      </c>
      <c r="S1814">
        <v>0</v>
      </c>
      <c r="T1814">
        <v>0</v>
      </c>
      <c r="U1814">
        <v>0</v>
      </c>
      <c r="V1814">
        <v>56</v>
      </c>
      <c r="W1814">
        <v>392</v>
      </c>
      <c r="X1814">
        <v>0</v>
      </c>
      <c r="Z1814">
        <v>0</v>
      </c>
      <c r="AA1814">
        <v>0</v>
      </c>
      <c r="AB1814">
        <v>0</v>
      </c>
      <c r="AC1814">
        <v>0</v>
      </c>
      <c r="AD1814" t="s">
        <v>3658</v>
      </c>
    </row>
    <row r="1815" spans="1:30" x14ac:dyDescent="0.25">
      <c r="H1815" t="s">
        <v>3659</v>
      </c>
    </row>
    <row r="1816" spans="1:30" x14ac:dyDescent="0.25">
      <c r="A1816">
        <v>905</v>
      </c>
      <c r="B1816">
        <v>4673</v>
      </c>
      <c r="C1816" t="s">
        <v>3660</v>
      </c>
      <c r="D1816" t="s">
        <v>57</v>
      </c>
      <c r="E1816" t="s">
        <v>254</v>
      </c>
      <c r="F1816" t="s">
        <v>3661</v>
      </c>
      <c r="G1816" t="str">
        <f>"201402012568"</f>
        <v>201402012568</v>
      </c>
      <c r="H1816" t="s">
        <v>1356</v>
      </c>
      <c r="I1816">
        <v>0</v>
      </c>
      <c r="J1816">
        <v>0</v>
      </c>
      <c r="K1816">
        <v>0</v>
      </c>
      <c r="L1816">
        <v>200</v>
      </c>
      <c r="M1816">
        <v>0</v>
      </c>
      <c r="N1816">
        <v>70</v>
      </c>
      <c r="O1816">
        <v>0</v>
      </c>
      <c r="P1816">
        <v>0</v>
      </c>
      <c r="Q1816">
        <v>0</v>
      </c>
      <c r="R1816">
        <v>0</v>
      </c>
      <c r="S1816">
        <v>0</v>
      </c>
      <c r="T1816">
        <v>0</v>
      </c>
      <c r="U1816">
        <v>0</v>
      </c>
      <c r="V1816">
        <v>0</v>
      </c>
      <c r="W1816">
        <v>0</v>
      </c>
      <c r="X1816">
        <v>0</v>
      </c>
      <c r="Z1816">
        <v>0</v>
      </c>
      <c r="AA1816">
        <v>0</v>
      </c>
      <c r="AB1816">
        <v>5</v>
      </c>
      <c r="AC1816">
        <v>85</v>
      </c>
      <c r="AD1816" t="s">
        <v>3662</v>
      </c>
    </row>
    <row r="1817" spans="1:30" x14ac:dyDescent="0.25">
      <c r="H1817" t="s">
        <v>3663</v>
      </c>
    </row>
    <row r="1818" spans="1:30" x14ac:dyDescent="0.25">
      <c r="A1818">
        <v>906</v>
      </c>
      <c r="B1818">
        <v>6195</v>
      </c>
      <c r="C1818" t="s">
        <v>3664</v>
      </c>
      <c r="D1818" t="s">
        <v>589</v>
      </c>
      <c r="E1818" t="s">
        <v>28</v>
      </c>
      <c r="F1818" t="s">
        <v>3665</v>
      </c>
      <c r="G1818" t="str">
        <f>"201405001546"</f>
        <v>201405001546</v>
      </c>
      <c r="H1818" t="s">
        <v>3093</v>
      </c>
      <c r="I1818">
        <v>0</v>
      </c>
      <c r="J1818">
        <v>0</v>
      </c>
      <c r="K1818">
        <v>0</v>
      </c>
      <c r="L1818">
        <v>200</v>
      </c>
      <c r="M1818">
        <v>0</v>
      </c>
      <c r="N1818">
        <v>30</v>
      </c>
      <c r="O1818">
        <v>0</v>
      </c>
      <c r="P1818">
        <v>0</v>
      </c>
      <c r="Q1818">
        <v>0</v>
      </c>
      <c r="R1818">
        <v>0</v>
      </c>
      <c r="S1818">
        <v>0</v>
      </c>
      <c r="T1818">
        <v>0</v>
      </c>
      <c r="U1818">
        <v>0</v>
      </c>
      <c r="V1818">
        <v>6</v>
      </c>
      <c r="W1818">
        <v>42</v>
      </c>
      <c r="X1818">
        <v>0</v>
      </c>
      <c r="Z1818">
        <v>0</v>
      </c>
      <c r="AA1818">
        <v>0</v>
      </c>
      <c r="AB1818">
        <v>0</v>
      </c>
      <c r="AC1818">
        <v>0</v>
      </c>
      <c r="AD1818" t="s">
        <v>3666</v>
      </c>
    </row>
    <row r="1819" spans="1:30" x14ac:dyDescent="0.25">
      <c r="H1819" t="s">
        <v>3667</v>
      </c>
    </row>
    <row r="1820" spans="1:30" x14ac:dyDescent="0.25">
      <c r="A1820">
        <v>907</v>
      </c>
      <c r="B1820">
        <v>6028</v>
      </c>
      <c r="C1820" t="s">
        <v>3668</v>
      </c>
      <c r="D1820" t="s">
        <v>180</v>
      </c>
      <c r="E1820" t="s">
        <v>102</v>
      </c>
      <c r="F1820" t="s">
        <v>3669</v>
      </c>
      <c r="G1820" t="str">
        <f>"00369160"</f>
        <v>00369160</v>
      </c>
      <c r="H1820">
        <v>726</v>
      </c>
      <c r="I1820">
        <v>0</v>
      </c>
      <c r="J1820">
        <v>0</v>
      </c>
      <c r="K1820">
        <v>0</v>
      </c>
      <c r="L1820">
        <v>0</v>
      </c>
      <c r="M1820">
        <v>0</v>
      </c>
      <c r="N1820">
        <v>0</v>
      </c>
      <c r="O1820">
        <v>0</v>
      </c>
      <c r="P1820">
        <v>0</v>
      </c>
      <c r="Q1820">
        <v>0</v>
      </c>
      <c r="R1820">
        <v>0</v>
      </c>
      <c r="S1820">
        <v>0</v>
      </c>
      <c r="T1820">
        <v>0</v>
      </c>
      <c r="U1820">
        <v>0</v>
      </c>
      <c r="V1820">
        <v>49</v>
      </c>
      <c r="W1820">
        <v>343</v>
      </c>
      <c r="X1820">
        <v>0</v>
      </c>
      <c r="Z1820">
        <v>0</v>
      </c>
      <c r="AA1820">
        <v>0</v>
      </c>
      <c r="AB1820">
        <v>0</v>
      </c>
      <c r="AC1820">
        <v>0</v>
      </c>
      <c r="AD1820">
        <v>1069</v>
      </c>
    </row>
    <row r="1821" spans="1:30" x14ac:dyDescent="0.25">
      <c r="H1821" t="s">
        <v>3670</v>
      </c>
    </row>
    <row r="1822" spans="1:30" x14ac:dyDescent="0.25">
      <c r="A1822">
        <v>908</v>
      </c>
      <c r="B1822">
        <v>1786</v>
      </c>
      <c r="C1822" t="s">
        <v>3671</v>
      </c>
      <c r="D1822" t="s">
        <v>3672</v>
      </c>
      <c r="E1822" t="s">
        <v>167</v>
      </c>
      <c r="F1822" t="s">
        <v>3673</v>
      </c>
      <c r="G1822" t="str">
        <f>"201511024616"</f>
        <v>201511024616</v>
      </c>
      <c r="H1822" t="s">
        <v>532</v>
      </c>
      <c r="I1822">
        <v>0</v>
      </c>
      <c r="J1822">
        <v>0</v>
      </c>
      <c r="K1822">
        <v>0</v>
      </c>
      <c r="L1822">
        <v>0</v>
      </c>
      <c r="M1822">
        <v>0</v>
      </c>
      <c r="N1822">
        <v>70</v>
      </c>
      <c r="O1822">
        <v>0</v>
      </c>
      <c r="P1822">
        <v>0</v>
      </c>
      <c r="Q1822">
        <v>0</v>
      </c>
      <c r="R1822">
        <v>0</v>
      </c>
      <c r="S1822">
        <v>0</v>
      </c>
      <c r="T1822">
        <v>0</v>
      </c>
      <c r="U1822">
        <v>0</v>
      </c>
      <c r="V1822">
        <v>34</v>
      </c>
      <c r="W1822">
        <v>238</v>
      </c>
      <c r="X1822">
        <v>0</v>
      </c>
      <c r="Z1822">
        <v>0</v>
      </c>
      <c r="AA1822">
        <v>0</v>
      </c>
      <c r="AB1822">
        <v>0</v>
      </c>
      <c r="AC1822">
        <v>0</v>
      </c>
      <c r="AD1822" t="s">
        <v>3674</v>
      </c>
    </row>
    <row r="1823" spans="1:30" x14ac:dyDescent="0.25">
      <c r="H1823" t="s">
        <v>3675</v>
      </c>
    </row>
    <row r="1824" spans="1:30" x14ac:dyDescent="0.25">
      <c r="A1824">
        <v>909</v>
      </c>
      <c r="B1824">
        <v>1560</v>
      </c>
      <c r="C1824" t="s">
        <v>3676</v>
      </c>
      <c r="D1824" t="s">
        <v>3677</v>
      </c>
      <c r="E1824" t="s">
        <v>3678</v>
      </c>
      <c r="F1824" t="s">
        <v>3679</v>
      </c>
      <c r="G1824" t="str">
        <f>"00227599"</f>
        <v>00227599</v>
      </c>
      <c r="H1824">
        <v>682</v>
      </c>
      <c r="I1824">
        <v>0</v>
      </c>
      <c r="J1824">
        <v>0</v>
      </c>
      <c r="K1824">
        <v>0</v>
      </c>
      <c r="L1824">
        <v>0</v>
      </c>
      <c r="M1824">
        <v>0</v>
      </c>
      <c r="N1824">
        <v>0</v>
      </c>
      <c r="O1824">
        <v>0</v>
      </c>
      <c r="P1824">
        <v>50</v>
      </c>
      <c r="Q1824">
        <v>0</v>
      </c>
      <c r="R1824">
        <v>0</v>
      </c>
      <c r="S1824">
        <v>0</v>
      </c>
      <c r="T1824">
        <v>0</v>
      </c>
      <c r="U1824">
        <v>0</v>
      </c>
      <c r="V1824">
        <v>48</v>
      </c>
      <c r="W1824">
        <v>336</v>
      </c>
      <c r="X1824">
        <v>0</v>
      </c>
      <c r="Z1824">
        <v>0</v>
      </c>
      <c r="AA1824">
        <v>0</v>
      </c>
      <c r="AB1824">
        <v>0</v>
      </c>
      <c r="AC1824">
        <v>0</v>
      </c>
      <c r="AD1824">
        <v>1068</v>
      </c>
    </row>
    <row r="1825" spans="1:30" x14ac:dyDescent="0.25">
      <c r="H1825" t="s">
        <v>3680</v>
      </c>
    </row>
    <row r="1826" spans="1:30" x14ac:dyDescent="0.25">
      <c r="A1826">
        <v>910</v>
      </c>
      <c r="B1826">
        <v>2855</v>
      </c>
      <c r="C1826" t="s">
        <v>3681</v>
      </c>
      <c r="D1826" t="s">
        <v>3682</v>
      </c>
      <c r="E1826" t="s">
        <v>3342</v>
      </c>
      <c r="F1826" t="s">
        <v>3683</v>
      </c>
      <c r="G1826" t="str">
        <f>"00332721"</f>
        <v>00332721</v>
      </c>
      <c r="H1826" t="s">
        <v>739</v>
      </c>
      <c r="I1826">
        <v>0</v>
      </c>
      <c r="J1826">
        <v>0</v>
      </c>
      <c r="K1826">
        <v>0</v>
      </c>
      <c r="L1826">
        <v>0</v>
      </c>
      <c r="M1826">
        <v>0</v>
      </c>
      <c r="N1826">
        <v>50</v>
      </c>
      <c r="O1826">
        <v>0</v>
      </c>
      <c r="P1826">
        <v>0</v>
      </c>
      <c r="Q1826">
        <v>0</v>
      </c>
      <c r="R1826">
        <v>0</v>
      </c>
      <c r="S1826">
        <v>0</v>
      </c>
      <c r="T1826">
        <v>0</v>
      </c>
      <c r="U1826">
        <v>0</v>
      </c>
      <c r="V1826">
        <v>39</v>
      </c>
      <c r="W1826">
        <v>273</v>
      </c>
      <c r="X1826">
        <v>0</v>
      </c>
      <c r="Z1826">
        <v>0</v>
      </c>
      <c r="AA1826">
        <v>0</v>
      </c>
      <c r="AB1826">
        <v>0</v>
      </c>
      <c r="AC1826">
        <v>0</v>
      </c>
      <c r="AD1826" t="s">
        <v>3684</v>
      </c>
    </row>
    <row r="1827" spans="1:30" x14ac:dyDescent="0.25">
      <c r="H1827" t="s">
        <v>3685</v>
      </c>
    </row>
    <row r="1828" spans="1:30" x14ac:dyDescent="0.25">
      <c r="A1828">
        <v>911</v>
      </c>
      <c r="B1828">
        <v>1828</v>
      </c>
      <c r="C1828" t="s">
        <v>3686</v>
      </c>
      <c r="D1828" t="s">
        <v>167</v>
      </c>
      <c r="E1828" t="s">
        <v>28</v>
      </c>
      <c r="F1828" t="s">
        <v>3687</v>
      </c>
      <c r="G1828" t="str">
        <f>"201407000197"</f>
        <v>201407000197</v>
      </c>
      <c r="H1828" t="s">
        <v>1255</v>
      </c>
      <c r="I1828">
        <v>0</v>
      </c>
      <c r="J1828">
        <v>0</v>
      </c>
      <c r="K1828">
        <v>0</v>
      </c>
      <c r="L1828">
        <v>200</v>
      </c>
      <c r="M1828">
        <v>0</v>
      </c>
      <c r="N1828">
        <v>70</v>
      </c>
      <c r="O1828">
        <v>0</v>
      </c>
      <c r="P1828">
        <v>0</v>
      </c>
      <c r="Q1828">
        <v>0</v>
      </c>
      <c r="R1828">
        <v>0</v>
      </c>
      <c r="S1828">
        <v>0</v>
      </c>
      <c r="T1828">
        <v>0</v>
      </c>
      <c r="U1828">
        <v>0</v>
      </c>
      <c r="V1828">
        <v>0</v>
      </c>
      <c r="W1828">
        <v>0</v>
      </c>
      <c r="X1828">
        <v>0</v>
      </c>
      <c r="Z1828">
        <v>0</v>
      </c>
      <c r="AA1828">
        <v>0</v>
      </c>
      <c r="AB1828">
        <v>0</v>
      </c>
      <c r="AC1828">
        <v>0</v>
      </c>
      <c r="AD1828" t="s">
        <v>3688</v>
      </c>
    </row>
    <row r="1829" spans="1:30" x14ac:dyDescent="0.25">
      <c r="H1829" t="s">
        <v>3689</v>
      </c>
    </row>
    <row r="1830" spans="1:30" x14ac:dyDescent="0.25">
      <c r="A1830">
        <v>912</v>
      </c>
      <c r="B1830">
        <v>6166</v>
      </c>
      <c r="C1830" t="s">
        <v>3690</v>
      </c>
      <c r="D1830" t="s">
        <v>185</v>
      </c>
      <c r="E1830" t="s">
        <v>49</v>
      </c>
      <c r="F1830" t="s">
        <v>3691</v>
      </c>
      <c r="G1830" t="str">
        <f>"201511035788"</f>
        <v>201511035788</v>
      </c>
      <c r="H1830" t="s">
        <v>1223</v>
      </c>
      <c r="I1830">
        <v>0</v>
      </c>
      <c r="J1830">
        <v>0</v>
      </c>
      <c r="K1830">
        <v>0</v>
      </c>
      <c r="L1830">
        <v>0</v>
      </c>
      <c r="M1830">
        <v>0</v>
      </c>
      <c r="N1830">
        <v>30</v>
      </c>
      <c r="O1830">
        <v>0</v>
      </c>
      <c r="P1830">
        <v>0</v>
      </c>
      <c r="Q1830">
        <v>0</v>
      </c>
      <c r="R1830">
        <v>0</v>
      </c>
      <c r="S1830">
        <v>0</v>
      </c>
      <c r="T1830">
        <v>0</v>
      </c>
      <c r="U1830">
        <v>0</v>
      </c>
      <c r="V1830">
        <v>41</v>
      </c>
      <c r="W1830">
        <v>287</v>
      </c>
      <c r="X1830">
        <v>0</v>
      </c>
      <c r="Z1830">
        <v>1</v>
      </c>
      <c r="AA1830">
        <v>0</v>
      </c>
      <c r="AB1830">
        <v>0</v>
      </c>
      <c r="AC1830">
        <v>0</v>
      </c>
      <c r="AD1830" t="s">
        <v>3692</v>
      </c>
    </row>
    <row r="1831" spans="1:30" x14ac:dyDescent="0.25">
      <c r="H1831" t="s">
        <v>3693</v>
      </c>
    </row>
    <row r="1832" spans="1:30" x14ac:dyDescent="0.25">
      <c r="A1832">
        <v>913</v>
      </c>
      <c r="B1832">
        <v>810</v>
      </c>
      <c r="C1832" t="s">
        <v>3694</v>
      </c>
      <c r="D1832" t="s">
        <v>181</v>
      </c>
      <c r="E1832" t="s">
        <v>107</v>
      </c>
      <c r="F1832" t="s">
        <v>3695</v>
      </c>
      <c r="G1832" t="str">
        <f>"00122935"</f>
        <v>00122935</v>
      </c>
      <c r="H1832" t="s">
        <v>521</v>
      </c>
      <c r="I1832">
        <v>0</v>
      </c>
      <c r="J1832">
        <v>0</v>
      </c>
      <c r="K1832">
        <v>0</v>
      </c>
      <c r="L1832">
        <v>0</v>
      </c>
      <c r="M1832">
        <v>0</v>
      </c>
      <c r="N1832">
        <v>30</v>
      </c>
      <c r="O1832">
        <v>0</v>
      </c>
      <c r="P1832">
        <v>0</v>
      </c>
      <c r="Q1832">
        <v>0</v>
      </c>
      <c r="R1832">
        <v>0</v>
      </c>
      <c r="S1832">
        <v>0</v>
      </c>
      <c r="T1832">
        <v>0</v>
      </c>
      <c r="U1832">
        <v>0</v>
      </c>
      <c r="V1832">
        <v>1</v>
      </c>
      <c r="W1832">
        <v>7</v>
      </c>
      <c r="X1832">
        <v>0</v>
      </c>
      <c r="Z1832">
        <v>0</v>
      </c>
      <c r="AA1832">
        <v>0</v>
      </c>
      <c r="AB1832">
        <v>18</v>
      </c>
      <c r="AC1832">
        <v>306</v>
      </c>
      <c r="AD1832" t="s">
        <v>3696</v>
      </c>
    </row>
    <row r="1833" spans="1:30" x14ac:dyDescent="0.25">
      <c r="H1833" t="s">
        <v>3697</v>
      </c>
    </row>
    <row r="1834" spans="1:30" x14ac:dyDescent="0.25">
      <c r="A1834">
        <v>914</v>
      </c>
      <c r="B1834">
        <v>60</v>
      </c>
      <c r="C1834" t="s">
        <v>3698</v>
      </c>
      <c r="D1834" t="s">
        <v>185</v>
      </c>
      <c r="E1834" t="s">
        <v>389</v>
      </c>
      <c r="F1834" t="s">
        <v>3699</v>
      </c>
      <c r="G1834" t="str">
        <f>"00276342"</f>
        <v>00276342</v>
      </c>
      <c r="H1834" t="s">
        <v>1163</v>
      </c>
      <c r="I1834">
        <v>0</v>
      </c>
      <c r="J1834">
        <v>0</v>
      </c>
      <c r="K1834">
        <v>0</v>
      </c>
      <c r="L1834">
        <v>0</v>
      </c>
      <c r="M1834">
        <v>0</v>
      </c>
      <c r="N1834">
        <v>30</v>
      </c>
      <c r="O1834">
        <v>0</v>
      </c>
      <c r="P1834">
        <v>0</v>
      </c>
      <c r="Q1834">
        <v>0</v>
      </c>
      <c r="R1834">
        <v>0</v>
      </c>
      <c r="S1834">
        <v>0</v>
      </c>
      <c r="T1834">
        <v>0</v>
      </c>
      <c r="U1834">
        <v>0</v>
      </c>
      <c r="V1834">
        <v>43</v>
      </c>
      <c r="W1834">
        <v>301</v>
      </c>
      <c r="X1834">
        <v>0</v>
      </c>
      <c r="Z1834">
        <v>0</v>
      </c>
      <c r="AA1834">
        <v>0</v>
      </c>
      <c r="AB1834">
        <v>0</v>
      </c>
      <c r="AC1834">
        <v>0</v>
      </c>
      <c r="AD1834" t="s">
        <v>3700</v>
      </c>
    </row>
    <row r="1835" spans="1:30" x14ac:dyDescent="0.25">
      <c r="H1835" t="s">
        <v>3701</v>
      </c>
    </row>
    <row r="1836" spans="1:30" x14ac:dyDescent="0.25">
      <c r="A1836">
        <v>915</v>
      </c>
      <c r="B1836">
        <v>358</v>
      </c>
      <c r="C1836" t="s">
        <v>3702</v>
      </c>
      <c r="D1836" t="s">
        <v>1016</v>
      </c>
      <c r="E1836" t="s">
        <v>167</v>
      </c>
      <c r="F1836" t="s">
        <v>3703</v>
      </c>
      <c r="G1836" t="str">
        <f>"00255659"</f>
        <v>00255659</v>
      </c>
      <c r="H1836" t="s">
        <v>2457</v>
      </c>
      <c r="I1836">
        <v>0</v>
      </c>
      <c r="J1836">
        <v>0</v>
      </c>
      <c r="K1836">
        <v>0</v>
      </c>
      <c r="L1836">
        <v>0</v>
      </c>
      <c r="M1836">
        <v>0</v>
      </c>
      <c r="N1836">
        <v>50</v>
      </c>
      <c r="O1836">
        <v>0</v>
      </c>
      <c r="P1836">
        <v>0</v>
      </c>
      <c r="Q1836">
        <v>0</v>
      </c>
      <c r="R1836">
        <v>0</v>
      </c>
      <c r="S1836">
        <v>0</v>
      </c>
      <c r="T1836">
        <v>0</v>
      </c>
      <c r="U1836">
        <v>0</v>
      </c>
      <c r="V1836">
        <v>6</v>
      </c>
      <c r="W1836">
        <v>42</v>
      </c>
      <c r="X1836">
        <v>0</v>
      </c>
      <c r="Z1836">
        <v>2</v>
      </c>
      <c r="AA1836">
        <v>0</v>
      </c>
      <c r="AB1836">
        <v>17</v>
      </c>
      <c r="AC1836">
        <v>289</v>
      </c>
      <c r="AD1836" t="s">
        <v>3704</v>
      </c>
    </row>
    <row r="1837" spans="1:30" x14ac:dyDescent="0.25">
      <c r="H1837" t="s">
        <v>3705</v>
      </c>
    </row>
    <row r="1838" spans="1:30" x14ac:dyDescent="0.25">
      <c r="A1838">
        <v>916</v>
      </c>
      <c r="B1838">
        <v>2815</v>
      </c>
      <c r="C1838" t="s">
        <v>3706</v>
      </c>
      <c r="D1838" t="s">
        <v>283</v>
      </c>
      <c r="E1838" t="s">
        <v>254</v>
      </c>
      <c r="F1838" t="s">
        <v>3707</v>
      </c>
      <c r="G1838" t="str">
        <f>"200903000806"</f>
        <v>200903000806</v>
      </c>
      <c r="H1838" t="s">
        <v>1725</v>
      </c>
      <c r="I1838">
        <v>0</v>
      </c>
      <c r="J1838">
        <v>0</v>
      </c>
      <c r="K1838">
        <v>0</v>
      </c>
      <c r="L1838">
        <v>0</v>
      </c>
      <c r="M1838">
        <v>0</v>
      </c>
      <c r="N1838">
        <v>0</v>
      </c>
      <c r="O1838">
        <v>0</v>
      </c>
      <c r="P1838">
        <v>0</v>
      </c>
      <c r="Q1838">
        <v>0</v>
      </c>
      <c r="R1838">
        <v>0</v>
      </c>
      <c r="S1838">
        <v>0</v>
      </c>
      <c r="T1838">
        <v>0</v>
      </c>
      <c r="U1838">
        <v>0</v>
      </c>
      <c r="V1838">
        <v>43</v>
      </c>
      <c r="W1838">
        <v>301</v>
      </c>
      <c r="X1838">
        <v>0</v>
      </c>
      <c r="Z1838">
        <v>0</v>
      </c>
      <c r="AA1838">
        <v>0</v>
      </c>
      <c r="AB1838">
        <v>0</v>
      </c>
      <c r="AC1838">
        <v>0</v>
      </c>
      <c r="AD1838" t="s">
        <v>3708</v>
      </c>
    </row>
    <row r="1839" spans="1:30" x14ac:dyDescent="0.25">
      <c r="H1839" t="s">
        <v>1204</v>
      </c>
    </row>
    <row r="1840" spans="1:30" x14ac:dyDescent="0.25">
      <c r="A1840">
        <v>917</v>
      </c>
      <c r="B1840">
        <v>1399</v>
      </c>
      <c r="C1840" t="s">
        <v>3709</v>
      </c>
      <c r="D1840" t="s">
        <v>3710</v>
      </c>
      <c r="E1840" t="s">
        <v>299</v>
      </c>
      <c r="F1840" t="s">
        <v>3711</v>
      </c>
      <c r="G1840" t="str">
        <f>"201406003894"</f>
        <v>201406003894</v>
      </c>
      <c r="H1840" t="s">
        <v>1915</v>
      </c>
      <c r="I1840">
        <v>0</v>
      </c>
      <c r="J1840">
        <v>0</v>
      </c>
      <c r="K1840">
        <v>0</v>
      </c>
      <c r="L1840">
        <v>0</v>
      </c>
      <c r="M1840">
        <v>0</v>
      </c>
      <c r="N1840">
        <v>50</v>
      </c>
      <c r="O1840">
        <v>30</v>
      </c>
      <c r="P1840">
        <v>0</v>
      </c>
      <c r="Q1840">
        <v>0</v>
      </c>
      <c r="R1840">
        <v>0</v>
      </c>
      <c r="S1840">
        <v>0</v>
      </c>
      <c r="T1840">
        <v>0</v>
      </c>
      <c r="U1840">
        <v>0</v>
      </c>
      <c r="V1840">
        <v>35</v>
      </c>
      <c r="W1840">
        <v>245</v>
      </c>
      <c r="X1840">
        <v>0</v>
      </c>
      <c r="Z1840">
        <v>0</v>
      </c>
      <c r="AA1840">
        <v>0</v>
      </c>
      <c r="AB1840">
        <v>0</v>
      </c>
      <c r="AC1840">
        <v>0</v>
      </c>
      <c r="AD1840" t="s">
        <v>3712</v>
      </c>
    </row>
    <row r="1841" spans="1:30" x14ac:dyDescent="0.25">
      <c r="H1841" t="s">
        <v>3713</v>
      </c>
    </row>
    <row r="1842" spans="1:30" x14ac:dyDescent="0.25">
      <c r="A1842">
        <v>918</v>
      </c>
      <c r="B1842">
        <v>2701</v>
      </c>
      <c r="C1842" t="s">
        <v>314</v>
      </c>
      <c r="D1842" t="s">
        <v>218</v>
      </c>
      <c r="E1842" t="s">
        <v>40</v>
      </c>
      <c r="F1842" t="s">
        <v>3714</v>
      </c>
      <c r="G1842" t="str">
        <f>"00158236"</f>
        <v>00158236</v>
      </c>
      <c r="H1842" t="s">
        <v>1915</v>
      </c>
      <c r="I1842">
        <v>0</v>
      </c>
      <c r="J1842">
        <v>0</v>
      </c>
      <c r="K1842">
        <v>0</v>
      </c>
      <c r="L1842">
        <v>0</v>
      </c>
      <c r="M1842">
        <v>0</v>
      </c>
      <c r="N1842">
        <v>30</v>
      </c>
      <c r="O1842">
        <v>0</v>
      </c>
      <c r="P1842">
        <v>0</v>
      </c>
      <c r="Q1842">
        <v>0</v>
      </c>
      <c r="R1842">
        <v>0</v>
      </c>
      <c r="S1842">
        <v>0</v>
      </c>
      <c r="T1842">
        <v>0</v>
      </c>
      <c r="U1842">
        <v>0</v>
      </c>
      <c r="V1842">
        <v>42</v>
      </c>
      <c r="W1842">
        <v>294</v>
      </c>
      <c r="X1842">
        <v>0</v>
      </c>
      <c r="Z1842">
        <v>0</v>
      </c>
      <c r="AA1842">
        <v>0</v>
      </c>
      <c r="AB1842">
        <v>0</v>
      </c>
      <c r="AC1842">
        <v>0</v>
      </c>
      <c r="AD1842" t="s">
        <v>3715</v>
      </c>
    </row>
    <row r="1843" spans="1:30" x14ac:dyDescent="0.25">
      <c r="H1843" t="s">
        <v>3716</v>
      </c>
    </row>
    <row r="1844" spans="1:30" x14ac:dyDescent="0.25">
      <c r="A1844">
        <v>919</v>
      </c>
      <c r="B1844">
        <v>5078</v>
      </c>
      <c r="C1844" t="s">
        <v>1706</v>
      </c>
      <c r="D1844" t="s">
        <v>106</v>
      </c>
      <c r="E1844" t="s">
        <v>102</v>
      </c>
      <c r="F1844" t="s">
        <v>3717</v>
      </c>
      <c r="G1844" t="str">
        <f>"20160705460"</f>
        <v>20160705460</v>
      </c>
      <c r="H1844">
        <v>671</v>
      </c>
      <c r="I1844">
        <v>0</v>
      </c>
      <c r="J1844">
        <v>0</v>
      </c>
      <c r="K1844">
        <v>0</v>
      </c>
      <c r="L1844">
        <v>0</v>
      </c>
      <c r="M1844">
        <v>0</v>
      </c>
      <c r="N1844">
        <v>0</v>
      </c>
      <c r="O1844">
        <v>0</v>
      </c>
      <c r="P1844">
        <v>0</v>
      </c>
      <c r="Q1844">
        <v>0</v>
      </c>
      <c r="R1844">
        <v>0</v>
      </c>
      <c r="S1844">
        <v>0</v>
      </c>
      <c r="T1844">
        <v>0</v>
      </c>
      <c r="U1844">
        <v>0</v>
      </c>
      <c r="V1844">
        <v>56</v>
      </c>
      <c r="W1844">
        <v>392</v>
      </c>
      <c r="X1844">
        <v>0</v>
      </c>
      <c r="Z1844">
        <v>1</v>
      </c>
      <c r="AA1844">
        <v>0</v>
      </c>
      <c r="AB1844">
        <v>0</v>
      </c>
      <c r="AC1844">
        <v>0</v>
      </c>
      <c r="AD1844">
        <v>1063</v>
      </c>
    </row>
    <row r="1845" spans="1:30" x14ac:dyDescent="0.25">
      <c r="H1845" t="s">
        <v>3718</v>
      </c>
    </row>
    <row r="1846" spans="1:30" x14ac:dyDescent="0.25">
      <c r="A1846">
        <v>920</v>
      </c>
      <c r="B1846">
        <v>4820</v>
      </c>
      <c r="C1846" t="s">
        <v>3719</v>
      </c>
      <c r="D1846" t="s">
        <v>1053</v>
      </c>
      <c r="E1846" t="s">
        <v>107</v>
      </c>
      <c r="F1846" t="s">
        <v>3720</v>
      </c>
      <c r="G1846" t="str">
        <f>"201406013079"</f>
        <v>201406013079</v>
      </c>
      <c r="H1846" t="s">
        <v>1388</v>
      </c>
      <c r="I1846">
        <v>0</v>
      </c>
      <c r="J1846">
        <v>0</v>
      </c>
      <c r="K1846">
        <v>0</v>
      </c>
      <c r="L1846">
        <v>0</v>
      </c>
      <c r="M1846">
        <v>0</v>
      </c>
      <c r="N1846">
        <v>30</v>
      </c>
      <c r="O1846">
        <v>0</v>
      </c>
      <c r="P1846">
        <v>0</v>
      </c>
      <c r="Q1846">
        <v>0</v>
      </c>
      <c r="R1846">
        <v>0</v>
      </c>
      <c r="S1846">
        <v>0</v>
      </c>
      <c r="T1846">
        <v>0</v>
      </c>
      <c r="U1846">
        <v>0</v>
      </c>
      <c r="V1846">
        <v>44</v>
      </c>
      <c r="W1846">
        <v>308</v>
      </c>
      <c r="X1846">
        <v>0</v>
      </c>
      <c r="Z1846">
        <v>0</v>
      </c>
      <c r="AA1846">
        <v>0</v>
      </c>
      <c r="AB1846">
        <v>0</v>
      </c>
      <c r="AC1846">
        <v>0</v>
      </c>
      <c r="AD1846" t="s">
        <v>3721</v>
      </c>
    </row>
    <row r="1847" spans="1:30" x14ac:dyDescent="0.25">
      <c r="H1847" t="s">
        <v>3722</v>
      </c>
    </row>
    <row r="1848" spans="1:30" x14ac:dyDescent="0.25">
      <c r="A1848">
        <v>921</v>
      </c>
      <c r="B1848">
        <v>4997</v>
      </c>
      <c r="C1848" t="s">
        <v>982</v>
      </c>
      <c r="D1848" t="s">
        <v>3723</v>
      </c>
      <c r="E1848" t="s">
        <v>120</v>
      </c>
      <c r="F1848" t="s">
        <v>3724</v>
      </c>
      <c r="G1848" t="str">
        <f>"201512004804"</f>
        <v>201512004804</v>
      </c>
      <c r="H1848">
        <v>737</v>
      </c>
      <c r="I1848">
        <v>0</v>
      </c>
      <c r="J1848">
        <v>0</v>
      </c>
      <c r="K1848">
        <v>0</v>
      </c>
      <c r="L1848">
        <v>0</v>
      </c>
      <c r="M1848">
        <v>0</v>
      </c>
      <c r="N1848">
        <v>30</v>
      </c>
      <c r="O1848">
        <v>50</v>
      </c>
      <c r="P1848">
        <v>0</v>
      </c>
      <c r="Q1848">
        <v>0</v>
      </c>
      <c r="R1848">
        <v>0</v>
      </c>
      <c r="S1848">
        <v>0</v>
      </c>
      <c r="T1848">
        <v>0</v>
      </c>
      <c r="U1848">
        <v>0</v>
      </c>
      <c r="V1848">
        <v>35</v>
      </c>
      <c r="W1848">
        <v>245</v>
      </c>
      <c r="X1848">
        <v>0</v>
      </c>
      <c r="Z1848">
        <v>0</v>
      </c>
      <c r="AA1848">
        <v>0</v>
      </c>
      <c r="AB1848">
        <v>0</v>
      </c>
      <c r="AC1848">
        <v>0</v>
      </c>
      <c r="AD1848">
        <v>1062</v>
      </c>
    </row>
    <row r="1849" spans="1:30" x14ac:dyDescent="0.25">
      <c r="H1849" t="s">
        <v>3725</v>
      </c>
    </row>
    <row r="1850" spans="1:30" x14ac:dyDescent="0.25">
      <c r="A1850">
        <v>922</v>
      </c>
      <c r="B1850">
        <v>1602</v>
      </c>
      <c r="C1850" t="s">
        <v>777</v>
      </c>
      <c r="D1850" t="s">
        <v>3726</v>
      </c>
      <c r="E1850" t="s">
        <v>120</v>
      </c>
      <c r="F1850" t="s">
        <v>3727</v>
      </c>
      <c r="G1850" t="str">
        <f>"00217538"</f>
        <v>00217538</v>
      </c>
      <c r="H1850" t="s">
        <v>66</v>
      </c>
      <c r="I1850">
        <v>0</v>
      </c>
      <c r="J1850">
        <v>0</v>
      </c>
      <c r="K1850">
        <v>0</v>
      </c>
      <c r="L1850">
        <v>0</v>
      </c>
      <c r="M1850">
        <v>0</v>
      </c>
      <c r="N1850">
        <v>30</v>
      </c>
      <c r="O1850">
        <v>0</v>
      </c>
      <c r="P1850">
        <v>0</v>
      </c>
      <c r="Q1850">
        <v>0</v>
      </c>
      <c r="R1850">
        <v>0</v>
      </c>
      <c r="S1850">
        <v>0</v>
      </c>
      <c r="T1850">
        <v>0</v>
      </c>
      <c r="U1850">
        <v>0</v>
      </c>
      <c r="V1850">
        <v>42</v>
      </c>
      <c r="W1850">
        <v>294</v>
      </c>
      <c r="X1850">
        <v>0</v>
      </c>
      <c r="Z1850">
        <v>2</v>
      </c>
      <c r="AA1850">
        <v>0</v>
      </c>
      <c r="AB1850">
        <v>0</v>
      </c>
      <c r="AC1850">
        <v>0</v>
      </c>
      <c r="AD1850" t="s">
        <v>3728</v>
      </c>
    </row>
    <row r="1851" spans="1:30" x14ac:dyDescent="0.25">
      <c r="H1851" t="s">
        <v>3729</v>
      </c>
    </row>
    <row r="1852" spans="1:30" x14ac:dyDescent="0.25">
      <c r="A1852">
        <v>923</v>
      </c>
      <c r="B1852">
        <v>3586</v>
      </c>
      <c r="C1852" t="s">
        <v>3730</v>
      </c>
      <c r="D1852" t="s">
        <v>120</v>
      </c>
      <c r="E1852" t="s">
        <v>1622</v>
      </c>
      <c r="F1852" t="s">
        <v>3731</v>
      </c>
      <c r="G1852" t="str">
        <f>"00004688"</f>
        <v>00004688</v>
      </c>
      <c r="H1852" t="s">
        <v>375</v>
      </c>
      <c r="I1852">
        <v>0</v>
      </c>
      <c r="J1852">
        <v>0</v>
      </c>
      <c r="K1852">
        <v>0</v>
      </c>
      <c r="L1852">
        <v>0</v>
      </c>
      <c r="M1852">
        <v>0</v>
      </c>
      <c r="N1852">
        <v>30</v>
      </c>
      <c r="O1852">
        <v>0</v>
      </c>
      <c r="P1852">
        <v>0</v>
      </c>
      <c r="Q1852">
        <v>0</v>
      </c>
      <c r="R1852">
        <v>0</v>
      </c>
      <c r="S1852">
        <v>0</v>
      </c>
      <c r="T1852">
        <v>0</v>
      </c>
      <c r="U1852">
        <v>0</v>
      </c>
      <c r="V1852">
        <v>43</v>
      </c>
      <c r="W1852">
        <v>301</v>
      </c>
      <c r="X1852">
        <v>0</v>
      </c>
      <c r="Z1852">
        <v>0</v>
      </c>
      <c r="AA1852">
        <v>0</v>
      </c>
      <c r="AB1852">
        <v>0</v>
      </c>
      <c r="AC1852">
        <v>0</v>
      </c>
      <c r="AD1852" t="s">
        <v>3732</v>
      </c>
    </row>
    <row r="1853" spans="1:30" x14ac:dyDescent="0.25">
      <c r="H1853" t="s">
        <v>3733</v>
      </c>
    </row>
    <row r="1854" spans="1:30" x14ac:dyDescent="0.25">
      <c r="A1854">
        <v>924</v>
      </c>
      <c r="B1854">
        <v>2856</v>
      </c>
      <c r="C1854" t="s">
        <v>3734</v>
      </c>
      <c r="D1854" t="s">
        <v>32</v>
      </c>
      <c r="E1854" t="s">
        <v>28</v>
      </c>
      <c r="F1854" t="s">
        <v>3735</v>
      </c>
      <c r="G1854" t="str">
        <f>"201511027052"</f>
        <v>201511027052</v>
      </c>
      <c r="H1854" t="s">
        <v>505</v>
      </c>
      <c r="I1854">
        <v>0</v>
      </c>
      <c r="J1854">
        <v>0</v>
      </c>
      <c r="K1854">
        <v>0</v>
      </c>
      <c r="L1854">
        <v>0</v>
      </c>
      <c r="M1854">
        <v>0</v>
      </c>
      <c r="N1854">
        <v>30</v>
      </c>
      <c r="O1854">
        <v>0</v>
      </c>
      <c r="P1854">
        <v>0</v>
      </c>
      <c r="Q1854">
        <v>0</v>
      </c>
      <c r="R1854">
        <v>0</v>
      </c>
      <c r="S1854">
        <v>0</v>
      </c>
      <c r="T1854">
        <v>0</v>
      </c>
      <c r="U1854">
        <v>0</v>
      </c>
      <c r="V1854">
        <v>49</v>
      </c>
      <c r="W1854">
        <v>343</v>
      </c>
      <c r="X1854">
        <v>0</v>
      </c>
      <c r="Z1854">
        <v>0</v>
      </c>
      <c r="AA1854">
        <v>0</v>
      </c>
      <c r="AB1854">
        <v>0</v>
      </c>
      <c r="AC1854">
        <v>0</v>
      </c>
      <c r="AD1854" t="s">
        <v>3736</v>
      </c>
    </row>
    <row r="1855" spans="1:30" x14ac:dyDescent="0.25">
      <c r="H1855" t="s">
        <v>3737</v>
      </c>
    </row>
    <row r="1856" spans="1:30" x14ac:dyDescent="0.25">
      <c r="A1856">
        <v>925</v>
      </c>
      <c r="B1856">
        <v>1169</v>
      </c>
      <c r="C1856" t="s">
        <v>3738</v>
      </c>
      <c r="D1856" t="s">
        <v>373</v>
      </c>
      <c r="E1856" t="s">
        <v>3739</v>
      </c>
      <c r="F1856" t="s">
        <v>3740</v>
      </c>
      <c r="G1856" t="str">
        <f>"201401001990"</f>
        <v>201401001990</v>
      </c>
      <c r="H1856">
        <v>682</v>
      </c>
      <c r="I1856">
        <v>0</v>
      </c>
      <c r="J1856">
        <v>0</v>
      </c>
      <c r="K1856">
        <v>0</v>
      </c>
      <c r="L1856">
        <v>200</v>
      </c>
      <c r="M1856">
        <v>0</v>
      </c>
      <c r="N1856">
        <v>70</v>
      </c>
      <c r="O1856">
        <v>0</v>
      </c>
      <c r="P1856">
        <v>0</v>
      </c>
      <c r="Q1856">
        <v>0</v>
      </c>
      <c r="R1856">
        <v>0</v>
      </c>
      <c r="S1856">
        <v>0</v>
      </c>
      <c r="T1856">
        <v>0</v>
      </c>
      <c r="U1856">
        <v>0</v>
      </c>
      <c r="V1856">
        <v>15</v>
      </c>
      <c r="W1856">
        <v>105</v>
      </c>
      <c r="X1856">
        <v>0</v>
      </c>
      <c r="Z1856">
        <v>0</v>
      </c>
      <c r="AA1856">
        <v>0</v>
      </c>
      <c r="AB1856">
        <v>0</v>
      </c>
      <c r="AC1856">
        <v>0</v>
      </c>
      <c r="AD1856">
        <v>1057</v>
      </c>
    </row>
    <row r="1857" spans="1:30" x14ac:dyDescent="0.25">
      <c r="H1857" t="s">
        <v>3741</v>
      </c>
    </row>
    <row r="1858" spans="1:30" x14ac:dyDescent="0.25">
      <c r="A1858">
        <v>926</v>
      </c>
      <c r="B1858">
        <v>1674</v>
      </c>
      <c r="C1858" t="s">
        <v>3742</v>
      </c>
      <c r="D1858" t="s">
        <v>236</v>
      </c>
      <c r="E1858" t="s">
        <v>28</v>
      </c>
      <c r="F1858" t="s">
        <v>3743</v>
      </c>
      <c r="G1858" t="str">
        <f>"00229821"</f>
        <v>00229821</v>
      </c>
      <c r="H1858" t="s">
        <v>215</v>
      </c>
      <c r="I1858">
        <v>0</v>
      </c>
      <c r="J1858">
        <v>0</v>
      </c>
      <c r="K1858">
        <v>0</v>
      </c>
      <c r="L1858">
        <v>0</v>
      </c>
      <c r="M1858">
        <v>0</v>
      </c>
      <c r="N1858">
        <v>30</v>
      </c>
      <c r="O1858">
        <v>0</v>
      </c>
      <c r="P1858">
        <v>0</v>
      </c>
      <c r="Q1858">
        <v>0</v>
      </c>
      <c r="R1858">
        <v>0</v>
      </c>
      <c r="S1858">
        <v>0</v>
      </c>
      <c r="T1858">
        <v>0</v>
      </c>
      <c r="U1858">
        <v>0</v>
      </c>
      <c r="V1858">
        <v>42</v>
      </c>
      <c r="W1858">
        <v>294</v>
      </c>
      <c r="X1858">
        <v>0</v>
      </c>
      <c r="Z1858">
        <v>1</v>
      </c>
      <c r="AA1858">
        <v>0</v>
      </c>
      <c r="AB1858">
        <v>0</v>
      </c>
      <c r="AC1858">
        <v>0</v>
      </c>
      <c r="AD1858" t="s">
        <v>3744</v>
      </c>
    </row>
    <row r="1859" spans="1:30" x14ac:dyDescent="0.25">
      <c r="H1859" t="s">
        <v>3745</v>
      </c>
    </row>
    <row r="1860" spans="1:30" x14ac:dyDescent="0.25">
      <c r="A1860">
        <v>927</v>
      </c>
      <c r="B1860">
        <v>4062</v>
      </c>
      <c r="C1860" t="s">
        <v>3746</v>
      </c>
      <c r="D1860" t="s">
        <v>3747</v>
      </c>
      <c r="E1860" t="s">
        <v>32</v>
      </c>
      <c r="F1860" t="s">
        <v>3748</v>
      </c>
      <c r="G1860" t="str">
        <f>"00199884"</f>
        <v>00199884</v>
      </c>
      <c r="H1860" t="s">
        <v>1202</v>
      </c>
      <c r="I1860">
        <v>0</v>
      </c>
      <c r="J1860">
        <v>0</v>
      </c>
      <c r="K1860">
        <v>0</v>
      </c>
      <c r="L1860">
        <v>0</v>
      </c>
      <c r="M1860">
        <v>0</v>
      </c>
      <c r="N1860">
        <v>50</v>
      </c>
      <c r="O1860">
        <v>0</v>
      </c>
      <c r="P1860">
        <v>0</v>
      </c>
      <c r="Q1860">
        <v>0</v>
      </c>
      <c r="R1860">
        <v>0</v>
      </c>
      <c r="S1860">
        <v>0</v>
      </c>
      <c r="T1860">
        <v>0</v>
      </c>
      <c r="U1860">
        <v>0</v>
      </c>
      <c r="V1860">
        <v>43</v>
      </c>
      <c r="W1860">
        <v>301</v>
      </c>
      <c r="X1860">
        <v>0</v>
      </c>
      <c r="Z1860">
        <v>0</v>
      </c>
      <c r="AA1860">
        <v>0</v>
      </c>
      <c r="AB1860">
        <v>0</v>
      </c>
      <c r="AC1860">
        <v>0</v>
      </c>
      <c r="AD1860" t="s">
        <v>3749</v>
      </c>
    </row>
    <row r="1861" spans="1:30" x14ac:dyDescent="0.25">
      <c r="H1861" t="s">
        <v>351</v>
      </c>
    </row>
    <row r="1862" spans="1:30" x14ac:dyDescent="0.25">
      <c r="A1862">
        <v>928</v>
      </c>
      <c r="B1862">
        <v>1535</v>
      </c>
      <c r="C1862" t="s">
        <v>3750</v>
      </c>
      <c r="D1862" t="s">
        <v>102</v>
      </c>
      <c r="E1862" t="s">
        <v>120</v>
      </c>
      <c r="F1862" t="s">
        <v>3751</v>
      </c>
      <c r="G1862" t="str">
        <f>"200805000797"</f>
        <v>200805000797</v>
      </c>
      <c r="H1862">
        <v>693</v>
      </c>
      <c r="I1862">
        <v>0</v>
      </c>
      <c r="J1862">
        <v>0</v>
      </c>
      <c r="K1862">
        <v>0</v>
      </c>
      <c r="L1862">
        <v>0</v>
      </c>
      <c r="M1862">
        <v>100</v>
      </c>
      <c r="N1862">
        <v>70</v>
      </c>
      <c r="O1862">
        <v>0</v>
      </c>
      <c r="P1862">
        <v>0</v>
      </c>
      <c r="Q1862">
        <v>0</v>
      </c>
      <c r="R1862">
        <v>0</v>
      </c>
      <c r="S1862">
        <v>0</v>
      </c>
      <c r="T1862">
        <v>0</v>
      </c>
      <c r="U1862">
        <v>0</v>
      </c>
      <c r="V1862">
        <v>27</v>
      </c>
      <c r="W1862">
        <v>189</v>
      </c>
      <c r="X1862">
        <v>0</v>
      </c>
      <c r="Z1862">
        <v>0</v>
      </c>
      <c r="AA1862">
        <v>0</v>
      </c>
      <c r="AB1862">
        <v>0</v>
      </c>
      <c r="AC1862">
        <v>0</v>
      </c>
      <c r="AD1862">
        <v>1052</v>
      </c>
    </row>
    <row r="1863" spans="1:30" x14ac:dyDescent="0.25">
      <c r="H1863" t="s">
        <v>360</v>
      </c>
    </row>
    <row r="1864" spans="1:30" x14ac:dyDescent="0.25">
      <c r="A1864">
        <v>929</v>
      </c>
      <c r="B1864">
        <v>563</v>
      </c>
      <c r="C1864" t="s">
        <v>3752</v>
      </c>
      <c r="D1864" t="s">
        <v>3753</v>
      </c>
      <c r="E1864" t="s">
        <v>28</v>
      </c>
      <c r="F1864" t="s">
        <v>3754</v>
      </c>
      <c r="G1864" t="str">
        <f>"200712002330"</f>
        <v>200712002330</v>
      </c>
      <c r="H1864" t="s">
        <v>476</v>
      </c>
      <c r="I1864">
        <v>0</v>
      </c>
      <c r="J1864">
        <v>0</v>
      </c>
      <c r="K1864">
        <v>0</v>
      </c>
      <c r="L1864">
        <v>0</v>
      </c>
      <c r="M1864">
        <v>0</v>
      </c>
      <c r="N1864">
        <v>50</v>
      </c>
      <c r="O1864">
        <v>0</v>
      </c>
      <c r="P1864">
        <v>0</v>
      </c>
      <c r="Q1864">
        <v>30</v>
      </c>
      <c r="R1864">
        <v>0</v>
      </c>
      <c r="S1864">
        <v>0</v>
      </c>
      <c r="T1864">
        <v>0</v>
      </c>
      <c r="U1864">
        <v>0</v>
      </c>
      <c r="V1864">
        <v>34</v>
      </c>
      <c r="W1864">
        <v>238</v>
      </c>
      <c r="X1864">
        <v>0</v>
      </c>
      <c r="Z1864">
        <v>0</v>
      </c>
      <c r="AA1864">
        <v>0</v>
      </c>
      <c r="AB1864">
        <v>0</v>
      </c>
      <c r="AC1864">
        <v>0</v>
      </c>
      <c r="AD1864" t="s">
        <v>3755</v>
      </c>
    </row>
    <row r="1865" spans="1:30" x14ac:dyDescent="0.25">
      <c r="H1865" t="s">
        <v>3756</v>
      </c>
    </row>
    <row r="1866" spans="1:30" x14ac:dyDescent="0.25">
      <c r="A1866">
        <v>930</v>
      </c>
      <c r="B1866">
        <v>3512</v>
      </c>
      <c r="C1866" t="s">
        <v>3757</v>
      </c>
      <c r="D1866" t="s">
        <v>180</v>
      </c>
      <c r="E1866" t="s">
        <v>120</v>
      </c>
      <c r="F1866" t="s">
        <v>3758</v>
      </c>
      <c r="G1866" t="str">
        <f>"201511028760"</f>
        <v>201511028760</v>
      </c>
      <c r="H1866">
        <v>726</v>
      </c>
      <c r="I1866">
        <v>0</v>
      </c>
      <c r="J1866">
        <v>0</v>
      </c>
      <c r="K1866">
        <v>0</v>
      </c>
      <c r="L1866">
        <v>0</v>
      </c>
      <c r="M1866">
        <v>0</v>
      </c>
      <c r="N1866">
        <v>30</v>
      </c>
      <c r="O1866">
        <v>0</v>
      </c>
      <c r="P1866">
        <v>0</v>
      </c>
      <c r="Q1866">
        <v>0</v>
      </c>
      <c r="R1866">
        <v>0</v>
      </c>
      <c r="S1866">
        <v>0</v>
      </c>
      <c r="T1866">
        <v>0</v>
      </c>
      <c r="U1866">
        <v>0</v>
      </c>
      <c r="V1866">
        <v>42</v>
      </c>
      <c r="W1866">
        <v>294</v>
      </c>
      <c r="X1866">
        <v>0</v>
      </c>
      <c r="Z1866">
        <v>2</v>
      </c>
      <c r="AA1866">
        <v>0</v>
      </c>
      <c r="AB1866">
        <v>0</v>
      </c>
      <c r="AC1866">
        <v>0</v>
      </c>
      <c r="AD1866">
        <v>1050</v>
      </c>
    </row>
    <row r="1867" spans="1:30" x14ac:dyDescent="0.25">
      <c r="H1867" t="s">
        <v>3759</v>
      </c>
    </row>
    <row r="1868" spans="1:30" x14ac:dyDescent="0.25">
      <c r="A1868">
        <v>931</v>
      </c>
      <c r="B1868">
        <v>3007</v>
      </c>
      <c r="C1868" t="s">
        <v>3760</v>
      </c>
      <c r="D1868" t="s">
        <v>102</v>
      </c>
      <c r="E1868" t="s">
        <v>347</v>
      </c>
      <c r="F1868" t="s">
        <v>3761</v>
      </c>
      <c r="G1868" t="str">
        <f>"00333224"</f>
        <v>00333224</v>
      </c>
      <c r="H1868" t="s">
        <v>431</v>
      </c>
      <c r="I1868">
        <v>0</v>
      </c>
      <c r="J1868">
        <v>0</v>
      </c>
      <c r="K1868">
        <v>0</v>
      </c>
      <c r="L1868">
        <v>0</v>
      </c>
      <c r="M1868">
        <v>0</v>
      </c>
      <c r="N1868">
        <v>30</v>
      </c>
      <c r="O1868">
        <v>0</v>
      </c>
      <c r="P1868">
        <v>0</v>
      </c>
      <c r="Q1868">
        <v>0</v>
      </c>
      <c r="R1868">
        <v>0</v>
      </c>
      <c r="S1868">
        <v>0</v>
      </c>
      <c r="T1868">
        <v>0</v>
      </c>
      <c r="U1868">
        <v>0</v>
      </c>
      <c r="V1868">
        <v>51</v>
      </c>
      <c r="W1868">
        <v>357</v>
      </c>
      <c r="X1868">
        <v>0</v>
      </c>
      <c r="Z1868">
        <v>0</v>
      </c>
      <c r="AA1868">
        <v>0</v>
      </c>
      <c r="AB1868">
        <v>0</v>
      </c>
      <c r="AC1868">
        <v>0</v>
      </c>
      <c r="AD1868" t="s">
        <v>3762</v>
      </c>
    </row>
    <row r="1869" spans="1:30" x14ac:dyDescent="0.25">
      <c r="H1869" t="s">
        <v>301</v>
      </c>
    </row>
    <row r="1870" spans="1:30" x14ac:dyDescent="0.25">
      <c r="A1870">
        <v>932</v>
      </c>
      <c r="B1870">
        <v>3580</v>
      </c>
      <c r="C1870" t="s">
        <v>3763</v>
      </c>
      <c r="D1870" t="s">
        <v>120</v>
      </c>
      <c r="E1870" t="s">
        <v>309</v>
      </c>
      <c r="F1870" t="s">
        <v>3764</v>
      </c>
      <c r="G1870" t="str">
        <f>"201512001421"</f>
        <v>201512001421</v>
      </c>
      <c r="H1870" t="s">
        <v>476</v>
      </c>
      <c r="I1870">
        <v>0</v>
      </c>
      <c r="J1870">
        <v>0</v>
      </c>
      <c r="K1870">
        <v>0</v>
      </c>
      <c r="L1870">
        <v>200</v>
      </c>
      <c r="M1870">
        <v>0</v>
      </c>
      <c r="N1870">
        <v>30</v>
      </c>
      <c r="O1870">
        <v>0</v>
      </c>
      <c r="P1870">
        <v>0</v>
      </c>
      <c r="Q1870">
        <v>0</v>
      </c>
      <c r="R1870">
        <v>0</v>
      </c>
      <c r="S1870">
        <v>0</v>
      </c>
      <c r="T1870">
        <v>0</v>
      </c>
      <c r="U1870">
        <v>0</v>
      </c>
      <c r="V1870">
        <v>12</v>
      </c>
      <c r="W1870">
        <v>84</v>
      </c>
      <c r="X1870">
        <v>0</v>
      </c>
      <c r="Z1870">
        <v>0</v>
      </c>
      <c r="AA1870">
        <v>0</v>
      </c>
      <c r="AB1870">
        <v>0</v>
      </c>
      <c r="AC1870">
        <v>0</v>
      </c>
      <c r="AD1870" t="s">
        <v>3765</v>
      </c>
    </row>
    <row r="1871" spans="1:30" x14ac:dyDescent="0.25">
      <c r="H1871" t="s">
        <v>3766</v>
      </c>
    </row>
    <row r="1872" spans="1:30" x14ac:dyDescent="0.25">
      <c r="A1872">
        <v>933</v>
      </c>
      <c r="B1872">
        <v>1311</v>
      </c>
      <c r="C1872" t="s">
        <v>3767</v>
      </c>
      <c r="D1872" t="s">
        <v>2034</v>
      </c>
      <c r="E1872" t="s">
        <v>445</v>
      </c>
      <c r="F1872" t="s">
        <v>3768</v>
      </c>
      <c r="G1872" t="str">
        <f>"00140636"</f>
        <v>00140636</v>
      </c>
      <c r="H1872" t="s">
        <v>1465</v>
      </c>
      <c r="I1872">
        <v>0</v>
      </c>
      <c r="J1872">
        <v>0</v>
      </c>
      <c r="K1872">
        <v>0</v>
      </c>
      <c r="L1872">
        <v>0</v>
      </c>
      <c r="M1872">
        <v>0</v>
      </c>
      <c r="N1872">
        <v>30</v>
      </c>
      <c r="O1872">
        <v>0</v>
      </c>
      <c r="P1872">
        <v>0</v>
      </c>
      <c r="Q1872">
        <v>0</v>
      </c>
      <c r="R1872">
        <v>0</v>
      </c>
      <c r="S1872">
        <v>0</v>
      </c>
      <c r="T1872">
        <v>0</v>
      </c>
      <c r="U1872">
        <v>0</v>
      </c>
      <c r="V1872">
        <v>41</v>
      </c>
      <c r="W1872">
        <v>287</v>
      </c>
      <c r="X1872">
        <v>0</v>
      </c>
      <c r="Z1872">
        <v>0</v>
      </c>
      <c r="AA1872">
        <v>0</v>
      </c>
      <c r="AB1872">
        <v>0</v>
      </c>
      <c r="AC1872">
        <v>0</v>
      </c>
      <c r="AD1872" t="s">
        <v>3769</v>
      </c>
    </row>
    <row r="1873" spans="1:30" x14ac:dyDescent="0.25">
      <c r="H1873" t="s">
        <v>3770</v>
      </c>
    </row>
    <row r="1874" spans="1:30" x14ac:dyDescent="0.25">
      <c r="A1874">
        <v>934</v>
      </c>
      <c r="B1874">
        <v>5941</v>
      </c>
      <c r="C1874" t="s">
        <v>3771</v>
      </c>
      <c r="D1874" t="s">
        <v>1248</v>
      </c>
      <c r="E1874" t="s">
        <v>859</v>
      </c>
      <c r="F1874" t="s">
        <v>3772</v>
      </c>
      <c r="G1874" t="str">
        <f>"00316250"</f>
        <v>00316250</v>
      </c>
      <c r="H1874" t="s">
        <v>505</v>
      </c>
      <c r="I1874">
        <v>150</v>
      </c>
      <c r="J1874">
        <v>0</v>
      </c>
      <c r="K1874">
        <v>0</v>
      </c>
      <c r="L1874">
        <v>0</v>
      </c>
      <c r="M1874">
        <v>100</v>
      </c>
      <c r="N1874">
        <v>70</v>
      </c>
      <c r="O1874">
        <v>0</v>
      </c>
      <c r="P1874">
        <v>0</v>
      </c>
      <c r="Q1874">
        <v>0</v>
      </c>
      <c r="R1874">
        <v>0</v>
      </c>
      <c r="S1874">
        <v>0</v>
      </c>
      <c r="T1874">
        <v>0</v>
      </c>
      <c r="U1874">
        <v>0</v>
      </c>
      <c r="V1874">
        <v>6</v>
      </c>
      <c r="W1874">
        <v>42</v>
      </c>
      <c r="X1874">
        <v>0</v>
      </c>
      <c r="Z1874">
        <v>0</v>
      </c>
      <c r="AA1874">
        <v>0</v>
      </c>
      <c r="AB1874">
        <v>0</v>
      </c>
      <c r="AC1874">
        <v>0</v>
      </c>
      <c r="AD1874" t="s">
        <v>3773</v>
      </c>
    </row>
    <row r="1875" spans="1:30" x14ac:dyDescent="0.25">
      <c r="H1875" t="s">
        <v>3774</v>
      </c>
    </row>
    <row r="1876" spans="1:30" x14ac:dyDescent="0.25">
      <c r="A1876">
        <v>935</v>
      </c>
      <c r="B1876">
        <v>3472</v>
      </c>
      <c r="C1876" t="s">
        <v>3775</v>
      </c>
      <c r="D1876" t="s">
        <v>315</v>
      </c>
      <c r="E1876" t="s">
        <v>102</v>
      </c>
      <c r="F1876" t="s">
        <v>3776</v>
      </c>
      <c r="G1876" t="str">
        <f>"200809000321"</f>
        <v>200809000321</v>
      </c>
      <c r="H1876">
        <v>836</v>
      </c>
      <c r="I1876">
        <v>0</v>
      </c>
      <c r="J1876">
        <v>0</v>
      </c>
      <c r="K1876">
        <v>0</v>
      </c>
      <c r="L1876">
        <v>0</v>
      </c>
      <c r="M1876">
        <v>0</v>
      </c>
      <c r="N1876">
        <v>50</v>
      </c>
      <c r="O1876">
        <v>0</v>
      </c>
      <c r="P1876">
        <v>0</v>
      </c>
      <c r="Q1876">
        <v>0</v>
      </c>
      <c r="R1876">
        <v>0</v>
      </c>
      <c r="S1876">
        <v>0</v>
      </c>
      <c r="T1876">
        <v>0</v>
      </c>
      <c r="U1876">
        <v>0</v>
      </c>
      <c r="V1876">
        <v>23</v>
      </c>
      <c r="W1876">
        <v>161</v>
      </c>
      <c r="X1876">
        <v>0</v>
      </c>
      <c r="Z1876">
        <v>0</v>
      </c>
      <c r="AA1876">
        <v>0</v>
      </c>
      <c r="AB1876">
        <v>0</v>
      </c>
      <c r="AC1876">
        <v>0</v>
      </c>
      <c r="AD1876">
        <v>1047</v>
      </c>
    </row>
    <row r="1877" spans="1:30" x14ac:dyDescent="0.25">
      <c r="H1877" t="s">
        <v>3777</v>
      </c>
    </row>
    <row r="1878" spans="1:30" x14ac:dyDescent="0.25">
      <c r="A1878">
        <v>936</v>
      </c>
      <c r="B1878">
        <v>2082</v>
      </c>
      <c r="C1878" t="s">
        <v>583</v>
      </c>
      <c r="D1878" t="s">
        <v>218</v>
      </c>
      <c r="E1878" t="s">
        <v>107</v>
      </c>
      <c r="F1878" t="s">
        <v>3778</v>
      </c>
      <c r="G1878" t="str">
        <f>"201511041807"</f>
        <v>201511041807</v>
      </c>
      <c r="H1878" t="s">
        <v>86</v>
      </c>
      <c r="I1878">
        <v>0</v>
      </c>
      <c r="J1878">
        <v>0</v>
      </c>
      <c r="K1878">
        <v>0</v>
      </c>
      <c r="L1878">
        <v>0</v>
      </c>
      <c r="M1878">
        <v>0</v>
      </c>
      <c r="N1878">
        <v>30</v>
      </c>
      <c r="O1878">
        <v>0</v>
      </c>
      <c r="P1878">
        <v>0</v>
      </c>
      <c r="Q1878">
        <v>0</v>
      </c>
      <c r="R1878">
        <v>0</v>
      </c>
      <c r="S1878">
        <v>0</v>
      </c>
      <c r="T1878">
        <v>0</v>
      </c>
      <c r="U1878">
        <v>0</v>
      </c>
      <c r="V1878">
        <v>8</v>
      </c>
      <c r="W1878">
        <v>56</v>
      </c>
      <c r="X1878">
        <v>0</v>
      </c>
      <c r="Z1878">
        <v>0</v>
      </c>
      <c r="AA1878">
        <v>0</v>
      </c>
      <c r="AB1878">
        <v>12</v>
      </c>
      <c r="AC1878">
        <v>204</v>
      </c>
      <c r="AD1878" t="s">
        <v>3779</v>
      </c>
    </row>
    <row r="1879" spans="1:30" x14ac:dyDescent="0.25">
      <c r="H1879" t="s">
        <v>3780</v>
      </c>
    </row>
    <row r="1880" spans="1:30" x14ac:dyDescent="0.25">
      <c r="A1880">
        <v>937</v>
      </c>
      <c r="B1880">
        <v>2196</v>
      </c>
      <c r="C1880" t="s">
        <v>3781</v>
      </c>
      <c r="D1880" t="s">
        <v>3064</v>
      </c>
      <c r="E1880" t="s">
        <v>32</v>
      </c>
      <c r="F1880" t="s">
        <v>3782</v>
      </c>
      <c r="G1880" t="str">
        <f>"00265540"</f>
        <v>00265540</v>
      </c>
      <c r="H1880" t="s">
        <v>1239</v>
      </c>
      <c r="I1880">
        <v>0</v>
      </c>
      <c r="J1880">
        <v>0</v>
      </c>
      <c r="K1880">
        <v>0</v>
      </c>
      <c r="L1880">
        <v>0</v>
      </c>
      <c r="M1880">
        <v>0</v>
      </c>
      <c r="N1880">
        <v>30</v>
      </c>
      <c r="O1880">
        <v>0</v>
      </c>
      <c r="P1880">
        <v>0</v>
      </c>
      <c r="Q1880">
        <v>50</v>
      </c>
      <c r="R1880">
        <v>0</v>
      </c>
      <c r="S1880">
        <v>0</v>
      </c>
      <c r="T1880">
        <v>0</v>
      </c>
      <c r="U1880">
        <v>0</v>
      </c>
      <c r="V1880">
        <v>18</v>
      </c>
      <c r="W1880">
        <v>126</v>
      </c>
      <c r="X1880">
        <v>0</v>
      </c>
      <c r="Z1880">
        <v>0</v>
      </c>
      <c r="AA1880">
        <v>0</v>
      </c>
      <c r="AB1880">
        <v>0</v>
      </c>
      <c r="AC1880">
        <v>0</v>
      </c>
      <c r="AD1880" t="s">
        <v>3783</v>
      </c>
    </row>
    <row r="1881" spans="1:30" x14ac:dyDescent="0.25">
      <c r="H1881" t="s">
        <v>3784</v>
      </c>
    </row>
    <row r="1882" spans="1:30" x14ac:dyDescent="0.25">
      <c r="A1882">
        <v>938</v>
      </c>
      <c r="B1882">
        <v>5791</v>
      </c>
      <c r="C1882" t="s">
        <v>3785</v>
      </c>
      <c r="D1882" t="s">
        <v>3786</v>
      </c>
      <c r="E1882" t="s">
        <v>84</v>
      </c>
      <c r="F1882" t="s">
        <v>3787</v>
      </c>
      <c r="G1882" t="str">
        <f>"00311015"</f>
        <v>00311015</v>
      </c>
      <c r="H1882" t="s">
        <v>1588</v>
      </c>
      <c r="I1882">
        <v>0</v>
      </c>
      <c r="J1882">
        <v>0</v>
      </c>
      <c r="K1882">
        <v>0</v>
      </c>
      <c r="L1882">
        <v>0</v>
      </c>
      <c r="M1882">
        <v>0</v>
      </c>
      <c r="N1882">
        <v>30</v>
      </c>
      <c r="O1882">
        <v>0</v>
      </c>
      <c r="P1882">
        <v>0</v>
      </c>
      <c r="Q1882">
        <v>0</v>
      </c>
      <c r="R1882">
        <v>0</v>
      </c>
      <c r="S1882">
        <v>0</v>
      </c>
      <c r="T1882">
        <v>0</v>
      </c>
      <c r="U1882">
        <v>0</v>
      </c>
      <c r="V1882">
        <v>31</v>
      </c>
      <c r="W1882">
        <v>217</v>
      </c>
      <c r="X1882">
        <v>0</v>
      </c>
      <c r="Z1882">
        <v>0</v>
      </c>
      <c r="AA1882">
        <v>0</v>
      </c>
      <c r="AB1882">
        <v>5</v>
      </c>
      <c r="AC1882">
        <v>85</v>
      </c>
      <c r="AD1882" t="s">
        <v>3788</v>
      </c>
    </row>
    <row r="1883" spans="1:30" x14ac:dyDescent="0.25">
      <c r="H1883">
        <v>1255</v>
      </c>
    </row>
    <row r="1884" spans="1:30" x14ac:dyDescent="0.25">
      <c r="A1884">
        <v>939</v>
      </c>
      <c r="B1884">
        <v>4209</v>
      </c>
      <c r="C1884" t="s">
        <v>3038</v>
      </c>
      <c r="D1884" t="s">
        <v>180</v>
      </c>
      <c r="E1884" t="s">
        <v>49</v>
      </c>
      <c r="F1884" t="s">
        <v>3789</v>
      </c>
      <c r="G1884" t="str">
        <f>"00157724"</f>
        <v>00157724</v>
      </c>
      <c r="H1884" t="s">
        <v>2006</v>
      </c>
      <c r="I1884">
        <v>0</v>
      </c>
      <c r="J1884">
        <v>0</v>
      </c>
      <c r="K1884">
        <v>0</v>
      </c>
      <c r="L1884">
        <v>0</v>
      </c>
      <c r="M1884">
        <v>0</v>
      </c>
      <c r="N1884">
        <v>30</v>
      </c>
      <c r="O1884">
        <v>0</v>
      </c>
      <c r="P1884">
        <v>0</v>
      </c>
      <c r="Q1884">
        <v>0</v>
      </c>
      <c r="R1884">
        <v>0</v>
      </c>
      <c r="S1884">
        <v>0</v>
      </c>
      <c r="T1884">
        <v>0</v>
      </c>
      <c r="U1884">
        <v>0</v>
      </c>
      <c r="V1884">
        <v>29</v>
      </c>
      <c r="W1884">
        <v>203</v>
      </c>
      <c r="X1884">
        <v>0</v>
      </c>
      <c r="Z1884">
        <v>1</v>
      </c>
      <c r="AA1884">
        <v>0</v>
      </c>
      <c r="AB1884">
        <v>0</v>
      </c>
      <c r="AC1884">
        <v>0</v>
      </c>
      <c r="AD1884" t="s">
        <v>3790</v>
      </c>
    </row>
    <row r="1885" spans="1:30" x14ac:dyDescent="0.25">
      <c r="H1885" t="s">
        <v>3791</v>
      </c>
    </row>
    <row r="1886" spans="1:30" x14ac:dyDescent="0.25">
      <c r="A1886">
        <v>940</v>
      </c>
      <c r="B1886">
        <v>3677</v>
      </c>
      <c r="C1886" t="s">
        <v>3792</v>
      </c>
      <c r="D1886" t="s">
        <v>28</v>
      </c>
      <c r="E1886" t="s">
        <v>120</v>
      </c>
      <c r="F1886" t="s">
        <v>3793</v>
      </c>
      <c r="G1886" t="str">
        <f>"201410001181"</f>
        <v>201410001181</v>
      </c>
      <c r="H1886" t="s">
        <v>1331</v>
      </c>
      <c r="I1886">
        <v>0</v>
      </c>
      <c r="J1886">
        <v>0</v>
      </c>
      <c r="K1886">
        <v>0</v>
      </c>
      <c r="L1886">
        <v>0</v>
      </c>
      <c r="M1886">
        <v>0</v>
      </c>
      <c r="N1886">
        <v>70</v>
      </c>
      <c r="O1886">
        <v>0</v>
      </c>
      <c r="P1886">
        <v>0</v>
      </c>
      <c r="Q1886">
        <v>0</v>
      </c>
      <c r="R1886">
        <v>0</v>
      </c>
      <c r="S1886">
        <v>0</v>
      </c>
      <c r="T1886">
        <v>0</v>
      </c>
      <c r="U1886">
        <v>0</v>
      </c>
      <c r="V1886">
        <v>21</v>
      </c>
      <c r="W1886">
        <v>147</v>
      </c>
      <c r="X1886">
        <v>0</v>
      </c>
      <c r="Z1886">
        <v>0</v>
      </c>
      <c r="AA1886">
        <v>0</v>
      </c>
      <c r="AB1886">
        <v>0</v>
      </c>
      <c r="AC1886">
        <v>0</v>
      </c>
      <c r="AD1886" t="s">
        <v>3794</v>
      </c>
    </row>
    <row r="1887" spans="1:30" x14ac:dyDescent="0.25">
      <c r="H1887" t="s">
        <v>3795</v>
      </c>
    </row>
    <row r="1888" spans="1:30" x14ac:dyDescent="0.25">
      <c r="A1888">
        <v>941</v>
      </c>
      <c r="B1888">
        <v>2373</v>
      </c>
      <c r="C1888" t="s">
        <v>3796</v>
      </c>
      <c r="D1888" t="s">
        <v>225</v>
      </c>
      <c r="E1888" t="s">
        <v>337</v>
      </c>
      <c r="F1888" t="s">
        <v>3797</v>
      </c>
      <c r="G1888" t="str">
        <f>"00157147"</f>
        <v>00157147</v>
      </c>
      <c r="H1888" t="s">
        <v>2245</v>
      </c>
      <c r="I1888">
        <v>0</v>
      </c>
      <c r="J1888">
        <v>0</v>
      </c>
      <c r="K1888">
        <v>0</v>
      </c>
      <c r="L1888">
        <v>0</v>
      </c>
      <c r="M1888">
        <v>0</v>
      </c>
      <c r="N1888">
        <v>30</v>
      </c>
      <c r="O1888">
        <v>0</v>
      </c>
      <c r="P1888">
        <v>0</v>
      </c>
      <c r="Q1888">
        <v>0</v>
      </c>
      <c r="R1888">
        <v>0</v>
      </c>
      <c r="S1888">
        <v>0</v>
      </c>
      <c r="T1888">
        <v>0</v>
      </c>
      <c r="U1888">
        <v>0</v>
      </c>
      <c r="V1888">
        <v>49</v>
      </c>
      <c r="W1888">
        <v>343</v>
      </c>
      <c r="X1888">
        <v>0</v>
      </c>
      <c r="Z1888">
        <v>0</v>
      </c>
      <c r="AA1888">
        <v>0</v>
      </c>
      <c r="AB1888">
        <v>0</v>
      </c>
      <c r="AC1888">
        <v>0</v>
      </c>
      <c r="AD1888" t="s">
        <v>3798</v>
      </c>
    </row>
    <row r="1889" spans="1:30" x14ac:dyDescent="0.25">
      <c r="H1889" t="s">
        <v>2325</v>
      </c>
    </row>
    <row r="1890" spans="1:30" x14ac:dyDescent="0.25">
      <c r="A1890">
        <v>942</v>
      </c>
      <c r="B1890">
        <v>1564</v>
      </c>
      <c r="C1890" t="s">
        <v>3799</v>
      </c>
      <c r="D1890" t="s">
        <v>444</v>
      </c>
      <c r="E1890" t="s">
        <v>32</v>
      </c>
      <c r="F1890" t="s">
        <v>3800</v>
      </c>
      <c r="G1890" t="str">
        <f>"00209073"</f>
        <v>00209073</v>
      </c>
      <c r="H1890" t="s">
        <v>1838</v>
      </c>
      <c r="I1890">
        <v>0</v>
      </c>
      <c r="J1890">
        <v>0</v>
      </c>
      <c r="K1890">
        <v>0</v>
      </c>
      <c r="L1890">
        <v>0</v>
      </c>
      <c r="M1890">
        <v>0</v>
      </c>
      <c r="N1890">
        <v>30</v>
      </c>
      <c r="O1890">
        <v>0</v>
      </c>
      <c r="P1890">
        <v>0</v>
      </c>
      <c r="Q1890">
        <v>0</v>
      </c>
      <c r="R1890">
        <v>0</v>
      </c>
      <c r="S1890">
        <v>0</v>
      </c>
      <c r="T1890">
        <v>0</v>
      </c>
      <c r="U1890">
        <v>0</v>
      </c>
      <c r="V1890">
        <v>5</v>
      </c>
      <c r="W1890">
        <v>35</v>
      </c>
      <c r="X1890">
        <v>0</v>
      </c>
      <c r="Z1890">
        <v>0</v>
      </c>
      <c r="AA1890">
        <v>0</v>
      </c>
      <c r="AB1890">
        <v>13</v>
      </c>
      <c r="AC1890">
        <v>221</v>
      </c>
      <c r="AD1890" t="s">
        <v>3801</v>
      </c>
    </row>
    <row r="1891" spans="1:30" x14ac:dyDescent="0.25">
      <c r="H1891" t="s">
        <v>3802</v>
      </c>
    </row>
    <row r="1892" spans="1:30" x14ac:dyDescent="0.25">
      <c r="A1892">
        <v>943</v>
      </c>
      <c r="B1892">
        <v>1497</v>
      </c>
      <c r="C1892" t="s">
        <v>3803</v>
      </c>
      <c r="D1892" t="s">
        <v>83</v>
      </c>
      <c r="E1892" t="s">
        <v>120</v>
      </c>
      <c r="F1892" t="s">
        <v>3804</v>
      </c>
      <c r="G1892" t="str">
        <f>"201511027393"</f>
        <v>201511027393</v>
      </c>
      <c r="H1892">
        <v>726</v>
      </c>
      <c r="I1892">
        <v>0</v>
      </c>
      <c r="J1892">
        <v>0</v>
      </c>
      <c r="K1892">
        <v>0</v>
      </c>
      <c r="L1892">
        <v>0</v>
      </c>
      <c r="M1892">
        <v>0</v>
      </c>
      <c r="N1892">
        <v>0</v>
      </c>
      <c r="O1892">
        <v>0</v>
      </c>
      <c r="P1892">
        <v>0</v>
      </c>
      <c r="Q1892">
        <v>0</v>
      </c>
      <c r="R1892">
        <v>0</v>
      </c>
      <c r="S1892">
        <v>0</v>
      </c>
      <c r="T1892">
        <v>0</v>
      </c>
      <c r="U1892">
        <v>0</v>
      </c>
      <c r="V1892">
        <v>25</v>
      </c>
      <c r="W1892">
        <v>175</v>
      </c>
      <c r="X1892">
        <v>0</v>
      </c>
      <c r="Z1892">
        <v>2</v>
      </c>
      <c r="AA1892">
        <v>0</v>
      </c>
      <c r="AB1892">
        <v>8</v>
      </c>
      <c r="AC1892">
        <v>136</v>
      </c>
      <c r="AD1892">
        <v>1037</v>
      </c>
    </row>
    <row r="1893" spans="1:30" x14ac:dyDescent="0.25">
      <c r="H1893" t="s">
        <v>3805</v>
      </c>
    </row>
    <row r="1894" spans="1:30" x14ac:dyDescent="0.25">
      <c r="A1894">
        <v>944</v>
      </c>
      <c r="B1894">
        <v>3162</v>
      </c>
      <c r="C1894" t="s">
        <v>3806</v>
      </c>
      <c r="D1894" t="s">
        <v>3807</v>
      </c>
      <c r="E1894" t="s">
        <v>64</v>
      </c>
      <c r="F1894" t="s">
        <v>3808</v>
      </c>
      <c r="G1894" t="str">
        <f>"201104000015"</f>
        <v>201104000015</v>
      </c>
      <c r="H1894" t="s">
        <v>1214</v>
      </c>
      <c r="I1894">
        <v>0</v>
      </c>
      <c r="J1894">
        <v>0</v>
      </c>
      <c r="K1894">
        <v>0</v>
      </c>
      <c r="L1894">
        <v>0</v>
      </c>
      <c r="M1894">
        <v>0</v>
      </c>
      <c r="N1894">
        <v>50</v>
      </c>
      <c r="O1894">
        <v>0</v>
      </c>
      <c r="P1894">
        <v>0</v>
      </c>
      <c r="Q1894">
        <v>0</v>
      </c>
      <c r="R1894">
        <v>0</v>
      </c>
      <c r="S1894">
        <v>0</v>
      </c>
      <c r="T1894">
        <v>0</v>
      </c>
      <c r="U1894">
        <v>0</v>
      </c>
      <c r="V1894">
        <v>50</v>
      </c>
      <c r="W1894">
        <v>350</v>
      </c>
      <c r="X1894">
        <v>0</v>
      </c>
      <c r="Z1894">
        <v>2</v>
      </c>
      <c r="AA1894">
        <v>0</v>
      </c>
      <c r="AB1894">
        <v>0</v>
      </c>
      <c r="AC1894">
        <v>0</v>
      </c>
      <c r="AD1894" t="s">
        <v>3809</v>
      </c>
    </row>
    <row r="1895" spans="1:30" x14ac:dyDescent="0.25">
      <c r="H1895" t="s">
        <v>3810</v>
      </c>
    </row>
    <row r="1896" spans="1:30" x14ac:dyDescent="0.25">
      <c r="A1896">
        <v>945</v>
      </c>
      <c r="B1896">
        <v>3085</v>
      </c>
      <c r="C1896" t="s">
        <v>3811</v>
      </c>
      <c r="D1896" t="s">
        <v>3812</v>
      </c>
      <c r="E1896" t="s">
        <v>1710</v>
      </c>
      <c r="F1896" t="s">
        <v>3813</v>
      </c>
      <c r="G1896" t="str">
        <f>"201410012630"</f>
        <v>201410012630</v>
      </c>
      <c r="H1896" t="s">
        <v>1791</v>
      </c>
      <c r="I1896">
        <v>0</v>
      </c>
      <c r="J1896">
        <v>0</v>
      </c>
      <c r="K1896">
        <v>0</v>
      </c>
      <c r="L1896">
        <v>200</v>
      </c>
      <c r="M1896">
        <v>0</v>
      </c>
      <c r="N1896">
        <v>50</v>
      </c>
      <c r="O1896">
        <v>0</v>
      </c>
      <c r="P1896">
        <v>0</v>
      </c>
      <c r="Q1896">
        <v>0</v>
      </c>
      <c r="R1896">
        <v>0</v>
      </c>
      <c r="S1896">
        <v>0</v>
      </c>
      <c r="T1896">
        <v>0</v>
      </c>
      <c r="U1896">
        <v>0</v>
      </c>
      <c r="V1896">
        <v>6</v>
      </c>
      <c r="W1896">
        <v>42</v>
      </c>
      <c r="X1896">
        <v>0</v>
      </c>
      <c r="Z1896">
        <v>1</v>
      </c>
      <c r="AA1896">
        <v>0</v>
      </c>
      <c r="AB1896">
        <v>0</v>
      </c>
      <c r="AC1896">
        <v>0</v>
      </c>
      <c r="AD1896" t="s">
        <v>3814</v>
      </c>
    </row>
    <row r="1897" spans="1:30" x14ac:dyDescent="0.25">
      <c r="H1897" t="s">
        <v>2735</v>
      </c>
    </row>
    <row r="1898" spans="1:30" x14ac:dyDescent="0.25">
      <c r="A1898">
        <v>946</v>
      </c>
      <c r="B1898">
        <v>3851</v>
      </c>
      <c r="C1898" t="s">
        <v>3815</v>
      </c>
      <c r="D1898" t="s">
        <v>180</v>
      </c>
      <c r="E1898" t="s">
        <v>57</v>
      </c>
      <c r="F1898" t="s">
        <v>3816</v>
      </c>
      <c r="G1898" t="str">
        <f>"201511012346"</f>
        <v>201511012346</v>
      </c>
      <c r="H1898">
        <v>748</v>
      </c>
      <c r="I1898">
        <v>0</v>
      </c>
      <c r="J1898">
        <v>0</v>
      </c>
      <c r="K1898">
        <v>0</v>
      </c>
      <c r="L1898">
        <v>0</v>
      </c>
      <c r="M1898">
        <v>0</v>
      </c>
      <c r="N1898">
        <v>0</v>
      </c>
      <c r="O1898">
        <v>0</v>
      </c>
      <c r="P1898">
        <v>0</v>
      </c>
      <c r="Q1898">
        <v>0</v>
      </c>
      <c r="R1898">
        <v>0</v>
      </c>
      <c r="S1898">
        <v>0</v>
      </c>
      <c r="T1898">
        <v>0</v>
      </c>
      <c r="U1898">
        <v>0</v>
      </c>
      <c r="V1898">
        <v>19</v>
      </c>
      <c r="W1898">
        <v>133</v>
      </c>
      <c r="X1898">
        <v>0</v>
      </c>
      <c r="Z1898">
        <v>0</v>
      </c>
      <c r="AA1898">
        <v>0</v>
      </c>
      <c r="AB1898">
        <v>9</v>
      </c>
      <c r="AC1898">
        <v>153</v>
      </c>
      <c r="AD1898">
        <v>1034</v>
      </c>
    </row>
    <row r="1899" spans="1:30" x14ac:dyDescent="0.25">
      <c r="H1899" t="s">
        <v>3817</v>
      </c>
    </row>
    <row r="1900" spans="1:30" x14ac:dyDescent="0.25">
      <c r="A1900">
        <v>947</v>
      </c>
      <c r="B1900">
        <v>4321</v>
      </c>
      <c r="C1900" t="s">
        <v>3818</v>
      </c>
      <c r="D1900" t="s">
        <v>3819</v>
      </c>
      <c r="E1900" t="s">
        <v>1145</v>
      </c>
      <c r="F1900" t="s">
        <v>3820</v>
      </c>
      <c r="G1900" t="str">
        <f>"00334137"</f>
        <v>00334137</v>
      </c>
      <c r="H1900">
        <v>627</v>
      </c>
      <c r="I1900">
        <v>0</v>
      </c>
      <c r="J1900">
        <v>0</v>
      </c>
      <c r="K1900">
        <v>0</v>
      </c>
      <c r="L1900">
        <v>0</v>
      </c>
      <c r="M1900">
        <v>0</v>
      </c>
      <c r="N1900">
        <v>0</v>
      </c>
      <c r="O1900">
        <v>0</v>
      </c>
      <c r="P1900">
        <v>0</v>
      </c>
      <c r="Q1900">
        <v>0</v>
      </c>
      <c r="R1900">
        <v>0</v>
      </c>
      <c r="S1900">
        <v>0</v>
      </c>
      <c r="T1900">
        <v>0</v>
      </c>
      <c r="U1900">
        <v>0</v>
      </c>
      <c r="V1900">
        <v>58</v>
      </c>
      <c r="W1900">
        <v>406</v>
      </c>
      <c r="X1900">
        <v>0</v>
      </c>
      <c r="Z1900">
        <v>0</v>
      </c>
      <c r="AA1900">
        <v>0</v>
      </c>
      <c r="AB1900">
        <v>0</v>
      </c>
      <c r="AC1900">
        <v>0</v>
      </c>
      <c r="AD1900">
        <v>1033</v>
      </c>
    </row>
    <row r="1901" spans="1:30" x14ac:dyDescent="0.25">
      <c r="H1901" t="s">
        <v>3821</v>
      </c>
    </row>
    <row r="1902" spans="1:30" x14ac:dyDescent="0.25">
      <c r="A1902">
        <v>948</v>
      </c>
      <c r="B1902">
        <v>3816</v>
      </c>
      <c r="C1902" t="s">
        <v>3822</v>
      </c>
      <c r="D1902" t="s">
        <v>142</v>
      </c>
      <c r="E1902" t="s">
        <v>32</v>
      </c>
      <c r="F1902" t="s">
        <v>3823</v>
      </c>
      <c r="G1902" t="str">
        <f>"201502001694"</f>
        <v>201502001694</v>
      </c>
      <c r="H1902" t="s">
        <v>3510</v>
      </c>
      <c r="I1902">
        <v>0</v>
      </c>
      <c r="J1902">
        <v>0</v>
      </c>
      <c r="K1902">
        <v>0</v>
      </c>
      <c r="L1902">
        <v>0</v>
      </c>
      <c r="M1902">
        <v>0</v>
      </c>
      <c r="N1902">
        <v>70</v>
      </c>
      <c r="O1902">
        <v>0</v>
      </c>
      <c r="P1902">
        <v>0</v>
      </c>
      <c r="Q1902">
        <v>0</v>
      </c>
      <c r="R1902">
        <v>0</v>
      </c>
      <c r="S1902">
        <v>0</v>
      </c>
      <c r="T1902">
        <v>0</v>
      </c>
      <c r="U1902">
        <v>0</v>
      </c>
      <c r="V1902">
        <v>36</v>
      </c>
      <c r="W1902">
        <v>252</v>
      </c>
      <c r="X1902">
        <v>0</v>
      </c>
      <c r="Z1902">
        <v>0</v>
      </c>
      <c r="AA1902">
        <v>0</v>
      </c>
      <c r="AB1902">
        <v>0</v>
      </c>
      <c r="AC1902">
        <v>0</v>
      </c>
      <c r="AD1902" t="s">
        <v>3824</v>
      </c>
    </row>
    <row r="1903" spans="1:30" x14ac:dyDescent="0.25">
      <c r="H1903" t="s">
        <v>1125</v>
      </c>
    </row>
    <row r="1904" spans="1:30" x14ac:dyDescent="0.25">
      <c r="A1904">
        <v>949</v>
      </c>
      <c r="B1904">
        <v>3504</v>
      </c>
      <c r="C1904" t="s">
        <v>3825</v>
      </c>
      <c r="D1904" t="s">
        <v>166</v>
      </c>
      <c r="E1904" t="s">
        <v>445</v>
      </c>
      <c r="F1904" t="s">
        <v>3826</v>
      </c>
      <c r="G1904" t="str">
        <f>"200802007469"</f>
        <v>200802007469</v>
      </c>
      <c r="H1904" t="s">
        <v>1796</v>
      </c>
      <c r="I1904">
        <v>0</v>
      </c>
      <c r="J1904">
        <v>0</v>
      </c>
      <c r="K1904">
        <v>0</v>
      </c>
      <c r="L1904">
        <v>0</v>
      </c>
      <c r="M1904">
        <v>0</v>
      </c>
      <c r="N1904">
        <v>30</v>
      </c>
      <c r="O1904">
        <v>0</v>
      </c>
      <c r="P1904">
        <v>0</v>
      </c>
      <c r="Q1904">
        <v>0</v>
      </c>
      <c r="R1904">
        <v>0</v>
      </c>
      <c r="S1904">
        <v>0</v>
      </c>
      <c r="T1904">
        <v>0</v>
      </c>
      <c r="U1904">
        <v>0</v>
      </c>
      <c r="V1904">
        <v>45</v>
      </c>
      <c r="W1904">
        <v>315</v>
      </c>
      <c r="X1904">
        <v>0</v>
      </c>
      <c r="Z1904">
        <v>0</v>
      </c>
      <c r="AA1904">
        <v>0</v>
      </c>
      <c r="AB1904">
        <v>0</v>
      </c>
      <c r="AC1904">
        <v>0</v>
      </c>
      <c r="AD1904" t="s">
        <v>3827</v>
      </c>
    </row>
    <row r="1905" spans="1:30" x14ac:dyDescent="0.25">
      <c r="H1905" t="s">
        <v>3828</v>
      </c>
    </row>
    <row r="1906" spans="1:30" x14ac:dyDescent="0.25">
      <c r="A1906">
        <v>950</v>
      </c>
      <c r="B1906">
        <v>4106</v>
      </c>
      <c r="C1906" t="s">
        <v>3829</v>
      </c>
      <c r="D1906" t="s">
        <v>83</v>
      </c>
      <c r="E1906" t="s">
        <v>50</v>
      </c>
      <c r="F1906" t="s">
        <v>3830</v>
      </c>
      <c r="G1906" t="str">
        <f>"201412003322"</f>
        <v>201412003322</v>
      </c>
      <c r="H1906" t="s">
        <v>3831</v>
      </c>
      <c r="I1906">
        <v>0</v>
      </c>
      <c r="J1906">
        <v>0</v>
      </c>
      <c r="K1906">
        <v>0</v>
      </c>
      <c r="L1906">
        <v>0</v>
      </c>
      <c r="M1906">
        <v>0</v>
      </c>
      <c r="N1906">
        <v>70</v>
      </c>
      <c r="O1906">
        <v>0</v>
      </c>
      <c r="P1906">
        <v>0</v>
      </c>
      <c r="Q1906">
        <v>0</v>
      </c>
      <c r="R1906">
        <v>0</v>
      </c>
      <c r="S1906">
        <v>0</v>
      </c>
      <c r="T1906">
        <v>0</v>
      </c>
      <c r="U1906">
        <v>0</v>
      </c>
      <c r="V1906">
        <v>23</v>
      </c>
      <c r="W1906">
        <v>161</v>
      </c>
      <c r="X1906">
        <v>0</v>
      </c>
      <c r="Z1906">
        <v>2</v>
      </c>
      <c r="AA1906">
        <v>0</v>
      </c>
      <c r="AB1906">
        <v>0</v>
      </c>
      <c r="AC1906">
        <v>0</v>
      </c>
      <c r="AD1906" t="s">
        <v>3832</v>
      </c>
    </row>
    <row r="1907" spans="1:30" x14ac:dyDescent="0.25">
      <c r="H1907" t="s">
        <v>1327</v>
      </c>
    </row>
    <row r="1908" spans="1:30" x14ac:dyDescent="0.25">
      <c r="A1908">
        <v>951</v>
      </c>
      <c r="B1908">
        <v>1267</v>
      </c>
      <c r="C1908" t="s">
        <v>3833</v>
      </c>
      <c r="D1908" t="s">
        <v>27</v>
      </c>
      <c r="E1908" t="s">
        <v>49</v>
      </c>
      <c r="F1908" t="s">
        <v>3834</v>
      </c>
      <c r="G1908" t="str">
        <f>"00147493"</f>
        <v>00147493</v>
      </c>
      <c r="H1908" t="s">
        <v>339</v>
      </c>
      <c r="I1908">
        <v>0</v>
      </c>
      <c r="J1908">
        <v>0</v>
      </c>
      <c r="K1908">
        <v>0</v>
      </c>
      <c r="L1908">
        <v>200</v>
      </c>
      <c r="M1908">
        <v>0</v>
      </c>
      <c r="N1908">
        <v>70</v>
      </c>
      <c r="O1908">
        <v>0</v>
      </c>
      <c r="P1908">
        <v>0</v>
      </c>
      <c r="Q1908">
        <v>0</v>
      </c>
      <c r="R1908">
        <v>0</v>
      </c>
      <c r="S1908">
        <v>0</v>
      </c>
      <c r="T1908">
        <v>0</v>
      </c>
      <c r="U1908">
        <v>0</v>
      </c>
      <c r="V1908">
        <v>1</v>
      </c>
      <c r="W1908">
        <v>7</v>
      </c>
      <c r="X1908">
        <v>0</v>
      </c>
      <c r="Z1908">
        <v>0</v>
      </c>
      <c r="AA1908">
        <v>0</v>
      </c>
      <c r="AB1908">
        <v>0</v>
      </c>
      <c r="AC1908">
        <v>0</v>
      </c>
      <c r="AD1908" t="s">
        <v>3835</v>
      </c>
    </row>
    <row r="1909" spans="1:30" x14ac:dyDescent="0.25">
      <c r="H1909" t="s">
        <v>3836</v>
      </c>
    </row>
    <row r="1910" spans="1:30" x14ac:dyDescent="0.25">
      <c r="A1910">
        <v>952</v>
      </c>
      <c r="B1910">
        <v>5953</v>
      </c>
      <c r="C1910" t="s">
        <v>3837</v>
      </c>
      <c r="D1910" t="s">
        <v>102</v>
      </c>
      <c r="E1910" t="s">
        <v>28</v>
      </c>
      <c r="F1910" t="s">
        <v>3838</v>
      </c>
      <c r="G1910" t="str">
        <f>"201604001380"</f>
        <v>201604001380</v>
      </c>
      <c r="H1910" t="s">
        <v>97</v>
      </c>
      <c r="I1910">
        <v>0</v>
      </c>
      <c r="J1910">
        <v>0</v>
      </c>
      <c r="K1910">
        <v>0</v>
      </c>
      <c r="L1910">
        <v>0</v>
      </c>
      <c r="M1910">
        <v>0</v>
      </c>
      <c r="N1910">
        <v>0</v>
      </c>
      <c r="O1910">
        <v>0</v>
      </c>
      <c r="P1910">
        <v>0</v>
      </c>
      <c r="Q1910">
        <v>0</v>
      </c>
      <c r="R1910">
        <v>0</v>
      </c>
      <c r="S1910">
        <v>0</v>
      </c>
      <c r="T1910">
        <v>0</v>
      </c>
      <c r="U1910">
        <v>0</v>
      </c>
      <c r="V1910">
        <v>-24</v>
      </c>
      <c r="W1910">
        <v>-168</v>
      </c>
      <c r="X1910">
        <v>0</v>
      </c>
      <c r="Z1910">
        <v>2</v>
      </c>
      <c r="AA1910">
        <v>0</v>
      </c>
      <c r="AB1910">
        <v>24</v>
      </c>
      <c r="AC1910">
        <v>408</v>
      </c>
      <c r="AD1910" t="s">
        <v>3839</v>
      </c>
    </row>
    <row r="1911" spans="1:30" x14ac:dyDescent="0.25">
      <c r="H1911" t="s">
        <v>3840</v>
      </c>
    </row>
    <row r="1912" spans="1:30" x14ac:dyDescent="0.25">
      <c r="A1912">
        <v>953</v>
      </c>
      <c r="B1912">
        <v>5379</v>
      </c>
      <c r="C1912" t="s">
        <v>3841</v>
      </c>
      <c r="D1912" t="s">
        <v>83</v>
      </c>
      <c r="E1912" t="s">
        <v>167</v>
      </c>
      <c r="F1912" t="s">
        <v>3842</v>
      </c>
      <c r="G1912" t="str">
        <f>"201511025650"</f>
        <v>201511025650</v>
      </c>
      <c r="H1912">
        <v>748</v>
      </c>
      <c r="I1912">
        <v>0</v>
      </c>
      <c r="J1912">
        <v>0</v>
      </c>
      <c r="K1912">
        <v>0</v>
      </c>
      <c r="L1912">
        <v>0</v>
      </c>
      <c r="M1912">
        <v>0</v>
      </c>
      <c r="N1912">
        <v>30</v>
      </c>
      <c r="O1912">
        <v>0</v>
      </c>
      <c r="P1912">
        <v>0</v>
      </c>
      <c r="Q1912">
        <v>0</v>
      </c>
      <c r="R1912">
        <v>0</v>
      </c>
      <c r="S1912">
        <v>0</v>
      </c>
      <c r="T1912">
        <v>0</v>
      </c>
      <c r="U1912">
        <v>0</v>
      </c>
      <c r="V1912">
        <v>36</v>
      </c>
      <c r="W1912">
        <v>252</v>
      </c>
      <c r="X1912">
        <v>0</v>
      </c>
      <c r="Z1912">
        <v>0</v>
      </c>
      <c r="AA1912">
        <v>0</v>
      </c>
      <c r="AB1912">
        <v>0</v>
      </c>
      <c r="AC1912">
        <v>0</v>
      </c>
      <c r="AD1912">
        <v>1030</v>
      </c>
    </row>
    <row r="1913" spans="1:30" x14ac:dyDescent="0.25">
      <c r="H1913" t="s">
        <v>3843</v>
      </c>
    </row>
    <row r="1914" spans="1:30" x14ac:dyDescent="0.25">
      <c r="A1914">
        <v>954</v>
      </c>
      <c r="B1914">
        <v>5069</v>
      </c>
      <c r="C1914" t="s">
        <v>3844</v>
      </c>
      <c r="D1914" t="s">
        <v>2034</v>
      </c>
      <c r="E1914" t="s">
        <v>107</v>
      </c>
      <c r="F1914" t="s">
        <v>3845</v>
      </c>
      <c r="G1914" t="str">
        <f>"00358065"</f>
        <v>00358065</v>
      </c>
      <c r="H1914" t="s">
        <v>144</v>
      </c>
      <c r="I1914">
        <v>0</v>
      </c>
      <c r="J1914">
        <v>0</v>
      </c>
      <c r="K1914">
        <v>0</v>
      </c>
      <c r="L1914">
        <v>0</v>
      </c>
      <c r="M1914">
        <v>0</v>
      </c>
      <c r="N1914">
        <v>0</v>
      </c>
      <c r="O1914">
        <v>0</v>
      </c>
      <c r="P1914">
        <v>0</v>
      </c>
      <c r="Q1914">
        <v>0</v>
      </c>
      <c r="R1914">
        <v>0</v>
      </c>
      <c r="S1914">
        <v>0</v>
      </c>
      <c r="T1914">
        <v>0</v>
      </c>
      <c r="U1914">
        <v>0</v>
      </c>
      <c r="V1914">
        <v>44</v>
      </c>
      <c r="W1914">
        <v>308</v>
      </c>
      <c r="X1914">
        <v>0</v>
      </c>
      <c r="Z1914">
        <v>0</v>
      </c>
      <c r="AA1914">
        <v>0</v>
      </c>
      <c r="AB1914">
        <v>0</v>
      </c>
      <c r="AC1914">
        <v>0</v>
      </c>
      <c r="AD1914" t="s">
        <v>3846</v>
      </c>
    </row>
    <row r="1915" spans="1:30" x14ac:dyDescent="0.25">
      <c r="H1915" t="s">
        <v>3847</v>
      </c>
    </row>
    <row r="1916" spans="1:30" x14ac:dyDescent="0.25">
      <c r="A1916">
        <v>955</v>
      </c>
      <c r="B1916">
        <v>2887</v>
      </c>
      <c r="C1916" t="s">
        <v>3848</v>
      </c>
      <c r="D1916" t="s">
        <v>49</v>
      </c>
      <c r="E1916" t="s">
        <v>3849</v>
      </c>
      <c r="F1916" t="s">
        <v>3850</v>
      </c>
      <c r="G1916" t="str">
        <f>"201606000143"</f>
        <v>201606000143</v>
      </c>
      <c r="H1916" t="s">
        <v>855</v>
      </c>
      <c r="I1916">
        <v>0</v>
      </c>
      <c r="J1916">
        <v>0</v>
      </c>
      <c r="K1916">
        <v>0</v>
      </c>
      <c r="L1916">
        <v>200</v>
      </c>
      <c r="M1916">
        <v>0</v>
      </c>
      <c r="N1916">
        <v>70</v>
      </c>
      <c r="O1916">
        <v>0</v>
      </c>
      <c r="P1916">
        <v>0</v>
      </c>
      <c r="Q1916">
        <v>0</v>
      </c>
      <c r="R1916">
        <v>0</v>
      </c>
      <c r="S1916">
        <v>0</v>
      </c>
      <c r="T1916">
        <v>0</v>
      </c>
      <c r="U1916">
        <v>0</v>
      </c>
      <c r="V1916">
        <v>4</v>
      </c>
      <c r="W1916">
        <v>28</v>
      </c>
      <c r="X1916">
        <v>0</v>
      </c>
      <c r="Z1916">
        <v>0</v>
      </c>
      <c r="AA1916">
        <v>0</v>
      </c>
      <c r="AB1916">
        <v>2</v>
      </c>
      <c r="AC1916">
        <v>34</v>
      </c>
      <c r="AD1916" t="s">
        <v>3851</v>
      </c>
    </row>
    <row r="1917" spans="1:30" x14ac:dyDescent="0.25">
      <c r="H1917" t="s">
        <v>3852</v>
      </c>
    </row>
    <row r="1918" spans="1:30" x14ac:dyDescent="0.25">
      <c r="A1918">
        <v>956</v>
      </c>
      <c r="B1918">
        <v>1583</v>
      </c>
      <c r="C1918" t="s">
        <v>3853</v>
      </c>
      <c r="D1918" t="s">
        <v>49</v>
      </c>
      <c r="E1918" t="s">
        <v>120</v>
      </c>
      <c r="F1918" t="s">
        <v>3854</v>
      </c>
      <c r="G1918" t="str">
        <f>"201309000138"</f>
        <v>201309000138</v>
      </c>
      <c r="H1918" t="s">
        <v>3855</v>
      </c>
      <c r="I1918">
        <v>0</v>
      </c>
      <c r="J1918">
        <v>0</v>
      </c>
      <c r="K1918">
        <v>0</v>
      </c>
      <c r="L1918">
        <v>0</v>
      </c>
      <c r="M1918">
        <v>0</v>
      </c>
      <c r="N1918">
        <v>70</v>
      </c>
      <c r="O1918">
        <v>0</v>
      </c>
      <c r="P1918">
        <v>0</v>
      </c>
      <c r="Q1918">
        <v>0</v>
      </c>
      <c r="R1918">
        <v>0</v>
      </c>
      <c r="S1918">
        <v>0</v>
      </c>
      <c r="T1918">
        <v>0</v>
      </c>
      <c r="U1918">
        <v>0</v>
      </c>
      <c r="V1918">
        <v>44</v>
      </c>
      <c r="W1918">
        <v>308</v>
      </c>
      <c r="X1918">
        <v>0</v>
      </c>
      <c r="Z1918">
        <v>0</v>
      </c>
      <c r="AA1918">
        <v>0</v>
      </c>
      <c r="AB1918">
        <v>0</v>
      </c>
      <c r="AC1918">
        <v>0</v>
      </c>
      <c r="AD1918" t="s">
        <v>3856</v>
      </c>
    </row>
    <row r="1919" spans="1:30" x14ac:dyDescent="0.25">
      <c r="H1919" t="s">
        <v>3857</v>
      </c>
    </row>
    <row r="1920" spans="1:30" x14ac:dyDescent="0.25">
      <c r="A1920">
        <v>957</v>
      </c>
      <c r="B1920">
        <v>4623</v>
      </c>
      <c r="C1920" t="s">
        <v>3858</v>
      </c>
      <c r="D1920" t="s">
        <v>598</v>
      </c>
      <c r="E1920" t="s">
        <v>102</v>
      </c>
      <c r="F1920" t="s">
        <v>3859</v>
      </c>
      <c r="G1920" t="str">
        <f>"00349994"</f>
        <v>00349994</v>
      </c>
      <c r="H1920" t="s">
        <v>2245</v>
      </c>
      <c r="I1920">
        <v>0</v>
      </c>
      <c r="J1920">
        <v>0</v>
      </c>
      <c r="K1920">
        <v>0</v>
      </c>
      <c r="L1920">
        <v>0</v>
      </c>
      <c r="M1920">
        <v>0</v>
      </c>
      <c r="N1920">
        <v>30</v>
      </c>
      <c r="O1920">
        <v>0</v>
      </c>
      <c r="P1920">
        <v>0</v>
      </c>
      <c r="Q1920">
        <v>0</v>
      </c>
      <c r="R1920">
        <v>0</v>
      </c>
      <c r="S1920">
        <v>0</v>
      </c>
      <c r="T1920">
        <v>0</v>
      </c>
      <c r="U1920">
        <v>0</v>
      </c>
      <c r="V1920">
        <v>47</v>
      </c>
      <c r="W1920">
        <v>329</v>
      </c>
      <c r="X1920">
        <v>0</v>
      </c>
      <c r="Z1920">
        <v>0</v>
      </c>
      <c r="AA1920">
        <v>0</v>
      </c>
      <c r="AB1920">
        <v>0</v>
      </c>
      <c r="AC1920">
        <v>0</v>
      </c>
      <c r="AD1920" t="s">
        <v>3860</v>
      </c>
    </row>
    <row r="1921" spans="1:30" x14ac:dyDescent="0.25">
      <c r="H1921" t="s">
        <v>3861</v>
      </c>
    </row>
    <row r="1922" spans="1:30" x14ac:dyDescent="0.25">
      <c r="A1922">
        <v>958</v>
      </c>
      <c r="B1922">
        <v>1047</v>
      </c>
      <c r="C1922" t="s">
        <v>3862</v>
      </c>
      <c r="D1922" t="s">
        <v>3863</v>
      </c>
      <c r="E1922" t="s">
        <v>120</v>
      </c>
      <c r="F1922" t="s">
        <v>3864</v>
      </c>
      <c r="G1922" t="str">
        <f>"201402002752"</f>
        <v>201402002752</v>
      </c>
      <c r="H1922" t="s">
        <v>1796</v>
      </c>
      <c r="I1922">
        <v>0</v>
      </c>
      <c r="J1922">
        <v>0</v>
      </c>
      <c r="K1922">
        <v>0</v>
      </c>
      <c r="L1922">
        <v>0</v>
      </c>
      <c r="M1922">
        <v>0</v>
      </c>
      <c r="N1922">
        <v>30</v>
      </c>
      <c r="O1922">
        <v>0</v>
      </c>
      <c r="P1922">
        <v>0</v>
      </c>
      <c r="Q1922">
        <v>0</v>
      </c>
      <c r="R1922">
        <v>0</v>
      </c>
      <c r="S1922">
        <v>0</v>
      </c>
      <c r="T1922">
        <v>0</v>
      </c>
      <c r="U1922">
        <v>0</v>
      </c>
      <c r="V1922">
        <v>44</v>
      </c>
      <c r="W1922">
        <v>308</v>
      </c>
      <c r="X1922">
        <v>0</v>
      </c>
      <c r="Z1922">
        <v>0</v>
      </c>
      <c r="AA1922">
        <v>0</v>
      </c>
      <c r="AB1922">
        <v>0</v>
      </c>
      <c r="AC1922">
        <v>0</v>
      </c>
      <c r="AD1922" t="s">
        <v>3865</v>
      </c>
    </row>
    <row r="1923" spans="1:30" x14ac:dyDescent="0.25">
      <c r="H1923" t="s">
        <v>1298</v>
      </c>
    </row>
    <row r="1924" spans="1:30" x14ac:dyDescent="0.25">
      <c r="A1924">
        <v>959</v>
      </c>
      <c r="B1924">
        <v>848</v>
      </c>
      <c r="C1924" t="s">
        <v>3866</v>
      </c>
      <c r="D1924" t="s">
        <v>1169</v>
      </c>
      <c r="E1924" t="s">
        <v>120</v>
      </c>
      <c r="F1924" t="s">
        <v>3867</v>
      </c>
      <c r="G1924" t="str">
        <f>"00015467"</f>
        <v>00015467</v>
      </c>
      <c r="H1924" t="s">
        <v>115</v>
      </c>
      <c r="I1924">
        <v>0</v>
      </c>
      <c r="J1924">
        <v>0</v>
      </c>
      <c r="K1924">
        <v>0</v>
      </c>
      <c r="L1924">
        <v>200</v>
      </c>
      <c r="M1924">
        <v>0</v>
      </c>
      <c r="N1924">
        <v>30</v>
      </c>
      <c r="O1924">
        <v>0</v>
      </c>
      <c r="P1924">
        <v>0</v>
      </c>
      <c r="Q1924">
        <v>0</v>
      </c>
      <c r="R1924">
        <v>0</v>
      </c>
      <c r="S1924">
        <v>0</v>
      </c>
      <c r="T1924">
        <v>0</v>
      </c>
      <c r="U1924">
        <v>0</v>
      </c>
      <c r="V1924">
        <v>0</v>
      </c>
      <c r="W1924">
        <v>0</v>
      </c>
      <c r="X1924">
        <v>0</v>
      </c>
      <c r="Z1924">
        <v>0</v>
      </c>
      <c r="AA1924">
        <v>0</v>
      </c>
      <c r="AB1924">
        <v>0</v>
      </c>
      <c r="AC1924">
        <v>0</v>
      </c>
      <c r="AD1924" t="s">
        <v>3868</v>
      </c>
    </row>
    <row r="1925" spans="1:30" x14ac:dyDescent="0.25">
      <c r="H1925" t="s">
        <v>3869</v>
      </c>
    </row>
    <row r="1926" spans="1:30" x14ac:dyDescent="0.25">
      <c r="A1926">
        <v>960</v>
      </c>
      <c r="B1926">
        <v>291</v>
      </c>
      <c r="C1926" t="s">
        <v>3038</v>
      </c>
      <c r="D1926" t="s">
        <v>49</v>
      </c>
      <c r="E1926" t="s">
        <v>2714</v>
      </c>
      <c r="F1926" t="s">
        <v>3870</v>
      </c>
      <c r="G1926" t="str">
        <f>"200802002080"</f>
        <v>200802002080</v>
      </c>
      <c r="H1926" t="s">
        <v>3871</v>
      </c>
      <c r="I1926">
        <v>0</v>
      </c>
      <c r="J1926">
        <v>0</v>
      </c>
      <c r="K1926">
        <v>0</v>
      </c>
      <c r="L1926">
        <v>0</v>
      </c>
      <c r="M1926">
        <v>0</v>
      </c>
      <c r="N1926">
        <v>50</v>
      </c>
      <c r="O1926">
        <v>0</v>
      </c>
      <c r="P1926">
        <v>0</v>
      </c>
      <c r="Q1926">
        <v>0</v>
      </c>
      <c r="R1926">
        <v>0</v>
      </c>
      <c r="S1926">
        <v>0</v>
      </c>
      <c r="T1926">
        <v>0</v>
      </c>
      <c r="U1926">
        <v>0</v>
      </c>
      <c r="V1926">
        <v>49</v>
      </c>
      <c r="W1926">
        <v>343</v>
      </c>
      <c r="X1926">
        <v>0</v>
      </c>
      <c r="Z1926">
        <v>0</v>
      </c>
      <c r="AA1926">
        <v>0</v>
      </c>
      <c r="AB1926">
        <v>0</v>
      </c>
      <c r="AC1926">
        <v>0</v>
      </c>
      <c r="AD1926" t="s">
        <v>3872</v>
      </c>
    </row>
    <row r="1927" spans="1:30" x14ac:dyDescent="0.25">
      <c r="H1927" t="s">
        <v>3873</v>
      </c>
    </row>
    <row r="1928" spans="1:30" x14ac:dyDescent="0.25">
      <c r="A1928">
        <v>961</v>
      </c>
      <c r="B1928">
        <v>3835</v>
      </c>
      <c r="C1928" t="s">
        <v>3874</v>
      </c>
      <c r="D1928" t="s">
        <v>283</v>
      </c>
      <c r="E1928" t="s">
        <v>77</v>
      </c>
      <c r="F1928" t="s">
        <v>3875</v>
      </c>
      <c r="G1928" t="str">
        <f>"00206619"</f>
        <v>00206619</v>
      </c>
      <c r="H1928">
        <v>649</v>
      </c>
      <c r="I1928">
        <v>0</v>
      </c>
      <c r="J1928">
        <v>0</v>
      </c>
      <c r="K1928">
        <v>0</v>
      </c>
      <c r="L1928">
        <v>0</v>
      </c>
      <c r="M1928">
        <v>0</v>
      </c>
      <c r="N1928">
        <v>30</v>
      </c>
      <c r="O1928">
        <v>0</v>
      </c>
      <c r="P1928">
        <v>0</v>
      </c>
      <c r="Q1928">
        <v>0</v>
      </c>
      <c r="R1928">
        <v>0</v>
      </c>
      <c r="S1928">
        <v>0</v>
      </c>
      <c r="T1928">
        <v>0</v>
      </c>
      <c r="U1928">
        <v>0</v>
      </c>
      <c r="V1928">
        <v>49</v>
      </c>
      <c r="W1928">
        <v>343</v>
      </c>
      <c r="X1928">
        <v>0</v>
      </c>
      <c r="Z1928">
        <v>0</v>
      </c>
      <c r="AA1928">
        <v>0</v>
      </c>
      <c r="AB1928">
        <v>0</v>
      </c>
      <c r="AC1928">
        <v>0</v>
      </c>
      <c r="AD1928">
        <v>1022</v>
      </c>
    </row>
    <row r="1929" spans="1:30" x14ac:dyDescent="0.25">
      <c r="H1929" t="s">
        <v>3876</v>
      </c>
    </row>
    <row r="1930" spans="1:30" x14ac:dyDescent="0.25">
      <c r="A1930">
        <v>962</v>
      </c>
      <c r="B1930">
        <v>2669</v>
      </c>
      <c r="C1930" t="s">
        <v>3877</v>
      </c>
      <c r="D1930" t="s">
        <v>525</v>
      </c>
      <c r="E1930" t="s">
        <v>167</v>
      </c>
      <c r="F1930" t="s">
        <v>3878</v>
      </c>
      <c r="G1930" t="str">
        <f>"00235731"</f>
        <v>00235731</v>
      </c>
      <c r="H1930" t="s">
        <v>1838</v>
      </c>
      <c r="I1930">
        <v>0</v>
      </c>
      <c r="J1930">
        <v>0</v>
      </c>
      <c r="K1930">
        <v>0</v>
      </c>
      <c r="L1930">
        <v>200</v>
      </c>
      <c r="M1930">
        <v>0</v>
      </c>
      <c r="N1930">
        <v>70</v>
      </c>
      <c r="O1930">
        <v>0</v>
      </c>
      <c r="P1930">
        <v>0</v>
      </c>
      <c r="Q1930">
        <v>0</v>
      </c>
      <c r="R1930">
        <v>0</v>
      </c>
      <c r="S1930">
        <v>0</v>
      </c>
      <c r="T1930">
        <v>0</v>
      </c>
      <c r="U1930">
        <v>0</v>
      </c>
      <c r="V1930">
        <v>0</v>
      </c>
      <c r="W1930">
        <v>0</v>
      </c>
      <c r="X1930">
        <v>0</v>
      </c>
      <c r="Z1930">
        <v>0</v>
      </c>
      <c r="AA1930">
        <v>0</v>
      </c>
      <c r="AB1930">
        <v>0</v>
      </c>
      <c r="AC1930">
        <v>0</v>
      </c>
      <c r="AD1930" t="s">
        <v>3879</v>
      </c>
    </row>
    <row r="1931" spans="1:30" x14ac:dyDescent="0.25">
      <c r="H1931" t="s">
        <v>3880</v>
      </c>
    </row>
    <row r="1932" spans="1:30" x14ac:dyDescent="0.25">
      <c r="A1932">
        <v>963</v>
      </c>
      <c r="B1932">
        <v>83</v>
      </c>
      <c r="C1932" t="s">
        <v>3881</v>
      </c>
      <c r="D1932" t="s">
        <v>28</v>
      </c>
      <c r="E1932" t="s">
        <v>40</v>
      </c>
      <c r="F1932" t="s">
        <v>3882</v>
      </c>
      <c r="G1932" t="str">
        <f>"00255278"</f>
        <v>00255278</v>
      </c>
      <c r="H1932" t="s">
        <v>3883</v>
      </c>
      <c r="I1932">
        <v>150</v>
      </c>
      <c r="J1932">
        <v>0</v>
      </c>
      <c r="K1932">
        <v>0</v>
      </c>
      <c r="L1932">
        <v>0</v>
      </c>
      <c r="M1932">
        <v>0</v>
      </c>
      <c r="N1932">
        <v>0</v>
      </c>
      <c r="O1932">
        <v>0</v>
      </c>
      <c r="P1932">
        <v>0</v>
      </c>
      <c r="Q1932">
        <v>0</v>
      </c>
      <c r="R1932">
        <v>0</v>
      </c>
      <c r="S1932">
        <v>0</v>
      </c>
      <c r="T1932">
        <v>0</v>
      </c>
      <c r="U1932">
        <v>0</v>
      </c>
      <c r="V1932">
        <v>0</v>
      </c>
      <c r="W1932">
        <v>0</v>
      </c>
      <c r="X1932">
        <v>0</v>
      </c>
      <c r="Z1932">
        <v>0</v>
      </c>
      <c r="AA1932">
        <v>0</v>
      </c>
      <c r="AB1932">
        <v>0</v>
      </c>
      <c r="AC1932">
        <v>0</v>
      </c>
      <c r="AD1932" t="s">
        <v>3884</v>
      </c>
    </row>
    <row r="1933" spans="1:30" x14ac:dyDescent="0.25">
      <c r="H1933" t="s">
        <v>3885</v>
      </c>
    </row>
    <row r="1934" spans="1:30" x14ac:dyDescent="0.25">
      <c r="A1934">
        <v>964</v>
      </c>
      <c r="B1934">
        <v>2891</v>
      </c>
      <c r="C1934" t="s">
        <v>3886</v>
      </c>
      <c r="D1934" t="s">
        <v>2034</v>
      </c>
      <c r="E1934" t="s">
        <v>1406</v>
      </c>
      <c r="F1934" t="s">
        <v>3887</v>
      </c>
      <c r="G1934" t="str">
        <f>"00174970"</f>
        <v>00174970</v>
      </c>
      <c r="H1934">
        <v>671</v>
      </c>
      <c r="I1934">
        <v>150</v>
      </c>
      <c r="J1934">
        <v>0</v>
      </c>
      <c r="K1934">
        <v>0</v>
      </c>
      <c r="L1934">
        <v>200</v>
      </c>
      <c r="M1934">
        <v>0</v>
      </c>
      <c r="N1934">
        <v>0</v>
      </c>
      <c r="O1934">
        <v>0</v>
      </c>
      <c r="P1934">
        <v>0</v>
      </c>
      <c r="Q1934">
        <v>0</v>
      </c>
      <c r="R1934">
        <v>0</v>
      </c>
      <c r="S1934">
        <v>0</v>
      </c>
      <c r="T1934">
        <v>0</v>
      </c>
      <c r="U1934">
        <v>0</v>
      </c>
      <c r="V1934">
        <v>0</v>
      </c>
      <c r="W1934">
        <v>0</v>
      </c>
      <c r="X1934">
        <v>0</v>
      </c>
      <c r="Z1934">
        <v>0</v>
      </c>
      <c r="AA1934">
        <v>0</v>
      </c>
      <c r="AB1934">
        <v>0</v>
      </c>
      <c r="AC1934">
        <v>0</v>
      </c>
      <c r="AD1934">
        <v>1021</v>
      </c>
    </row>
    <row r="1935" spans="1:30" x14ac:dyDescent="0.25">
      <c r="H1935" t="s">
        <v>3888</v>
      </c>
    </row>
    <row r="1936" spans="1:30" x14ac:dyDescent="0.25">
      <c r="A1936">
        <v>965</v>
      </c>
      <c r="B1936">
        <v>3625</v>
      </c>
      <c r="C1936" t="s">
        <v>3274</v>
      </c>
      <c r="D1936" t="s">
        <v>64</v>
      </c>
      <c r="E1936" t="s">
        <v>28</v>
      </c>
      <c r="F1936" t="s">
        <v>3889</v>
      </c>
      <c r="G1936" t="str">
        <f>"00348943"</f>
        <v>00348943</v>
      </c>
      <c r="H1936" t="s">
        <v>59</v>
      </c>
      <c r="I1936">
        <v>0</v>
      </c>
      <c r="J1936">
        <v>0</v>
      </c>
      <c r="K1936">
        <v>0</v>
      </c>
      <c r="L1936">
        <v>0</v>
      </c>
      <c r="M1936">
        <v>0</v>
      </c>
      <c r="N1936">
        <v>30</v>
      </c>
      <c r="O1936">
        <v>0</v>
      </c>
      <c r="P1936">
        <v>0</v>
      </c>
      <c r="Q1936">
        <v>0</v>
      </c>
      <c r="R1936">
        <v>0</v>
      </c>
      <c r="S1936">
        <v>0</v>
      </c>
      <c r="T1936">
        <v>0</v>
      </c>
      <c r="U1936">
        <v>0</v>
      </c>
      <c r="V1936">
        <v>37</v>
      </c>
      <c r="W1936">
        <v>259</v>
      </c>
      <c r="X1936">
        <v>0</v>
      </c>
      <c r="Z1936">
        <v>2</v>
      </c>
      <c r="AA1936">
        <v>0</v>
      </c>
      <c r="AB1936">
        <v>0</v>
      </c>
      <c r="AC1936">
        <v>0</v>
      </c>
      <c r="AD1936" t="s">
        <v>3890</v>
      </c>
    </row>
    <row r="1937" spans="1:30" x14ac:dyDescent="0.25">
      <c r="H1937" t="s">
        <v>3891</v>
      </c>
    </row>
    <row r="1938" spans="1:30" x14ac:dyDescent="0.25">
      <c r="A1938">
        <v>966</v>
      </c>
      <c r="B1938">
        <v>3324</v>
      </c>
      <c r="C1938" t="s">
        <v>3892</v>
      </c>
      <c r="D1938" t="s">
        <v>180</v>
      </c>
      <c r="E1938" t="s">
        <v>84</v>
      </c>
      <c r="F1938" t="s">
        <v>3893</v>
      </c>
      <c r="G1938" t="str">
        <f>"00129734"</f>
        <v>00129734</v>
      </c>
      <c r="H1938" t="s">
        <v>3028</v>
      </c>
      <c r="I1938">
        <v>0</v>
      </c>
      <c r="J1938">
        <v>0</v>
      </c>
      <c r="K1938">
        <v>0</v>
      </c>
      <c r="L1938">
        <v>200</v>
      </c>
      <c r="M1938">
        <v>0</v>
      </c>
      <c r="N1938">
        <v>30</v>
      </c>
      <c r="O1938">
        <v>0</v>
      </c>
      <c r="P1938">
        <v>0</v>
      </c>
      <c r="Q1938">
        <v>0</v>
      </c>
      <c r="R1938">
        <v>0</v>
      </c>
      <c r="S1938">
        <v>0</v>
      </c>
      <c r="T1938">
        <v>0</v>
      </c>
      <c r="U1938">
        <v>0</v>
      </c>
      <c r="V1938">
        <v>0</v>
      </c>
      <c r="W1938">
        <v>0</v>
      </c>
      <c r="X1938">
        <v>0</v>
      </c>
      <c r="Z1938">
        <v>0</v>
      </c>
      <c r="AA1938">
        <v>0</v>
      </c>
      <c r="AB1938">
        <v>0</v>
      </c>
      <c r="AC1938">
        <v>0</v>
      </c>
      <c r="AD1938" t="s">
        <v>3894</v>
      </c>
    </row>
    <row r="1939" spans="1:30" x14ac:dyDescent="0.25">
      <c r="H1939" t="s">
        <v>570</v>
      </c>
    </row>
    <row r="1940" spans="1:30" x14ac:dyDescent="0.25">
      <c r="A1940">
        <v>967</v>
      </c>
      <c r="B1940">
        <v>2604</v>
      </c>
      <c r="C1940" t="s">
        <v>3895</v>
      </c>
      <c r="D1940" t="s">
        <v>525</v>
      </c>
      <c r="E1940" t="s">
        <v>76</v>
      </c>
      <c r="F1940" t="s">
        <v>3896</v>
      </c>
      <c r="G1940" t="str">
        <f>"00252235"</f>
        <v>00252235</v>
      </c>
      <c r="H1940" t="s">
        <v>52</v>
      </c>
      <c r="I1940">
        <v>0</v>
      </c>
      <c r="J1940">
        <v>0</v>
      </c>
      <c r="K1940">
        <v>0</v>
      </c>
      <c r="L1940">
        <v>0</v>
      </c>
      <c r="M1940">
        <v>0</v>
      </c>
      <c r="N1940">
        <v>30</v>
      </c>
      <c r="O1940">
        <v>0</v>
      </c>
      <c r="P1940">
        <v>0</v>
      </c>
      <c r="Q1940">
        <v>0</v>
      </c>
      <c r="R1940">
        <v>0</v>
      </c>
      <c r="S1940">
        <v>0</v>
      </c>
      <c r="T1940">
        <v>0</v>
      </c>
      <c r="U1940">
        <v>0</v>
      </c>
      <c r="V1940">
        <v>29</v>
      </c>
      <c r="W1940">
        <v>203</v>
      </c>
      <c r="X1940">
        <v>0</v>
      </c>
      <c r="Z1940">
        <v>0</v>
      </c>
      <c r="AA1940">
        <v>0</v>
      </c>
      <c r="AB1940">
        <v>0</v>
      </c>
      <c r="AC1940">
        <v>0</v>
      </c>
      <c r="AD1940" t="s">
        <v>3897</v>
      </c>
    </row>
    <row r="1941" spans="1:30" x14ac:dyDescent="0.25">
      <c r="H1941" t="s">
        <v>3898</v>
      </c>
    </row>
    <row r="1942" spans="1:30" x14ac:dyDescent="0.25">
      <c r="A1942">
        <v>968</v>
      </c>
      <c r="B1942">
        <v>2313</v>
      </c>
      <c r="C1942" t="s">
        <v>2528</v>
      </c>
      <c r="D1942" t="s">
        <v>3899</v>
      </c>
      <c r="E1942" t="s">
        <v>120</v>
      </c>
      <c r="F1942" t="s">
        <v>3900</v>
      </c>
      <c r="G1942" t="str">
        <f>"201511017615"</f>
        <v>201511017615</v>
      </c>
      <c r="H1942" t="s">
        <v>2254</v>
      </c>
      <c r="I1942">
        <v>0</v>
      </c>
      <c r="J1942">
        <v>0</v>
      </c>
      <c r="K1942">
        <v>0</v>
      </c>
      <c r="L1942">
        <v>0</v>
      </c>
      <c r="M1942">
        <v>0</v>
      </c>
      <c r="N1942">
        <v>0</v>
      </c>
      <c r="O1942">
        <v>0</v>
      </c>
      <c r="P1942">
        <v>0</v>
      </c>
      <c r="Q1942">
        <v>0</v>
      </c>
      <c r="R1942">
        <v>0</v>
      </c>
      <c r="S1942">
        <v>0</v>
      </c>
      <c r="T1942">
        <v>0</v>
      </c>
      <c r="U1942">
        <v>0</v>
      </c>
      <c r="V1942">
        <v>49</v>
      </c>
      <c r="W1942">
        <v>343</v>
      </c>
      <c r="X1942">
        <v>0</v>
      </c>
      <c r="Z1942">
        <v>0</v>
      </c>
      <c r="AA1942">
        <v>0</v>
      </c>
      <c r="AB1942">
        <v>0</v>
      </c>
      <c r="AC1942">
        <v>0</v>
      </c>
      <c r="AD1942" t="s">
        <v>3897</v>
      </c>
    </row>
    <row r="1943" spans="1:30" x14ac:dyDescent="0.25">
      <c r="H1943" t="s">
        <v>3901</v>
      </c>
    </row>
    <row r="1944" spans="1:30" x14ac:dyDescent="0.25">
      <c r="A1944">
        <v>969</v>
      </c>
      <c r="B1944">
        <v>4001</v>
      </c>
      <c r="C1944" t="s">
        <v>3902</v>
      </c>
      <c r="D1944" t="s">
        <v>83</v>
      </c>
      <c r="E1944" t="s">
        <v>120</v>
      </c>
      <c r="F1944" t="s">
        <v>3903</v>
      </c>
      <c r="G1944" t="str">
        <f>"00225582"</f>
        <v>00225582</v>
      </c>
      <c r="H1944" t="s">
        <v>3904</v>
      </c>
      <c r="I1944">
        <v>0</v>
      </c>
      <c r="J1944">
        <v>0</v>
      </c>
      <c r="K1944">
        <v>0</v>
      </c>
      <c r="L1944">
        <v>0</v>
      </c>
      <c r="M1944">
        <v>0</v>
      </c>
      <c r="N1944">
        <v>0</v>
      </c>
      <c r="O1944">
        <v>0</v>
      </c>
      <c r="P1944">
        <v>0</v>
      </c>
      <c r="Q1944">
        <v>0</v>
      </c>
      <c r="R1944">
        <v>0</v>
      </c>
      <c r="S1944">
        <v>0</v>
      </c>
      <c r="T1944">
        <v>0</v>
      </c>
      <c r="U1944">
        <v>0</v>
      </c>
      <c r="V1944">
        <v>0</v>
      </c>
      <c r="W1944">
        <v>0</v>
      </c>
      <c r="X1944">
        <v>0</v>
      </c>
      <c r="Z1944">
        <v>0</v>
      </c>
      <c r="AA1944">
        <v>0</v>
      </c>
      <c r="AB1944">
        <v>6</v>
      </c>
      <c r="AC1944">
        <v>102</v>
      </c>
      <c r="AD1944" t="s">
        <v>3905</v>
      </c>
    </row>
    <row r="1945" spans="1:30" x14ac:dyDescent="0.25">
      <c r="H1945" t="s">
        <v>3906</v>
      </c>
    </row>
    <row r="1946" spans="1:30" x14ac:dyDescent="0.25">
      <c r="A1946">
        <v>970</v>
      </c>
      <c r="B1946">
        <v>6114</v>
      </c>
      <c r="C1946" t="s">
        <v>3907</v>
      </c>
      <c r="D1946" t="s">
        <v>3908</v>
      </c>
      <c r="E1946" t="s">
        <v>102</v>
      </c>
      <c r="F1946" t="s">
        <v>3909</v>
      </c>
      <c r="G1946" t="str">
        <f>"00299524"</f>
        <v>00299524</v>
      </c>
      <c r="H1946">
        <v>638</v>
      </c>
      <c r="I1946">
        <v>0</v>
      </c>
      <c r="J1946">
        <v>0</v>
      </c>
      <c r="K1946">
        <v>0</v>
      </c>
      <c r="L1946">
        <v>0</v>
      </c>
      <c r="M1946">
        <v>0</v>
      </c>
      <c r="N1946">
        <v>0</v>
      </c>
      <c r="O1946">
        <v>0</v>
      </c>
      <c r="P1946">
        <v>0</v>
      </c>
      <c r="Q1946">
        <v>0</v>
      </c>
      <c r="R1946">
        <v>0</v>
      </c>
      <c r="S1946">
        <v>0</v>
      </c>
      <c r="T1946">
        <v>0</v>
      </c>
      <c r="U1946">
        <v>0</v>
      </c>
      <c r="V1946">
        <v>54</v>
      </c>
      <c r="W1946">
        <v>378</v>
      </c>
      <c r="X1946">
        <v>0</v>
      </c>
      <c r="Z1946">
        <v>0</v>
      </c>
      <c r="AA1946">
        <v>0</v>
      </c>
      <c r="AB1946">
        <v>0</v>
      </c>
      <c r="AC1946">
        <v>0</v>
      </c>
      <c r="AD1946">
        <v>1016</v>
      </c>
    </row>
    <row r="1947" spans="1:30" x14ac:dyDescent="0.25">
      <c r="H1947" t="s">
        <v>3910</v>
      </c>
    </row>
    <row r="1948" spans="1:30" x14ac:dyDescent="0.25">
      <c r="A1948">
        <v>971</v>
      </c>
      <c r="B1948">
        <v>5907</v>
      </c>
      <c r="C1948" t="s">
        <v>3911</v>
      </c>
      <c r="D1948" t="s">
        <v>180</v>
      </c>
      <c r="E1948" t="s">
        <v>102</v>
      </c>
      <c r="F1948" t="s">
        <v>3912</v>
      </c>
      <c r="G1948" t="str">
        <f>"00107743"</f>
        <v>00107743</v>
      </c>
      <c r="H1948" t="s">
        <v>1549</v>
      </c>
      <c r="I1948">
        <v>0</v>
      </c>
      <c r="J1948">
        <v>0</v>
      </c>
      <c r="K1948">
        <v>0</v>
      </c>
      <c r="L1948">
        <v>0</v>
      </c>
      <c r="M1948">
        <v>0</v>
      </c>
      <c r="N1948">
        <v>70</v>
      </c>
      <c r="O1948">
        <v>0</v>
      </c>
      <c r="P1948">
        <v>0</v>
      </c>
      <c r="Q1948">
        <v>0</v>
      </c>
      <c r="R1948">
        <v>0</v>
      </c>
      <c r="S1948">
        <v>0</v>
      </c>
      <c r="T1948">
        <v>0</v>
      </c>
      <c r="U1948">
        <v>0</v>
      </c>
      <c r="V1948">
        <v>16</v>
      </c>
      <c r="W1948">
        <v>112</v>
      </c>
      <c r="X1948">
        <v>0</v>
      </c>
      <c r="Z1948">
        <v>0</v>
      </c>
      <c r="AA1948">
        <v>0</v>
      </c>
      <c r="AB1948">
        <v>8</v>
      </c>
      <c r="AC1948">
        <v>136</v>
      </c>
      <c r="AD1948" t="s">
        <v>3913</v>
      </c>
    </row>
    <row r="1949" spans="1:30" x14ac:dyDescent="0.25">
      <c r="H1949" t="s">
        <v>3914</v>
      </c>
    </row>
    <row r="1950" spans="1:30" x14ac:dyDescent="0.25">
      <c r="A1950">
        <v>972</v>
      </c>
      <c r="B1950">
        <v>2755</v>
      </c>
      <c r="C1950" t="s">
        <v>3915</v>
      </c>
      <c r="D1950" t="s">
        <v>490</v>
      </c>
      <c r="E1950" t="s">
        <v>50</v>
      </c>
      <c r="F1950" t="s">
        <v>3916</v>
      </c>
      <c r="G1950" t="str">
        <f>"00327673"</f>
        <v>00327673</v>
      </c>
      <c r="H1950" t="s">
        <v>375</v>
      </c>
      <c r="I1950">
        <v>0</v>
      </c>
      <c r="J1950">
        <v>0</v>
      </c>
      <c r="K1950">
        <v>0</v>
      </c>
      <c r="L1950">
        <v>0</v>
      </c>
      <c r="M1950">
        <v>0</v>
      </c>
      <c r="N1950">
        <v>0</v>
      </c>
      <c r="O1950">
        <v>0</v>
      </c>
      <c r="P1950">
        <v>0</v>
      </c>
      <c r="Q1950">
        <v>0</v>
      </c>
      <c r="R1950">
        <v>0</v>
      </c>
      <c r="S1950">
        <v>0</v>
      </c>
      <c r="T1950">
        <v>0</v>
      </c>
      <c r="U1950">
        <v>0</v>
      </c>
      <c r="V1950">
        <v>41</v>
      </c>
      <c r="W1950">
        <v>287</v>
      </c>
      <c r="X1950">
        <v>0</v>
      </c>
      <c r="Z1950">
        <v>0</v>
      </c>
      <c r="AA1950">
        <v>0</v>
      </c>
      <c r="AB1950">
        <v>0</v>
      </c>
      <c r="AC1950">
        <v>0</v>
      </c>
      <c r="AD1950" t="s">
        <v>3917</v>
      </c>
    </row>
    <row r="1951" spans="1:30" x14ac:dyDescent="0.25">
      <c r="H1951" t="s">
        <v>3918</v>
      </c>
    </row>
    <row r="1952" spans="1:30" x14ac:dyDescent="0.25">
      <c r="A1952">
        <v>973</v>
      </c>
      <c r="B1952">
        <v>1161</v>
      </c>
      <c r="C1952" t="s">
        <v>3919</v>
      </c>
      <c r="D1952" t="s">
        <v>180</v>
      </c>
      <c r="E1952" t="s">
        <v>299</v>
      </c>
      <c r="F1952" t="s">
        <v>3920</v>
      </c>
      <c r="G1952" t="str">
        <f>"00307835"</f>
        <v>00307835</v>
      </c>
      <c r="H1952" t="s">
        <v>591</v>
      </c>
      <c r="I1952">
        <v>0</v>
      </c>
      <c r="J1952">
        <v>0</v>
      </c>
      <c r="K1952">
        <v>0</v>
      </c>
      <c r="L1952">
        <v>0</v>
      </c>
      <c r="M1952">
        <v>0</v>
      </c>
      <c r="N1952">
        <v>30</v>
      </c>
      <c r="O1952">
        <v>0</v>
      </c>
      <c r="P1952">
        <v>0</v>
      </c>
      <c r="Q1952">
        <v>0</v>
      </c>
      <c r="R1952">
        <v>0</v>
      </c>
      <c r="S1952">
        <v>0</v>
      </c>
      <c r="T1952">
        <v>0</v>
      </c>
      <c r="U1952">
        <v>0</v>
      </c>
      <c r="V1952">
        <v>39</v>
      </c>
      <c r="W1952">
        <v>273</v>
      </c>
      <c r="X1952">
        <v>0</v>
      </c>
      <c r="Z1952">
        <v>0</v>
      </c>
      <c r="AA1952">
        <v>0</v>
      </c>
      <c r="AB1952">
        <v>0</v>
      </c>
      <c r="AC1952">
        <v>0</v>
      </c>
      <c r="AD1952" t="s">
        <v>3921</v>
      </c>
    </row>
    <row r="1953" spans="1:30" x14ac:dyDescent="0.25">
      <c r="H1953" t="s">
        <v>3922</v>
      </c>
    </row>
    <row r="1954" spans="1:30" x14ac:dyDescent="0.25">
      <c r="A1954">
        <v>974</v>
      </c>
      <c r="B1954">
        <v>1248</v>
      </c>
      <c r="C1954" t="s">
        <v>3923</v>
      </c>
      <c r="D1954" t="s">
        <v>95</v>
      </c>
      <c r="E1954" t="s">
        <v>76</v>
      </c>
      <c r="F1954" t="s">
        <v>3924</v>
      </c>
      <c r="G1954" t="str">
        <f>"00172702"</f>
        <v>00172702</v>
      </c>
      <c r="H1954" t="s">
        <v>2518</v>
      </c>
      <c r="I1954">
        <v>0</v>
      </c>
      <c r="J1954">
        <v>0</v>
      </c>
      <c r="K1954">
        <v>0</v>
      </c>
      <c r="L1954">
        <v>200</v>
      </c>
      <c r="M1954">
        <v>0</v>
      </c>
      <c r="N1954">
        <v>0</v>
      </c>
      <c r="O1954">
        <v>0</v>
      </c>
      <c r="P1954">
        <v>0</v>
      </c>
      <c r="Q1954">
        <v>0</v>
      </c>
      <c r="R1954">
        <v>0</v>
      </c>
      <c r="S1954">
        <v>0</v>
      </c>
      <c r="T1954">
        <v>0</v>
      </c>
      <c r="U1954">
        <v>0</v>
      </c>
      <c r="V1954">
        <v>15</v>
      </c>
      <c r="W1954">
        <v>105</v>
      </c>
      <c r="X1954">
        <v>0</v>
      </c>
      <c r="Z1954">
        <v>0</v>
      </c>
      <c r="AA1954">
        <v>0</v>
      </c>
      <c r="AB1954">
        <v>0</v>
      </c>
      <c r="AC1954">
        <v>0</v>
      </c>
      <c r="AD1954" t="s">
        <v>3925</v>
      </c>
    </row>
    <row r="1955" spans="1:30" x14ac:dyDescent="0.25">
      <c r="H1955" t="s">
        <v>3926</v>
      </c>
    </row>
    <row r="1956" spans="1:30" x14ac:dyDescent="0.25">
      <c r="A1956">
        <v>975</v>
      </c>
      <c r="B1956">
        <v>5549</v>
      </c>
      <c r="C1956" t="s">
        <v>3927</v>
      </c>
      <c r="D1956" t="s">
        <v>44</v>
      </c>
      <c r="E1956" t="s">
        <v>57</v>
      </c>
      <c r="F1956" t="s">
        <v>3928</v>
      </c>
      <c r="G1956" t="str">
        <f>"201511042104"</f>
        <v>201511042104</v>
      </c>
      <c r="H1956">
        <v>616</v>
      </c>
      <c r="I1956">
        <v>0</v>
      </c>
      <c r="J1956">
        <v>0</v>
      </c>
      <c r="K1956">
        <v>0</v>
      </c>
      <c r="L1956">
        <v>200</v>
      </c>
      <c r="M1956">
        <v>0</v>
      </c>
      <c r="N1956">
        <v>30</v>
      </c>
      <c r="O1956">
        <v>0</v>
      </c>
      <c r="P1956">
        <v>0</v>
      </c>
      <c r="Q1956">
        <v>0</v>
      </c>
      <c r="R1956">
        <v>0</v>
      </c>
      <c r="S1956">
        <v>0</v>
      </c>
      <c r="T1956">
        <v>0</v>
      </c>
      <c r="U1956">
        <v>0</v>
      </c>
      <c r="V1956">
        <v>24</v>
      </c>
      <c r="W1956">
        <v>168</v>
      </c>
      <c r="X1956">
        <v>0</v>
      </c>
      <c r="Z1956">
        <v>0</v>
      </c>
      <c r="AA1956">
        <v>0</v>
      </c>
      <c r="AB1956">
        <v>0</v>
      </c>
      <c r="AC1956">
        <v>0</v>
      </c>
      <c r="AD1956">
        <v>1014</v>
      </c>
    </row>
    <row r="1957" spans="1:30" x14ac:dyDescent="0.25">
      <c r="H1957" t="s">
        <v>3929</v>
      </c>
    </row>
    <row r="1958" spans="1:30" x14ac:dyDescent="0.25">
      <c r="A1958">
        <v>976</v>
      </c>
      <c r="B1958">
        <v>3111</v>
      </c>
      <c r="C1958" t="s">
        <v>3930</v>
      </c>
      <c r="D1958" t="s">
        <v>102</v>
      </c>
      <c r="E1958" t="s">
        <v>28</v>
      </c>
      <c r="F1958" t="s">
        <v>3931</v>
      </c>
      <c r="G1958" t="str">
        <f>"201502004159"</f>
        <v>201502004159</v>
      </c>
      <c r="H1958" t="s">
        <v>476</v>
      </c>
      <c r="I1958">
        <v>0</v>
      </c>
      <c r="J1958">
        <v>0</v>
      </c>
      <c r="K1958">
        <v>0</v>
      </c>
      <c r="L1958">
        <v>0</v>
      </c>
      <c r="M1958">
        <v>0</v>
      </c>
      <c r="N1958">
        <v>0</v>
      </c>
      <c r="O1958">
        <v>0</v>
      </c>
      <c r="P1958">
        <v>0</v>
      </c>
      <c r="Q1958">
        <v>0</v>
      </c>
      <c r="R1958">
        <v>0</v>
      </c>
      <c r="S1958">
        <v>0</v>
      </c>
      <c r="T1958">
        <v>0</v>
      </c>
      <c r="U1958">
        <v>0</v>
      </c>
      <c r="V1958">
        <v>40</v>
      </c>
      <c r="W1958">
        <v>280</v>
      </c>
      <c r="X1958">
        <v>0</v>
      </c>
      <c r="Z1958">
        <v>0</v>
      </c>
      <c r="AA1958">
        <v>0</v>
      </c>
      <c r="AB1958">
        <v>0</v>
      </c>
      <c r="AC1958">
        <v>0</v>
      </c>
      <c r="AD1958" t="s">
        <v>3932</v>
      </c>
    </row>
    <row r="1959" spans="1:30" x14ac:dyDescent="0.25">
      <c r="H1959" t="s">
        <v>3933</v>
      </c>
    </row>
    <row r="1960" spans="1:30" x14ac:dyDescent="0.25">
      <c r="A1960">
        <v>977</v>
      </c>
      <c r="B1960">
        <v>3593</v>
      </c>
      <c r="C1960" t="s">
        <v>3934</v>
      </c>
      <c r="D1960" t="s">
        <v>107</v>
      </c>
      <c r="E1960" t="s">
        <v>32</v>
      </c>
      <c r="F1960" t="s">
        <v>3935</v>
      </c>
      <c r="G1960" t="str">
        <f>"00150008"</f>
        <v>00150008</v>
      </c>
      <c r="H1960" t="s">
        <v>427</v>
      </c>
      <c r="I1960">
        <v>0</v>
      </c>
      <c r="J1960">
        <v>0</v>
      </c>
      <c r="K1960">
        <v>0</v>
      </c>
      <c r="L1960">
        <v>0</v>
      </c>
      <c r="M1960">
        <v>0</v>
      </c>
      <c r="N1960">
        <v>50</v>
      </c>
      <c r="O1960">
        <v>0</v>
      </c>
      <c r="P1960">
        <v>0</v>
      </c>
      <c r="Q1960">
        <v>0</v>
      </c>
      <c r="R1960">
        <v>0</v>
      </c>
      <c r="S1960">
        <v>0</v>
      </c>
      <c r="T1960">
        <v>0</v>
      </c>
      <c r="U1960">
        <v>0</v>
      </c>
      <c r="V1960">
        <v>5</v>
      </c>
      <c r="W1960">
        <v>35</v>
      </c>
      <c r="X1960">
        <v>0</v>
      </c>
      <c r="Z1960">
        <v>0</v>
      </c>
      <c r="AA1960">
        <v>0</v>
      </c>
      <c r="AB1960">
        <v>13</v>
      </c>
      <c r="AC1960">
        <v>221</v>
      </c>
      <c r="AD1960" t="s">
        <v>3936</v>
      </c>
    </row>
    <row r="1961" spans="1:30" x14ac:dyDescent="0.25">
      <c r="H1961" t="s">
        <v>3937</v>
      </c>
    </row>
    <row r="1962" spans="1:30" x14ac:dyDescent="0.25">
      <c r="A1962">
        <v>978</v>
      </c>
      <c r="B1962">
        <v>3710</v>
      </c>
      <c r="C1962" t="s">
        <v>3938</v>
      </c>
      <c r="D1962" t="s">
        <v>95</v>
      </c>
      <c r="E1962" t="s">
        <v>120</v>
      </c>
      <c r="F1962" t="s">
        <v>3939</v>
      </c>
      <c r="G1962" t="str">
        <f>"201406013282"</f>
        <v>201406013282</v>
      </c>
      <c r="H1962">
        <v>759</v>
      </c>
      <c r="I1962">
        <v>150</v>
      </c>
      <c r="J1962">
        <v>0</v>
      </c>
      <c r="K1962">
        <v>0</v>
      </c>
      <c r="L1962">
        <v>0</v>
      </c>
      <c r="M1962">
        <v>0</v>
      </c>
      <c r="N1962">
        <v>70</v>
      </c>
      <c r="O1962">
        <v>0</v>
      </c>
      <c r="P1962">
        <v>0</v>
      </c>
      <c r="Q1962">
        <v>0</v>
      </c>
      <c r="R1962">
        <v>0</v>
      </c>
      <c r="S1962">
        <v>0</v>
      </c>
      <c r="T1962">
        <v>0</v>
      </c>
      <c r="U1962">
        <v>0</v>
      </c>
      <c r="V1962">
        <v>0</v>
      </c>
      <c r="W1962">
        <v>0</v>
      </c>
      <c r="X1962">
        <v>0</v>
      </c>
      <c r="Z1962">
        <v>0</v>
      </c>
      <c r="AA1962">
        <v>0</v>
      </c>
      <c r="AB1962">
        <v>2</v>
      </c>
      <c r="AC1962">
        <v>34</v>
      </c>
      <c r="AD1962">
        <v>1013</v>
      </c>
    </row>
    <row r="1963" spans="1:30" x14ac:dyDescent="0.25">
      <c r="H1963" t="s">
        <v>3940</v>
      </c>
    </row>
    <row r="1964" spans="1:30" x14ac:dyDescent="0.25">
      <c r="A1964">
        <v>979</v>
      </c>
      <c r="B1964">
        <v>2814</v>
      </c>
      <c r="C1964" t="s">
        <v>3941</v>
      </c>
      <c r="D1964" t="s">
        <v>95</v>
      </c>
      <c r="E1964" t="s">
        <v>120</v>
      </c>
      <c r="F1964" t="s">
        <v>3942</v>
      </c>
      <c r="G1964" t="str">
        <f>"00251776"</f>
        <v>00251776</v>
      </c>
      <c r="H1964" t="s">
        <v>215</v>
      </c>
      <c r="I1964">
        <v>0</v>
      </c>
      <c r="J1964">
        <v>0</v>
      </c>
      <c r="K1964">
        <v>0</v>
      </c>
      <c r="L1964">
        <v>0</v>
      </c>
      <c r="M1964">
        <v>0</v>
      </c>
      <c r="N1964">
        <v>0</v>
      </c>
      <c r="O1964">
        <v>0</v>
      </c>
      <c r="P1964">
        <v>0</v>
      </c>
      <c r="Q1964">
        <v>0</v>
      </c>
      <c r="R1964">
        <v>0</v>
      </c>
      <c r="S1964">
        <v>0</v>
      </c>
      <c r="T1964">
        <v>0</v>
      </c>
      <c r="U1964">
        <v>0</v>
      </c>
      <c r="V1964">
        <v>40</v>
      </c>
      <c r="W1964">
        <v>280</v>
      </c>
      <c r="X1964">
        <v>0</v>
      </c>
      <c r="Z1964">
        <v>0</v>
      </c>
      <c r="AA1964">
        <v>0</v>
      </c>
      <c r="AB1964">
        <v>0</v>
      </c>
      <c r="AC1964">
        <v>0</v>
      </c>
      <c r="AD1964" t="s">
        <v>3943</v>
      </c>
    </row>
    <row r="1965" spans="1:30" x14ac:dyDescent="0.25">
      <c r="H1965" t="s">
        <v>3944</v>
      </c>
    </row>
    <row r="1966" spans="1:30" x14ac:dyDescent="0.25">
      <c r="A1966">
        <v>980</v>
      </c>
      <c r="B1966">
        <v>5285</v>
      </c>
      <c r="C1966" t="s">
        <v>3945</v>
      </c>
      <c r="D1966" t="s">
        <v>218</v>
      </c>
      <c r="E1966" t="s">
        <v>102</v>
      </c>
      <c r="F1966" t="s">
        <v>3946</v>
      </c>
      <c r="G1966" t="str">
        <f>"00045972"</f>
        <v>00045972</v>
      </c>
      <c r="H1966">
        <v>737</v>
      </c>
      <c r="I1966">
        <v>0</v>
      </c>
      <c r="J1966">
        <v>0</v>
      </c>
      <c r="K1966">
        <v>0</v>
      </c>
      <c r="L1966">
        <v>0</v>
      </c>
      <c r="M1966">
        <v>0</v>
      </c>
      <c r="N1966">
        <v>30</v>
      </c>
      <c r="O1966">
        <v>0</v>
      </c>
      <c r="P1966">
        <v>0</v>
      </c>
      <c r="Q1966">
        <v>0</v>
      </c>
      <c r="R1966">
        <v>0</v>
      </c>
      <c r="S1966">
        <v>0</v>
      </c>
      <c r="T1966">
        <v>0</v>
      </c>
      <c r="U1966">
        <v>0</v>
      </c>
      <c r="V1966">
        <v>35</v>
      </c>
      <c r="W1966">
        <v>245</v>
      </c>
      <c r="X1966">
        <v>0</v>
      </c>
      <c r="Z1966">
        <v>2</v>
      </c>
      <c r="AA1966">
        <v>0</v>
      </c>
      <c r="AB1966">
        <v>0</v>
      </c>
      <c r="AC1966">
        <v>0</v>
      </c>
      <c r="AD1966">
        <v>1012</v>
      </c>
    </row>
    <row r="1967" spans="1:30" x14ac:dyDescent="0.25">
      <c r="H1967" t="s">
        <v>1191</v>
      </c>
    </row>
    <row r="1968" spans="1:30" x14ac:dyDescent="0.25">
      <c r="A1968">
        <v>981</v>
      </c>
      <c r="B1968">
        <v>2889</v>
      </c>
      <c r="C1968" t="s">
        <v>3947</v>
      </c>
      <c r="D1968" t="s">
        <v>49</v>
      </c>
      <c r="E1968" t="s">
        <v>181</v>
      </c>
      <c r="F1968" t="s">
        <v>3948</v>
      </c>
      <c r="G1968" t="str">
        <f>"201405001947"</f>
        <v>201405001947</v>
      </c>
      <c r="H1968" t="s">
        <v>1086</v>
      </c>
      <c r="I1968">
        <v>0</v>
      </c>
      <c r="J1968">
        <v>0</v>
      </c>
      <c r="K1968">
        <v>0</v>
      </c>
      <c r="L1968">
        <v>200</v>
      </c>
      <c r="M1968">
        <v>0</v>
      </c>
      <c r="N1968">
        <v>70</v>
      </c>
      <c r="O1968">
        <v>0</v>
      </c>
      <c r="P1968">
        <v>0</v>
      </c>
      <c r="Q1968">
        <v>0</v>
      </c>
      <c r="R1968">
        <v>0</v>
      </c>
      <c r="S1968">
        <v>0</v>
      </c>
      <c r="T1968">
        <v>0</v>
      </c>
      <c r="U1968">
        <v>0</v>
      </c>
      <c r="V1968">
        <v>0</v>
      </c>
      <c r="W1968">
        <v>0</v>
      </c>
      <c r="X1968">
        <v>0</v>
      </c>
      <c r="Z1968">
        <v>0</v>
      </c>
      <c r="AA1968">
        <v>0</v>
      </c>
      <c r="AB1968">
        <v>0</v>
      </c>
      <c r="AC1968">
        <v>0</v>
      </c>
      <c r="AD1968" t="s">
        <v>3949</v>
      </c>
    </row>
    <row r="1969" spans="1:30" x14ac:dyDescent="0.25">
      <c r="H1969" t="s">
        <v>3950</v>
      </c>
    </row>
    <row r="1970" spans="1:30" x14ac:dyDescent="0.25">
      <c r="A1970">
        <v>982</v>
      </c>
      <c r="B1970">
        <v>2675</v>
      </c>
      <c r="C1970" t="s">
        <v>3951</v>
      </c>
      <c r="D1970" t="s">
        <v>180</v>
      </c>
      <c r="E1970" t="s">
        <v>28</v>
      </c>
      <c r="F1970" t="s">
        <v>3952</v>
      </c>
      <c r="G1970" t="str">
        <f>"00186429"</f>
        <v>00186429</v>
      </c>
      <c r="H1970" t="s">
        <v>550</v>
      </c>
      <c r="I1970">
        <v>0</v>
      </c>
      <c r="J1970">
        <v>0</v>
      </c>
      <c r="K1970">
        <v>0</v>
      </c>
      <c r="L1970">
        <v>0</v>
      </c>
      <c r="M1970">
        <v>0</v>
      </c>
      <c r="N1970">
        <v>30</v>
      </c>
      <c r="O1970">
        <v>0</v>
      </c>
      <c r="P1970">
        <v>0</v>
      </c>
      <c r="Q1970">
        <v>0</v>
      </c>
      <c r="R1970">
        <v>0</v>
      </c>
      <c r="S1970">
        <v>0</v>
      </c>
      <c r="T1970">
        <v>0</v>
      </c>
      <c r="U1970">
        <v>0</v>
      </c>
      <c r="V1970">
        <v>1</v>
      </c>
      <c r="W1970">
        <v>7</v>
      </c>
      <c r="X1970">
        <v>0</v>
      </c>
      <c r="Z1970">
        <v>0</v>
      </c>
      <c r="AA1970">
        <v>0</v>
      </c>
      <c r="AB1970">
        <v>10</v>
      </c>
      <c r="AC1970">
        <v>170</v>
      </c>
      <c r="AD1970" t="s">
        <v>3953</v>
      </c>
    </row>
    <row r="1971" spans="1:30" x14ac:dyDescent="0.25">
      <c r="H1971" t="s">
        <v>3954</v>
      </c>
    </row>
    <row r="1972" spans="1:30" x14ac:dyDescent="0.25">
      <c r="A1972">
        <v>983</v>
      </c>
      <c r="B1972">
        <v>5167</v>
      </c>
      <c r="C1972" t="s">
        <v>141</v>
      </c>
      <c r="D1972" t="s">
        <v>3955</v>
      </c>
      <c r="E1972" t="s">
        <v>700</v>
      </c>
      <c r="F1972" t="s">
        <v>3956</v>
      </c>
      <c r="G1972" t="str">
        <f>"00152490"</f>
        <v>00152490</v>
      </c>
      <c r="H1972" t="s">
        <v>2518</v>
      </c>
      <c r="I1972">
        <v>0</v>
      </c>
      <c r="J1972">
        <v>0</v>
      </c>
      <c r="K1972">
        <v>0</v>
      </c>
      <c r="L1972">
        <v>200</v>
      </c>
      <c r="M1972">
        <v>0</v>
      </c>
      <c r="N1972">
        <v>70</v>
      </c>
      <c r="O1972">
        <v>30</v>
      </c>
      <c r="P1972">
        <v>0</v>
      </c>
      <c r="Q1972">
        <v>0</v>
      </c>
      <c r="R1972">
        <v>0</v>
      </c>
      <c r="S1972">
        <v>0</v>
      </c>
      <c r="T1972">
        <v>0</v>
      </c>
      <c r="U1972">
        <v>0</v>
      </c>
      <c r="V1972">
        <v>0</v>
      </c>
      <c r="W1972">
        <v>0</v>
      </c>
      <c r="X1972">
        <v>0</v>
      </c>
      <c r="Z1972">
        <v>0</v>
      </c>
      <c r="AA1972">
        <v>0</v>
      </c>
      <c r="AB1972">
        <v>0</v>
      </c>
      <c r="AC1972">
        <v>0</v>
      </c>
      <c r="AD1972" t="s">
        <v>3957</v>
      </c>
    </row>
    <row r="1973" spans="1:30" x14ac:dyDescent="0.25">
      <c r="H1973" t="s">
        <v>3958</v>
      </c>
    </row>
    <row r="1974" spans="1:30" x14ac:dyDescent="0.25">
      <c r="A1974">
        <v>984</v>
      </c>
      <c r="B1974">
        <v>5772</v>
      </c>
      <c r="C1974" t="s">
        <v>3959</v>
      </c>
      <c r="D1974" t="s">
        <v>580</v>
      </c>
      <c r="E1974" t="s">
        <v>254</v>
      </c>
      <c r="F1974" t="s">
        <v>3960</v>
      </c>
      <c r="G1974" t="str">
        <f>"201511034632"</f>
        <v>201511034632</v>
      </c>
      <c r="H1974" t="s">
        <v>35</v>
      </c>
      <c r="I1974">
        <v>150</v>
      </c>
      <c r="J1974">
        <v>0</v>
      </c>
      <c r="K1974">
        <v>0</v>
      </c>
      <c r="L1974">
        <v>0</v>
      </c>
      <c r="M1974">
        <v>0</v>
      </c>
      <c r="N1974">
        <v>30</v>
      </c>
      <c r="O1974">
        <v>0</v>
      </c>
      <c r="P1974">
        <v>0</v>
      </c>
      <c r="Q1974">
        <v>0</v>
      </c>
      <c r="R1974">
        <v>0</v>
      </c>
      <c r="S1974">
        <v>0</v>
      </c>
      <c r="T1974">
        <v>0</v>
      </c>
      <c r="U1974">
        <v>0</v>
      </c>
      <c r="V1974">
        <v>0</v>
      </c>
      <c r="W1974">
        <v>0</v>
      </c>
      <c r="X1974">
        <v>0</v>
      </c>
      <c r="Z1974">
        <v>0</v>
      </c>
      <c r="AA1974">
        <v>0</v>
      </c>
      <c r="AB1974">
        <v>0</v>
      </c>
      <c r="AC1974">
        <v>0</v>
      </c>
      <c r="AD1974" t="s">
        <v>3961</v>
      </c>
    </row>
    <row r="1975" spans="1:30" x14ac:dyDescent="0.25">
      <c r="H1975" t="s">
        <v>3962</v>
      </c>
    </row>
    <row r="1976" spans="1:30" x14ac:dyDescent="0.25">
      <c r="A1976">
        <v>985</v>
      </c>
      <c r="B1976">
        <v>6268</v>
      </c>
      <c r="C1976" t="s">
        <v>3963</v>
      </c>
      <c r="D1976" t="s">
        <v>142</v>
      </c>
      <c r="E1976" t="s">
        <v>167</v>
      </c>
      <c r="F1976" t="s">
        <v>3964</v>
      </c>
      <c r="G1976" t="str">
        <f>"00146581"</f>
        <v>00146581</v>
      </c>
      <c r="H1976" t="s">
        <v>1465</v>
      </c>
      <c r="I1976">
        <v>0</v>
      </c>
      <c r="J1976">
        <v>0</v>
      </c>
      <c r="K1976">
        <v>0</v>
      </c>
      <c r="L1976">
        <v>200</v>
      </c>
      <c r="M1976">
        <v>0</v>
      </c>
      <c r="N1976">
        <v>50</v>
      </c>
      <c r="O1976">
        <v>0</v>
      </c>
      <c r="P1976">
        <v>0</v>
      </c>
      <c r="Q1976">
        <v>0</v>
      </c>
      <c r="R1976">
        <v>0</v>
      </c>
      <c r="S1976">
        <v>0</v>
      </c>
      <c r="T1976">
        <v>0</v>
      </c>
      <c r="U1976">
        <v>0</v>
      </c>
      <c r="V1976">
        <v>4</v>
      </c>
      <c r="W1976">
        <v>28</v>
      </c>
      <c r="X1976">
        <v>0</v>
      </c>
      <c r="Z1976">
        <v>0</v>
      </c>
      <c r="AA1976">
        <v>0</v>
      </c>
      <c r="AB1976">
        <v>0</v>
      </c>
      <c r="AC1976">
        <v>0</v>
      </c>
      <c r="AD1976" t="s">
        <v>3965</v>
      </c>
    </row>
    <row r="1977" spans="1:30" x14ac:dyDescent="0.25">
      <c r="H1977" t="s">
        <v>3966</v>
      </c>
    </row>
    <row r="1978" spans="1:30" x14ac:dyDescent="0.25">
      <c r="A1978">
        <v>986</v>
      </c>
      <c r="B1978">
        <v>1427</v>
      </c>
      <c r="C1978" t="s">
        <v>3967</v>
      </c>
      <c r="D1978" t="s">
        <v>283</v>
      </c>
      <c r="E1978" t="s">
        <v>32</v>
      </c>
      <c r="F1978" t="s">
        <v>3968</v>
      </c>
      <c r="G1978" t="str">
        <f>"00312863"</f>
        <v>00312863</v>
      </c>
      <c r="H1978" t="s">
        <v>375</v>
      </c>
      <c r="I1978">
        <v>0</v>
      </c>
      <c r="J1978">
        <v>0</v>
      </c>
      <c r="K1978">
        <v>0</v>
      </c>
      <c r="L1978">
        <v>0</v>
      </c>
      <c r="M1978">
        <v>0</v>
      </c>
      <c r="N1978">
        <v>0</v>
      </c>
      <c r="O1978">
        <v>0</v>
      </c>
      <c r="P1978">
        <v>0</v>
      </c>
      <c r="Q1978">
        <v>0</v>
      </c>
      <c r="R1978">
        <v>0</v>
      </c>
      <c r="S1978">
        <v>0</v>
      </c>
      <c r="T1978">
        <v>0</v>
      </c>
      <c r="U1978">
        <v>0</v>
      </c>
      <c r="V1978">
        <v>40</v>
      </c>
      <c r="W1978">
        <v>280</v>
      </c>
      <c r="X1978">
        <v>0</v>
      </c>
      <c r="Z1978">
        <v>0</v>
      </c>
      <c r="AA1978">
        <v>0</v>
      </c>
      <c r="AB1978">
        <v>0</v>
      </c>
      <c r="AC1978">
        <v>0</v>
      </c>
      <c r="AD1978" t="s">
        <v>3969</v>
      </c>
    </row>
    <row r="1979" spans="1:30" x14ac:dyDescent="0.25">
      <c r="H1979" t="s">
        <v>3970</v>
      </c>
    </row>
    <row r="1980" spans="1:30" x14ac:dyDescent="0.25">
      <c r="A1980">
        <v>987</v>
      </c>
      <c r="B1980">
        <v>998</v>
      </c>
      <c r="C1980" t="s">
        <v>3971</v>
      </c>
      <c r="D1980" t="s">
        <v>28</v>
      </c>
      <c r="E1980" t="s">
        <v>102</v>
      </c>
      <c r="F1980" t="s">
        <v>3972</v>
      </c>
      <c r="G1980" t="str">
        <f>"201406011957"</f>
        <v>201406011957</v>
      </c>
      <c r="H1980" t="s">
        <v>895</v>
      </c>
      <c r="I1980">
        <v>0</v>
      </c>
      <c r="J1980">
        <v>0</v>
      </c>
      <c r="K1980">
        <v>0</v>
      </c>
      <c r="L1980">
        <v>0</v>
      </c>
      <c r="M1980">
        <v>0</v>
      </c>
      <c r="N1980">
        <v>70</v>
      </c>
      <c r="O1980">
        <v>0</v>
      </c>
      <c r="P1980">
        <v>0</v>
      </c>
      <c r="Q1980">
        <v>0</v>
      </c>
      <c r="R1980">
        <v>0</v>
      </c>
      <c r="S1980">
        <v>0</v>
      </c>
      <c r="T1980">
        <v>0</v>
      </c>
      <c r="U1980">
        <v>0</v>
      </c>
      <c r="V1980">
        <v>23</v>
      </c>
      <c r="W1980">
        <v>161</v>
      </c>
      <c r="X1980">
        <v>0</v>
      </c>
      <c r="Z1980">
        <v>0</v>
      </c>
      <c r="AA1980">
        <v>0</v>
      </c>
      <c r="AB1980">
        <v>0</v>
      </c>
      <c r="AC1980">
        <v>0</v>
      </c>
      <c r="AD1980" t="s">
        <v>273</v>
      </c>
    </row>
    <row r="1981" spans="1:30" x14ac:dyDescent="0.25">
      <c r="H1981" t="s">
        <v>3973</v>
      </c>
    </row>
    <row r="1982" spans="1:30" x14ac:dyDescent="0.25">
      <c r="A1982">
        <v>988</v>
      </c>
      <c r="B1982">
        <v>1974</v>
      </c>
      <c r="C1982" t="s">
        <v>308</v>
      </c>
      <c r="D1982" t="s">
        <v>3632</v>
      </c>
      <c r="E1982" t="s">
        <v>167</v>
      </c>
      <c r="F1982" t="s">
        <v>3974</v>
      </c>
      <c r="G1982" t="str">
        <f>"201405001936"</f>
        <v>201405001936</v>
      </c>
      <c r="H1982" t="s">
        <v>427</v>
      </c>
      <c r="I1982">
        <v>0</v>
      </c>
      <c r="J1982">
        <v>0</v>
      </c>
      <c r="K1982">
        <v>0</v>
      </c>
      <c r="L1982">
        <v>200</v>
      </c>
      <c r="M1982">
        <v>0</v>
      </c>
      <c r="N1982">
        <v>70</v>
      </c>
      <c r="O1982">
        <v>0</v>
      </c>
      <c r="P1982">
        <v>0</v>
      </c>
      <c r="Q1982">
        <v>0</v>
      </c>
      <c r="R1982">
        <v>0</v>
      </c>
      <c r="S1982">
        <v>0</v>
      </c>
      <c r="T1982">
        <v>0</v>
      </c>
      <c r="U1982">
        <v>0</v>
      </c>
      <c r="V1982">
        <v>4</v>
      </c>
      <c r="W1982">
        <v>28</v>
      </c>
      <c r="X1982">
        <v>0</v>
      </c>
      <c r="Z1982">
        <v>0</v>
      </c>
      <c r="AA1982">
        <v>0</v>
      </c>
      <c r="AB1982">
        <v>0</v>
      </c>
      <c r="AC1982">
        <v>0</v>
      </c>
      <c r="AD1982" t="s">
        <v>3975</v>
      </c>
    </row>
    <row r="1983" spans="1:30" x14ac:dyDescent="0.25">
      <c r="H1983" t="s">
        <v>3976</v>
      </c>
    </row>
    <row r="1984" spans="1:30" x14ac:dyDescent="0.25">
      <c r="A1984">
        <v>989</v>
      </c>
      <c r="B1984">
        <v>2499</v>
      </c>
      <c r="C1984" t="s">
        <v>3977</v>
      </c>
      <c r="D1984" t="s">
        <v>180</v>
      </c>
      <c r="E1984" t="s">
        <v>28</v>
      </c>
      <c r="F1984" t="s">
        <v>3978</v>
      </c>
      <c r="G1984" t="str">
        <f>"00329343"</f>
        <v>00329343</v>
      </c>
      <c r="H1984" t="s">
        <v>1884</v>
      </c>
      <c r="I1984">
        <v>0</v>
      </c>
      <c r="J1984">
        <v>0</v>
      </c>
      <c r="K1984">
        <v>0</v>
      </c>
      <c r="L1984">
        <v>0</v>
      </c>
      <c r="M1984">
        <v>0</v>
      </c>
      <c r="N1984">
        <v>30</v>
      </c>
      <c r="O1984">
        <v>0</v>
      </c>
      <c r="P1984">
        <v>0</v>
      </c>
      <c r="Q1984">
        <v>0</v>
      </c>
      <c r="R1984">
        <v>0</v>
      </c>
      <c r="S1984">
        <v>0</v>
      </c>
      <c r="T1984">
        <v>0</v>
      </c>
      <c r="U1984">
        <v>0</v>
      </c>
      <c r="V1984">
        <v>33</v>
      </c>
      <c r="W1984">
        <v>231</v>
      </c>
      <c r="X1984">
        <v>0</v>
      </c>
      <c r="Z1984">
        <v>2</v>
      </c>
      <c r="AA1984">
        <v>0</v>
      </c>
      <c r="AB1984">
        <v>0</v>
      </c>
      <c r="AC1984">
        <v>0</v>
      </c>
      <c r="AD1984" t="s">
        <v>3979</v>
      </c>
    </row>
    <row r="1985" spans="1:30" x14ac:dyDescent="0.25">
      <c r="H1985" t="s">
        <v>3980</v>
      </c>
    </row>
    <row r="1986" spans="1:30" x14ac:dyDescent="0.25">
      <c r="A1986">
        <v>990</v>
      </c>
      <c r="B1986">
        <v>2916</v>
      </c>
      <c r="C1986" t="s">
        <v>3981</v>
      </c>
      <c r="D1986" t="s">
        <v>3982</v>
      </c>
      <c r="E1986" t="s">
        <v>700</v>
      </c>
      <c r="F1986" t="s">
        <v>3983</v>
      </c>
      <c r="G1986" t="str">
        <f>"00332849"</f>
        <v>00332849</v>
      </c>
      <c r="H1986" t="s">
        <v>3984</v>
      </c>
      <c r="I1986">
        <v>0</v>
      </c>
      <c r="J1986">
        <v>0</v>
      </c>
      <c r="K1986">
        <v>0</v>
      </c>
      <c r="L1986">
        <v>0</v>
      </c>
      <c r="M1986">
        <v>0</v>
      </c>
      <c r="N1986">
        <v>30</v>
      </c>
      <c r="O1986">
        <v>0</v>
      </c>
      <c r="P1986">
        <v>0</v>
      </c>
      <c r="Q1986">
        <v>0</v>
      </c>
      <c r="R1986">
        <v>0</v>
      </c>
      <c r="S1986">
        <v>0</v>
      </c>
      <c r="T1986">
        <v>0</v>
      </c>
      <c r="U1986">
        <v>0</v>
      </c>
      <c r="V1986">
        <v>13</v>
      </c>
      <c r="W1986">
        <v>91</v>
      </c>
      <c r="X1986">
        <v>0</v>
      </c>
      <c r="Z1986">
        <v>2</v>
      </c>
      <c r="AA1986">
        <v>0</v>
      </c>
      <c r="AB1986">
        <v>0</v>
      </c>
      <c r="AC1986">
        <v>0</v>
      </c>
      <c r="AD1986" t="s">
        <v>3985</v>
      </c>
    </row>
    <row r="1987" spans="1:30" x14ac:dyDescent="0.25">
      <c r="H1987" t="s">
        <v>3986</v>
      </c>
    </row>
    <row r="1988" spans="1:30" x14ac:dyDescent="0.25">
      <c r="A1988">
        <v>991</v>
      </c>
      <c r="B1988">
        <v>2833</v>
      </c>
      <c r="C1988" t="s">
        <v>3987</v>
      </c>
      <c r="D1988" t="s">
        <v>368</v>
      </c>
      <c r="E1988" t="s">
        <v>3988</v>
      </c>
      <c r="F1988" t="s">
        <v>3989</v>
      </c>
      <c r="G1988" t="str">
        <f>"00221957"</f>
        <v>00221957</v>
      </c>
      <c r="H1988">
        <v>671</v>
      </c>
      <c r="I1988">
        <v>0</v>
      </c>
      <c r="J1988">
        <v>0</v>
      </c>
      <c r="K1988">
        <v>0</v>
      </c>
      <c r="L1988">
        <v>0</v>
      </c>
      <c r="M1988">
        <v>0</v>
      </c>
      <c r="N1988">
        <v>30</v>
      </c>
      <c r="O1988">
        <v>0</v>
      </c>
      <c r="P1988">
        <v>0</v>
      </c>
      <c r="Q1988">
        <v>30</v>
      </c>
      <c r="R1988">
        <v>0</v>
      </c>
      <c r="S1988">
        <v>0</v>
      </c>
      <c r="T1988">
        <v>0</v>
      </c>
      <c r="U1988">
        <v>0</v>
      </c>
      <c r="V1988">
        <v>39</v>
      </c>
      <c r="W1988">
        <v>273</v>
      </c>
      <c r="X1988">
        <v>0</v>
      </c>
      <c r="Z1988">
        <v>0</v>
      </c>
      <c r="AA1988">
        <v>0</v>
      </c>
      <c r="AB1988">
        <v>0</v>
      </c>
      <c r="AC1988">
        <v>0</v>
      </c>
      <c r="AD1988">
        <v>1004</v>
      </c>
    </row>
    <row r="1989" spans="1:30" x14ac:dyDescent="0.25">
      <c r="H1989" t="s">
        <v>3990</v>
      </c>
    </row>
    <row r="1990" spans="1:30" x14ac:dyDescent="0.25">
      <c r="A1990">
        <v>992</v>
      </c>
      <c r="B1990">
        <v>2577</v>
      </c>
      <c r="C1990" t="s">
        <v>3991</v>
      </c>
      <c r="D1990" t="s">
        <v>283</v>
      </c>
      <c r="E1990" t="s">
        <v>107</v>
      </c>
      <c r="F1990" t="s">
        <v>3992</v>
      </c>
      <c r="G1990" t="str">
        <f>"00150763"</f>
        <v>00150763</v>
      </c>
      <c r="H1990">
        <v>682</v>
      </c>
      <c r="I1990">
        <v>0</v>
      </c>
      <c r="J1990">
        <v>0</v>
      </c>
      <c r="K1990">
        <v>0</v>
      </c>
      <c r="L1990">
        <v>0</v>
      </c>
      <c r="M1990">
        <v>0</v>
      </c>
      <c r="N1990">
        <v>70</v>
      </c>
      <c r="O1990">
        <v>30</v>
      </c>
      <c r="P1990">
        <v>0</v>
      </c>
      <c r="Q1990">
        <v>0</v>
      </c>
      <c r="R1990">
        <v>0</v>
      </c>
      <c r="S1990">
        <v>0</v>
      </c>
      <c r="T1990">
        <v>0</v>
      </c>
      <c r="U1990">
        <v>0</v>
      </c>
      <c r="V1990">
        <v>17</v>
      </c>
      <c r="W1990">
        <v>119</v>
      </c>
      <c r="X1990">
        <v>0</v>
      </c>
      <c r="Z1990">
        <v>0</v>
      </c>
      <c r="AA1990">
        <v>0</v>
      </c>
      <c r="AB1990">
        <v>6</v>
      </c>
      <c r="AC1990">
        <v>102</v>
      </c>
      <c r="AD1990">
        <v>1003</v>
      </c>
    </row>
    <row r="1991" spans="1:30" x14ac:dyDescent="0.25">
      <c r="H1991" t="s">
        <v>3993</v>
      </c>
    </row>
    <row r="1992" spans="1:30" x14ac:dyDescent="0.25">
      <c r="A1992">
        <v>993</v>
      </c>
      <c r="B1992">
        <v>1907</v>
      </c>
      <c r="C1992" t="s">
        <v>3994</v>
      </c>
      <c r="D1992" t="s">
        <v>3995</v>
      </c>
      <c r="E1992" t="s">
        <v>309</v>
      </c>
      <c r="F1992" t="s">
        <v>3996</v>
      </c>
      <c r="G1992" t="str">
        <f>"00237470"</f>
        <v>00237470</v>
      </c>
      <c r="H1992" t="s">
        <v>1080</v>
      </c>
      <c r="I1992">
        <v>0</v>
      </c>
      <c r="J1992">
        <v>0</v>
      </c>
      <c r="K1992">
        <v>0</v>
      </c>
      <c r="L1992">
        <v>0</v>
      </c>
      <c r="M1992">
        <v>0</v>
      </c>
      <c r="N1992">
        <v>30</v>
      </c>
      <c r="O1992">
        <v>0</v>
      </c>
      <c r="P1992">
        <v>0</v>
      </c>
      <c r="Q1992">
        <v>0</v>
      </c>
      <c r="R1992">
        <v>0</v>
      </c>
      <c r="S1992">
        <v>0</v>
      </c>
      <c r="T1992">
        <v>0</v>
      </c>
      <c r="U1992">
        <v>0</v>
      </c>
      <c r="V1992">
        <v>42</v>
      </c>
      <c r="W1992">
        <v>294</v>
      </c>
      <c r="X1992">
        <v>0</v>
      </c>
      <c r="Z1992">
        <v>0</v>
      </c>
      <c r="AA1992">
        <v>0</v>
      </c>
      <c r="AB1992">
        <v>0</v>
      </c>
      <c r="AC1992">
        <v>0</v>
      </c>
      <c r="AD1992" t="s">
        <v>3997</v>
      </c>
    </row>
    <row r="1993" spans="1:30" x14ac:dyDescent="0.25">
      <c r="H1993" t="s">
        <v>351</v>
      </c>
    </row>
    <row r="1994" spans="1:30" x14ac:dyDescent="0.25">
      <c r="A1994">
        <v>994</v>
      </c>
      <c r="B1994">
        <v>4084</v>
      </c>
      <c r="C1994" t="s">
        <v>3998</v>
      </c>
      <c r="D1994" t="s">
        <v>102</v>
      </c>
      <c r="E1994" t="s">
        <v>120</v>
      </c>
      <c r="F1994" t="s">
        <v>3999</v>
      </c>
      <c r="G1994" t="str">
        <f>"201402008325"</f>
        <v>201402008325</v>
      </c>
      <c r="H1994" t="s">
        <v>3398</v>
      </c>
      <c r="I1994">
        <v>0</v>
      </c>
      <c r="J1994">
        <v>0</v>
      </c>
      <c r="K1994">
        <v>0</v>
      </c>
      <c r="L1994">
        <v>0</v>
      </c>
      <c r="M1994">
        <v>0</v>
      </c>
      <c r="N1994">
        <v>30</v>
      </c>
      <c r="O1994">
        <v>0</v>
      </c>
      <c r="P1994">
        <v>0</v>
      </c>
      <c r="Q1994">
        <v>0</v>
      </c>
      <c r="R1994">
        <v>0</v>
      </c>
      <c r="S1994">
        <v>0</v>
      </c>
      <c r="T1994">
        <v>0</v>
      </c>
      <c r="U1994">
        <v>0</v>
      </c>
      <c r="V1994">
        <v>20</v>
      </c>
      <c r="W1994">
        <v>140</v>
      </c>
      <c r="X1994">
        <v>0</v>
      </c>
      <c r="Z1994">
        <v>0</v>
      </c>
      <c r="AA1994">
        <v>0</v>
      </c>
      <c r="AB1994">
        <v>0</v>
      </c>
      <c r="AC1994">
        <v>0</v>
      </c>
      <c r="AD1994" t="s">
        <v>4000</v>
      </c>
    </row>
    <row r="1995" spans="1:30" x14ac:dyDescent="0.25">
      <c r="H1995" t="s">
        <v>301</v>
      </c>
    </row>
    <row r="1996" spans="1:30" x14ac:dyDescent="0.25">
      <c r="A1996">
        <v>995</v>
      </c>
      <c r="B1996">
        <v>2306</v>
      </c>
      <c r="C1996" t="s">
        <v>4001</v>
      </c>
      <c r="D1996" t="s">
        <v>4002</v>
      </c>
      <c r="E1996" t="s">
        <v>167</v>
      </c>
      <c r="F1996" t="s">
        <v>4003</v>
      </c>
      <c r="G1996" t="str">
        <f>"201402002461"</f>
        <v>201402002461</v>
      </c>
      <c r="H1996" t="s">
        <v>3398</v>
      </c>
      <c r="I1996">
        <v>0</v>
      </c>
      <c r="J1996">
        <v>0</v>
      </c>
      <c r="K1996">
        <v>0</v>
      </c>
      <c r="L1996">
        <v>0</v>
      </c>
      <c r="M1996">
        <v>0</v>
      </c>
      <c r="N1996">
        <v>70</v>
      </c>
      <c r="O1996">
        <v>0</v>
      </c>
      <c r="P1996">
        <v>0</v>
      </c>
      <c r="Q1996">
        <v>0</v>
      </c>
      <c r="R1996">
        <v>0</v>
      </c>
      <c r="S1996">
        <v>0</v>
      </c>
      <c r="T1996">
        <v>0</v>
      </c>
      <c r="U1996">
        <v>0</v>
      </c>
      <c r="V1996">
        <v>14</v>
      </c>
      <c r="W1996">
        <v>98</v>
      </c>
      <c r="X1996">
        <v>0</v>
      </c>
      <c r="Z1996">
        <v>0</v>
      </c>
      <c r="AA1996">
        <v>0</v>
      </c>
      <c r="AB1996">
        <v>0</v>
      </c>
      <c r="AC1996">
        <v>0</v>
      </c>
      <c r="AD1996" t="s">
        <v>4004</v>
      </c>
    </row>
    <row r="1997" spans="1:30" x14ac:dyDescent="0.25">
      <c r="H1997" t="s">
        <v>4005</v>
      </c>
    </row>
    <row r="1998" spans="1:30" x14ac:dyDescent="0.25">
      <c r="A1998">
        <v>996</v>
      </c>
      <c r="B1998">
        <v>1934</v>
      </c>
      <c r="C1998" t="s">
        <v>4006</v>
      </c>
      <c r="D1998" t="s">
        <v>4007</v>
      </c>
      <c r="E1998" t="s">
        <v>167</v>
      </c>
      <c r="F1998" t="s">
        <v>4008</v>
      </c>
      <c r="G1998" t="str">
        <f>"00145133"</f>
        <v>00145133</v>
      </c>
      <c r="H1998" t="s">
        <v>1915</v>
      </c>
      <c r="I1998">
        <v>0</v>
      </c>
      <c r="J1998">
        <v>0</v>
      </c>
      <c r="K1998">
        <v>0</v>
      </c>
      <c r="L1998">
        <v>0</v>
      </c>
      <c r="M1998">
        <v>0</v>
      </c>
      <c r="N1998">
        <v>50</v>
      </c>
      <c r="O1998">
        <v>0</v>
      </c>
      <c r="P1998">
        <v>0</v>
      </c>
      <c r="Q1998">
        <v>30</v>
      </c>
      <c r="R1998">
        <v>0</v>
      </c>
      <c r="S1998">
        <v>0</v>
      </c>
      <c r="T1998">
        <v>0</v>
      </c>
      <c r="U1998">
        <v>0</v>
      </c>
      <c r="V1998">
        <v>6</v>
      </c>
      <c r="W1998">
        <v>42</v>
      </c>
      <c r="X1998">
        <v>0</v>
      </c>
      <c r="Z1998">
        <v>0</v>
      </c>
      <c r="AA1998">
        <v>0</v>
      </c>
      <c r="AB1998">
        <v>8</v>
      </c>
      <c r="AC1998">
        <v>136</v>
      </c>
      <c r="AD1998" t="s">
        <v>4009</v>
      </c>
    </row>
    <row r="1999" spans="1:30" x14ac:dyDescent="0.25">
      <c r="H1999" t="s">
        <v>4010</v>
      </c>
    </row>
    <row r="2000" spans="1:30" x14ac:dyDescent="0.25">
      <c r="A2000">
        <v>997</v>
      </c>
      <c r="B2000">
        <v>3808</v>
      </c>
      <c r="C2000" t="s">
        <v>4011</v>
      </c>
      <c r="D2000" t="s">
        <v>236</v>
      </c>
      <c r="E2000" t="s">
        <v>743</v>
      </c>
      <c r="F2000" t="s">
        <v>4012</v>
      </c>
      <c r="G2000" t="str">
        <f>"00049555"</f>
        <v>00049555</v>
      </c>
      <c r="H2000">
        <v>770</v>
      </c>
      <c r="I2000">
        <v>0</v>
      </c>
      <c r="J2000">
        <v>0</v>
      </c>
      <c r="K2000">
        <v>0</v>
      </c>
      <c r="L2000">
        <v>0</v>
      </c>
      <c r="M2000">
        <v>0</v>
      </c>
      <c r="N2000">
        <v>30</v>
      </c>
      <c r="O2000">
        <v>0</v>
      </c>
      <c r="P2000">
        <v>0</v>
      </c>
      <c r="Q2000">
        <v>0</v>
      </c>
      <c r="R2000">
        <v>0</v>
      </c>
      <c r="S2000">
        <v>0</v>
      </c>
      <c r="T2000">
        <v>0</v>
      </c>
      <c r="U2000">
        <v>0</v>
      </c>
      <c r="V2000">
        <v>28</v>
      </c>
      <c r="W2000">
        <v>196</v>
      </c>
      <c r="X2000">
        <v>0</v>
      </c>
      <c r="Z2000">
        <v>0</v>
      </c>
      <c r="AA2000">
        <v>0</v>
      </c>
      <c r="AB2000">
        <v>0</v>
      </c>
      <c r="AC2000">
        <v>0</v>
      </c>
      <c r="AD2000">
        <v>996</v>
      </c>
    </row>
    <row r="2001" spans="1:30" x14ac:dyDescent="0.25">
      <c r="H2001" t="s">
        <v>4013</v>
      </c>
    </row>
    <row r="2002" spans="1:30" x14ac:dyDescent="0.25">
      <c r="A2002">
        <v>998</v>
      </c>
      <c r="B2002">
        <v>1228</v>
      </c>
      <c r="C2002" t="s">
        <v>4014</v>
      </c>
      <c r="D2002" t="s">
        <v>70</v>
      </c>
      <c r="E2002" t="s">
        <v>102</v>
      </c>
      <c r="F2002" t="s">
        <v>4015</v>
      </c>
      <c r="G2002" t="str">
        <f>"201406001121"</f>
        <v>201406001121</v>
      </c>
      <c r="H2002">
        <v>770</v>
      </c>
      <c r="I2002">
        <v>0</v>
      </c>
      <c r="J2002">
        <v>0</v>
      </c>
      <c r="K2002">
        <v>0</v>
      </c>
      <c r="L2002">
        <v>0</v>
      </c>
      <c r="M2002">
        <v>0</v>
      </c>
      <c r="N2002">
        <v>50</v>
      </c>
      <c r="O2002">
        <v>0</v>
      </c>
      <c r="P2002">
        <v>50</v>
      </c>
      <c r="Q2002">
        <v>0</v>
      </c>
      <c r="R2002">
        <v>0</v>
      </c>
      <c r="S2002">
        <v>0</v>
      </c>
      <c r="T2002">
        <v>0</v>
      </c>
      <c r="U2002">
        <v>0</v>
      </c>
      <c r="V2002">
        <v>18</v>
      </c>
      <c r="W2002">
        <v>126</v>
      </c>
      <c r="X2002">
        <v>0</v>
      </c>
      <c r="Z2002">
        <v>0</v>
      </c>
      <c r="AA2002">
        <v>0</v>
      </c>
      <c r="AB2002">
        <v>0</v>
      </c>
      <c r="AC2002">
        <v>0</v>
      </c>
      <c r="AD2002">
        <v>996</v>
      </c>
    </row>
    <row r="2003" spans="1:30" x14ac:dyDescent="0.25">
      <c r="H2003" t="s">
        <v>4016</v>
      </c>
    </row>
    <row r="2004" spans="1:30" x14ac:dyDescent="0.25">
      <c r="A2004">
        <v>999</v>
      </c>
      <c r="B2004">
        <v>4628</v>
      </c>
      <c r="C2004" t="s">
        <v>4017</v>
      </c>
      <c r="D2004" t="s">
        <v>4018</v>
      </c>
      <c r="E2004" t="s">
        <v>102</v>
      </c>
      <c r="F2004" t="s">
        <v>4019</v>
      </c>
      <c r="G2004" t="str">
        <f>"00264107"</f>
        <v>00264107</v>
      </c>
      <c r="H2004">
        <v>660</v>
      </c>
      <c r="I2004">
        <v>0</v>
      </c>
      <c r="J2004">
        <v>0</v>
      </c>
      <c r="K2004">
        <v>0</v>
      </c>
      <c r="L2004">
        <v>0</v>
      </c>
      <c r="M2004">
        <v>0</v>
      </c>
      <c r="N2004">
        <v>30</v>
      </c>
      <c r="O2004">
        <v>0</v>
      </c>
      <c r="P2004">
        <v>0</v>
      </c>
      <c r="Q2004">
        <v>0</v>
      </c>
      <c r="R2004">
        <v>0</v>
      </c>
      <c r="S2004">
        <v>0</v>
      </c>
      <c r="T2004">
        <v>0</v>
      </c>
      <c r="U2004">
        <v>0</v>
      </c>
      <c r="V2004">
        <v>0</v>
      </c>
      <c r="W2004">
        <v>0</v>
      </c>
      <c r="X2004">
        <v>0</v>
      </c>
      <c r="Z2004">
        <v>0</v>
      </c>
      <c r="AA2004">
        <v>0</v>
      </c>
      <c r="AB2004">
        <v>18</v>
      </c>
      <c r="AC2004">
        <v>306</v>
      </c>
      <c r="AD2004">
        <v>996</v>
      </c>
    </row>
    <row r="2005" spans="1:30" x14ac:dyDescent="0.25">
      <c r="H2005" t="s">
        <v>4020</v>
      </c>
    </row>
    <row r="2006" spans="1:30" x14ac:dyDescent="0.25">
      <c r="A2006">
        <v>1000</v>
      </c>
      <c r="B2006">
        <v>4490</v>
      </c>
      <c r="C2006" t="s">
        <v>4021</v>
      </c>
      <c r="D2006" t="s">
        <v>2582</v>
      </c>
      <c r="E2006" t="s">
        <v>32</v>
      </c>
      <c r="F2006" t="s">
        <v>4022</v>
      </c>
      <c r="G2006" t="str">
        <f>"00362409"</f>
        <v>00362409</v>
      </c>
      <c r="H2006" t="s">
        <v>900</v>
      </c>
      <c r="I2006">
        <v>0</v>
      </c>
      <c r="J2006">
        <v>0</v>
      </c>
      <c r="K2006">
        <v>0</v>
      </c>
      <c r="L2006">
        <v>0</v>
      </c>
      <c r="M2006">
        <v>0</v>
      </c>
      <c r="N2006">
        <v>30</v>
      </c>
      <c r="O2006">
        <v>0</v>
      </c>
      <c r="P2006">
        <v>0</v>
      </c>
      <c r="Q2006">
        <v>0</v>
      </c>
      <c r="R2006">
        <v>0</v>
      </c>
      <c r="S2006">
        <v>0</v>
      </c>
      <c r="T2006">
        <v>0</v>
      </c>
      <c r="U2006">
        <v>0</v>
      </c>
      <c r="V2006">
        <v>38</v>
      </c>
      <c r="W2006">
        <v>266</v>
      </c>
      <c r="X2006">
        <v>0</v>
      </c>
      <c r="Z2006">
        <v>0</v>
      </c>
      <c r="AA2006">
        <v>0</v>
      </c>
      <c r="AB2006">
        <v>0</v>
      </c>
      <c r="AC2006">
        <v>0</v>
      </c>
      <c r="AD2006" t="s">
        <v>4023</v>
      </c>
    </row>
    <row r="2007" spans="1:30" x14ac:dyDescent="0.25">
      <c r="H2007" t="s">
        <v>4024</v>
      </c>
    </row>
    <row r="2008" spans="1:30" x14ac:dyDescent="0.25">
      <c r="A2008">
        <v>1001</v>
      </c>
      <c r="B2008">
        <v>5985</v>
      </c>
      <c r="C2008" t="s">
        <v>4025</v>
      </c>
      <c r="D2008" t="s">
        <v>367</v>
      </c>
      <c r="E2008" t="s">
        <v>102</v>
      </c>
      <c r="F2008" t="s">
        <v>4026</v>
      </c>
      <c r="G2008" t="str">
        <f>"00369201"</f>
        <v>00369201</v>
      </c>
      <c r="H2008" t="s">
        <v>568</v>
      </c>
      <c r="I2008">
        <v>0</v>
      </c>
      <c r="J2008">
        <v>0</v>
      </c>
      <c r="K2008">
        <v>0</v>
      </c>
      <c r="L2008">
        <v>0</v>
      </c>
      <c r="M2008">
        <v>0</v>
      </c>
      <c r="N2008">
        <v>0</v>
      </c>
      <c r="O2008">
        <v>0</v>
      </c>
      <c r="P2008">
        <v>0</v>
      </c>
      <c r="Q2008">
        <v>0</v>
      </c>
      <c r="R2008">
        <v>0</v>
      </c>
      <c r="S2008">
        <v>0</v>
      </c>
      <c r="T2008">
        <v>0</v>
      </c>
      <c r="U2008">
        <v>0</v>
      </c>
      <c r="V2008">
        <v>8</v>
      </c>
      <c r="W2008">
        <v>56</v>
      </c>
      <c r="X2008">
        <v>0</v>
      </c>
      <c r="Z2008">
        <v>0</v>
      </c>
      <c r="AA2008">
        <v>0</v>
      </c>
      <c r="AB2008">
        <v>0</v>
      </c>
      <c r="AC2008">
        <v>0</v>
      </c>
      <c r="AD2008" t="s">
        <v>4027</v>
      </c>
    </row>
    <row r="2009" spans="1:30" x14ac:dyDescent="0.25">
      <c r="H2009" t="s">
        <v>4028</v>
      </c>
    </row>
    <row r="2010" spans="1:30" x14ac:dyDescent="0.25">
      <c r="A2010">
        <v>1002</v>
      </c>
      <c r="B2010">
        <v>5281</v>
      </c>
      <c r="C2010" t="s">
        <v>4029</v>
      </c>
      <c r="D2010" t="s">
        <v>2034</v>
      </c>
      <c r="E2010" t="s">
        <v>28</v>
      </c>
      <c r="F2010" t="s">
        <v>4030</v>
      </c>
      <c r="G2010" t="str">
        <f>"200810000132"</f>
        <v>200810000132</v>
      </c>
      <c r="H2010">
        <v>627</v>
      </c>
      <c r="I2010">
        <v>0</v>
      </c>
      <c r="J2010">
        <v>0</v>
      </c>
      <c r="K2010">
        <v>0</v>
      </c>
      <c r="L2010">
        <v>0</v>
      </c>
      <c r="M2010">
        <v>0</v>
      </c>
      <c r="N2010">
        <v>30</v>
      </c>
      <c r="O2010">
        <v>0</v>
      </c>
      <c r="P2010">
        <v>0</v>
      </c>
      <c r="Q2010">
        <v>0</v>
      </c>
      <c r="R2010">
        <v>0</v>
      </c>
      <c r="S2010">
        <v>0</v>
      </c>
      <c r="T2010">
        <v>0</v>
      </c>
      <c r="U2010">
        <v>0</v>
      </c>
      <c r="V2010">
        <v>48</v>
      </c>
      <c r="W2010">
        <v>336</v>
      </c>
      <c r="X2010">
        <v>0</v>
      </c>
      <c r="Z2010">
        <v>0</v>
      </c>
      <c r="AA2010">
        <v>0</v>
      </c>
      <c r="AB2010">
        <v>0</v>
      </c>
      <c r="AC2010">
        <v>0</v>
      </c>
      <c r="AD2010">
        <v>993</v>
      </c>
    </row>
    <row r="2011" spans="1:30" x14ac:dyDescent="0.25">
      <c r="H2011" t="s">
        <v>4031</v>
      </c>
    </row>
    <row r="2012" spans="1:30" x14ac:dyDescent="0.25">
      <c r="A2012">
        <v>1003</v>
      </c>
      <c r="B2012">
        <v>5762</v>
      </c>
      <c r="C2012" t="s">
        <v>4032</v>
      </c>
      <c r="D2012" t="s">
        <v>64</v>
      </c>
      <c r="E2012" t="s">
        <v>102</v>
      </c>
      <c r="F2012" t="s">
        <v>4033</v>
      </c>
      <c r="G2012" t="str">
        <f>"201212000054"</f>
        <v>201212000054</v>
      </c>
      <c r="H2012" t="s">
        <v>215</v>
      </c>
      <c r="I2012">
        <v>0</v>
      </c>
      <c r="J2012">
        <v>0</v>
      </c>
      <c r="K2012">
        <v>0</v>
      </c>
      <c r="L2012">
        <v>0</v>
      </c>
      <c r="M2012">
        <v>0</v>
      </c>
      <c r="N2012">
        <v>70</v>
      </c>
      <c r="O2012">
        <v>0</v>
      </c>
      <c r="P2012">
        <v>0</v>
      </c>
      <c r="Q2012">
        <v>0</v>
      </c>
      <c r="R2012">
        <v>0</v>
      </c>
      <c r="S2012">
        <v>0</v>
      </c>
      <c r="T2012">
        <v>0</v>
      </c>
      <c r="U2012">
        <v>0</v>
      </c>
      <c r="V2012">
        <v>27</v>
      </c>
      <c r="W2012">
        <v>189</v>
      </c>
      <c r="X2012">
        <v>0</v>
      </c>
      <c r="Z2012">
        <v>0</v>
      </c>
      <c r="AA2012">
        <v>0</v>
      </c>
      <c r="AB2012">
        <v>0</v>
      </c>
      <c r="AC2012">
        <v>0</v>
      </c>
      <c r="AD2012" t="s">
        <v>4034</v>
      </c>
    </row>
    <row r="2013" spans="1:30" x14ac:dyDescent="0.25">
      <c r="H2013" t="s">
        <v>4035</v>
      </c>
    </row>
    <row r="2014" spans="1:30" x14ac:dyDescent="0.25">
      <c r="A2014">
        <v>1004</v>
      </c>
      <c r="B2014">
        <v>3718</v>
      </c>
      <c r="C2014" t="s">
        <v>4036</v>
      </c>
      <c r="D2014" t="s">
        <v>120</v>
      </c>
      <c r="E2014" t="s">
        <v>859</v>
      </c>
      <c r="F2014" t="s">
        <v>4037</v>
      </c>
      <c r="G2014" t="str">
        <f>"201406012589"</f>
        <v>201406012589</v>
      </c>
      <c r="H2014" t="s">
        <v>1100</v>
      </c>
      <c r="I2014">
        <v>0</v>
      </c>
      <c r="J2014">
        <v>0</v>
      </c>
      <c r="K2014">
        <v>0</v>
      </c>
      <c r="L2014">
        <v>0</v>
      </c>
      <c r="M2014">
        <v>0</v>
      </c>
      <c r="N2014">
        <v>70</v>
      </c>
      <c r="O2014">
        <v>0</v>
      </c>
      <c r="P2014">
        <v>0</v>
      </c>
      <c r="Q2014">
        <v>0</v>
      </c>
      <c r="R2014">
        <v>0</v>
      </c>
      <c r="S2014">
        <v>0</v>
      </c>
      <c r="T2014">
        <v>0</v>
      </c>
      <c r="U2014">
        <v>0</v>
      </c>
      <c r="V2014">
        <v>29</v>
      </c>
      <c r="W2014">
        <v>203</v>
      </c>
      <c r="X2014">
        <v>0</v>
      </c>
      <c r="Z2014">
        <v>0</v>
      </c>
      <c r="AA2014">
        <v>0</v>
      </c>
      <c r="AB2014">
        <v>0</v>
      </c>
      <c r="AC2014">
        <v>0</v>
      </c>
      <c r="AD2014" t="s">
        <v>4038</v>
      </c>
    </row>
    <row r="2015" spans="1:30" x14ac:dyDescent="0.25">
      <c r="H2015" t="s">
        <v>4039</v>
      </c>
    </row>
    <row r="2016" spans="1:30" x14ac:dyDescent="0.25">
      <c r="A2016">
        <v>1005</v>
      </c>
      <c r="B2016">
        <v>1768</v>
      </c>
      <c r="C2016" t="s">
        <v>4040</v>
      </c>
      <c r="D2016" t="s">
        <v>309</v>
      </c>
      <c r="E2016" t="s">
        <v>120</v>
      </c>
      <c r="F2016" t="s">
        <v>4041</v>
      </c>
      <c r="G2016" t="str">
        <f>"201511027356"</f>
        <v>201511027356</v>
      </c>
      <c r="H2016" t="s">
        <v>652</v>
      </c>
      <c r="I2016">
        <v>0</v>
      </c>
      <c r="J2016">
        <v>0</v>
      </c>
      <c r="K2016">
        <v>0</v>
      </c>
      <c r="L2016">
        <v>0</v>
      </c>
      <c r="M2016">
        <v>0</v>
      </c>
      <c r="N2016">
        <v>30</v>
      </c>
      <c r="O2016">
        <v>0</v>
      </c>
      <c r="P2016">
        <v>0</v>
      </c>
      <c r="Q2016">
        <v>0</v>
      </c>
      <c r="R2016">
        <v>0</v>
      </c>
      <c r="S2016">
        <v>0</v>
      </c>
      <c r="T2016">
        <v>0</v>
      </c>
      <c r="U2016">
        <v>0</v>
      </c>
      <c r="V2016">
        <v>35</v>
      </c>
      <c r="W2016">
        <v>245</v>
      </c>
      <c r="X2016">
        <v>0</v>
      </c>
      <c r="Z2016">
        <v>2</v>
      </c>
      <c r="AA2016">
        <v>0</v>
      </c>
      <c r="AB2016">
        <v>0</v>
      </c>
      <c r="AC2016">
        <v>0</v>
      </c>
      <c r="AD2016" t="s">
        <v>4042</v>
      </c>
    </row>
    <row r="2017" spans="1:30" x14ac:dyDescent="0.25">
      <c r="H2017" t="s">
        <v>4043</v>
      </c>
    </row>
    <row r="2018" spans="1:30" x14ac:dyDescent="0.25">
      <c r="A2018">
        <v>1006</v>
      </c>
      <c r="B2018">
        <v>994</v>
      </c>
      <c r="C2018" t="s">
        <v>62</v>
      </c>
      <c r="D2018" t="s">
        <v>185</v>
      </c>
      <c r="E2018" t="s">
        <v>28</v>
      </c>
      <c r="F2018" t="s">
        <v>4044</v>
      </c>
      <c r="G2018" t="str">
        <f>"00189714"</f>
        <v>00189714</v>
      </c>
      <c r="H2018" t="s">
        <v>652</v>
      </c>
      <c r="I2018">
        <v>0</v>
      </c>
      <c r="J2018">
        <v>0</v>
      </c>
      <c r="K2018">
        <v>0</v>
      </c>
      <c r="L2018">
        <v>0</v>
      </c>
      <c r="M2018">
        <v>0</v>
      </c>
      <c r="N2018">
        <v>30</v>
      </c>
      <c r="O2018">
        <v>0</v>
      </c>
      <c r="P2018">
        <v>0</v>
      </c>
      <c r="Q2018">
        <v>0</v>
      </c>
      <c r="R2018">
        <v>0</v>
      </c>
      <c r="S2018">
        <v>0</v>
      </c>
      <c r="T2018">
        <v>0</v>
      </c>
      <c r="U2018">
        <v>0</v>
      </c>
      <c r="V2018">
        <v>35</v>
      </c>
      <c r="W2018">
        <v>245</v>
      </c>
      <c r="X2018">
        <v>0</v>
      </c>
      <c r="Z2018">
        <v>0</v>
      </c>
      <c r="AA2018">
        <v>0</v>
      </c>
      <c r="AB2018">
        <v>0</v>
      </c>
      <c r="AC2018">
        <v>0</v>
      </c>
      <c r="AD2018" t="s">
        <v>4042</v>
      </c>
    </row>
    <row r="2019" spans="1:30" x14ac:dyDescent="0.25">
      <c r="H2019" t="s">
        <v>4045</v>
      </c>
    </row>
    <row r="2020" spans="1:30" x14ac:dyDescent="0.25">
      <c r="A2020">
        <v>1007</v>
      </c>
      <c r="B2020">
        <v>5517</v>
      </c>
      <c r="C2020" t="s">
        <v>1396</v>
      </c>
      <c r="D2020" t="s">
        <v>1699</v>
      </c>
      <c r="E2020" t="s">
        <v>2525</v>
      </c>
      <c r="F2020" t="s">
        <v>4046</v>
      </c>
      <c r="G2020" t="str">
        <f>"201511030362"</f>
        <v>201511030362</v>
      </c>
      <c r="H2020" t="s">
        <v>1281</v>
      </c>
      <c r="I2020">
        <v>0</v>
      </c>
      <c r="J2020">
        <v>0</v>
      </c>
      <c r="K2020">
        <v>0</v>
      </c>
      <c r="L2020">
        <v>0</v>
      </c>
      <c r="M2020">
        <v>0</v>
      </c>
      <c r="N2020">
        <v>30</v>
      </c>
      <c r="O2020">
        <v>0</v>
      </c>
      <c r="P2020">
        <v>30</v>
      </c>
      <c r="Q2020">
        <v>0</v>
      </c>
      <c r="R2020">
        <v>0</v>
      </c>
      <c r="S2020">
        <v>0</v>
      </c>
      <c r="T2020">
        <v>0</v>
      </c>
      <c r="U2020">
        <v>0</v>
      </c>
      <c r="V2020">
        <v>24</v>
      </c>
      <c r="W2020">
        <v>168</v>
      </c>
      <c r="X2020">
        <v>0</v>
      </c>
      <c r="Z2020">
        <v>0</v>
      </c>
      <c r="AA2020">
        <v>0</v>
      </c>
      <c r="AB2020">
        <v>0</v>
      </c>
      <c r="AC2020">
        <v>0</v>
      </c>
      <c r="AD2020" t="s">
        <v>4047</v>
      </c>
    </row>
    <row r="2021" spans="1:30" x14ac:dyDescent="0.25">
      <c r="H2021" t="s">
        <v>301</v>
      </c>
    </row>
    <row r="2022" spans="1:30" x14ac:dyDescent="0.25">
      <c r="A2022">
        <v>1008</v>
      </c>
      <c r="B2022">
        <v>2092</v>
      </c>
      <c r="C2022" t="s">
        <v>2743</v>
      </c>
      <c r="D2022" t="s">
        <v>49</v>
      </c>
      <c r="E2022" t="s">
        <v>254</v>
      </c>
      <c r="F2022" t="s">
        <v>4048</v>
      </c>
      <c r="G2022" t="str">
        <f>"00319985"</f>
        <v>00319985</v>
      </c>
      <c r="H2022" t="s">
        <v>739</v>
      </c>
      <c r="I2022">
        <v>0</v>
      </c>
      <c r="J2022">
        <v>0</v>
      </c>
      <c r="K2022">
        <v>0</v>
      </c>
      <c r="L2022">
        <v>200</v>
      </c>
      <c r="M2022">
        <v>0</v>
      </c>
      <c r="N2022">
        <v>30</v>
      </c>
      <c r="O2022">
        <v>0</v>
      </c>
      <c r="P2022">
        <v>0</v>
      </c>
      <c r="Q2022">
        <v>0</v>
      </c>
      <c r="R2022">
        <v>0</v>
      </c>
      <c r="S2022">
        <v>0</v>
      </c>
      <c r="T2022">
        <v>0</v>
      </c>
      <c r="U2022">
        <v>0</v>
      </c>
      <c r="V2022">
        <v>2</v>
      </c>
      <c r="W2022">
        <v>14</v>
      </c>
      <c r="X2022">
        <v>0</v>
      </c>
      <c r="Z2022">
        <v>0</v>
      </c>
      <c r="AA2022">
        <v>0</v>
      </c>
      <c r="AB2022">
        <v>0</v>
      </c>
      <c r="AC2022">
        <v>0</v>
      </c>
      <c r="AD2022" t="s">
        <v>4049</v>
      </c>
    </row>
    <row r="2023" spans="1:30" x14ac:dyDescent="0.25">
      <c r="H2023" t="s">
        <v>4050</v>
      </c>
    </row>
    <row r="2024" spans="1:30" x14ac:dyDescent="0.25">
      <c r="A2024">
        <v>1009</v>
      </c>
      <c r="B2024">
        <v>3716</v>
      </c>
      <c r="C2024" t="s">
        <v>4051</v>
      </c>
      <c r="D2024" t="s">
        <v>76</v>
      </c>
      <c r="E2024" t="s">
        <v>49</v>
      </c>
      <c r="F2024" t="s">
        <v>4052</v>
      </c>
      <c r="G2024" t="str">
        <f>"201511018146"</f>
        <v>201511018146</v>
      </c>
      <c r="H2024" t="s">
        <v>4053</v>
      </c>
      <c r="I2024">
        <v>0</v>
      </c>
      <c r="J2024">
        <v>0</v>
      </c>
      <c r="K2024">
        <v>0</v>
      </c>
      <c r="L2024">
        <v>0</v>
      </c>
      <c r="M2024">
        <v>0</v>
      </c>
      <c r="N2024">
        <v>0</v>
      </c>
      <c r="O2024">
        <v>0</v>
      </c>
      <c r="P2024">
        <v>30</v>
      </c>
      <c r="Q2024">
        <v>0</v>
      </c>
      <c r="R2024">
        <v>0</v>
      </c>
      <c r="S2024">
        <v>0</v>
      </c>
      <c r="T2024">
        <v>0</v>
      </c>
      <c r="U2024">
        <v>0</v>
      </c>
      <c r="V2024">
        <v>48</v>
      </c>
      <c r="W2024">
        <v>336</v>
      </c>
      <c r="X2024">
        <v>0</v>
      </c>
      <c r="Z2024">
        <v>0</v>
      </c>
      <c r="AA2024">
        <v>0</v>
      </c>
      <c r="AB2024">
        <v>0</v>
      </c>
      <c r="AC2024">
        <v>0</v>
      </c>
      <c r="AD2024" t="s">
        <v>4054</v>
      </c>
    </row>
    <row r="2025" spans="1:30" x14ac:dyDescent="0.25">
      <c r="H2025" t="s">
        <v>4055</v>
      </c>
    </row>
    <row r="2026" spans="1:30" x14ac:dyDescent="0.25">
      <c r="A2026">
        <v>1010</v>
      </c>
      <c r="B2026">
        <v>2181</v>
      </c>
      <c r="C2026" t="s">
        <v>4056</v>
      </c>
      <c r="D2026" t="s">
        <v>525</v>
      </c>
      <c r="E2026" t="s">
        <v>28</v>
      </c>
      <c r="F2026" t="s">
        <v>4057</v>
      </c>
      <c r="G2026" t="str">
        <f>"00266029"</f>
        <v>00266029</v>
      </c>
      <c r="H2026" t="s">
        <v>1628</v>
      </c>
      <c r="I2026">
        <v>150</v>
      </c>
      <c r="J2026">
        <v>0</v>
      </c>
      <c r="K2026">
        <v>0</v>
      </c>
      <c r="L2026">
        <v>0</v>
      </c>
      <c r="M2026">
        <v>0</v>
      </c>
      <c r="N2026">
        <v>30</v>
      </c>
      <c r="O2026">
        <v>0</v>
      </c>
      <c r="P2026">
        <v>0</v>
      </c>
      <c r="Q2026">
        <v>0</v>
      </c>
      <c r="R2026">
        <v>0</v>
      </c>
      <c r="S2026">
        <v>0</v>
      </c>
      <c r="T2026">
        <v>0</v>
      </c>
      <c r="U2026">
        <v>0</v>
      </c>
      <c r="V2026">
        <v>0</v>
      </c>
      <c r="W2026">
        <v>0</v>
      </c>
      <c r="X2026">
        <v>0</v>
      </c>
      <c r="Z2026">
        <v>0</v>
      </c>
      <c r="AA2026">
        <v>0</v>
      </c>
      <c r="AB2026">
        <v>0</v>
      </c>
      <c r="AC2026">
        <v>0</v>
      </c>
      <c r="AD2026" t="s">
        <v>4058</v>
      </c>
    </row>
    <row r="2027" spans="1:30" x14ac:dyDescent="0.25">
      <c r="H2027" t="s">
        <v>4059</v>
      </c>
    </row>
    <row r="2028" spans="1:30" x14ac:dyDescent="0.25">
      <c r="A2028">
        <v>1011</v>
      </c>
      <c r="B2028">
        <v>820</v>
      </c>
      <c r="C2028" t="s">
        <v>4060</v>
      </c>
      <c r="D2028" t="s">
        <v>107</v>
      </c>
      <c r="E2028" t="s">
        <v>32</v>
      </c>
      <c r="F2028" t="s">
        <v>4061</v>
      </c>
      <c r="G2028" t="str">
        <f>"00249077"</f>
        <v>00249077</v>
      </c>
      <c r="H2028" t="s">
        <v>882</v>
      </c>
      <c r="I2028">
        <v>0</v>
      </c>
      <c r="J2028">
        <v>0</v>
      </c>
      <c r="K2028">
        <v>0</v>
      </c>
      <c r="L2028">
        <v>0</v>
      </c>
      <c r="M2028">
        <v>0</v>
      </c>
      <c r="N2028">
        <v>0</v>
      </c>
      <c r="O2028">
        <v>0</v>
      </c>
      <c r="P2028">
        <v>0</v>
      </c>
      <c r="Q2028">
        <v>0</v>
      </c>
      <c r="R2028">
        <v>0</v>
      </c>
      <c r="S2028">
        <v>0</v>
      </c>
      <c r="T2028">
        <v>0</v>
      </c>
      <c r="U2028">
        <v>0</v>
      </c>
      <c r="V2028">
        <v>30</v>
      </c>
      <c r="W2028">
        <v>210</v>
      </c>
      <c r="X2028">
        <v>0</v>
      </c>
      <c r="Z2028">
        <v>0</v>
      </c>
      <c r="AA2028">
        <v>0</v>
      </c>
      <c r="AB2028">
        <v>0</v>
      </c>
      <c r="AC2028">
        <v>0</v>
      </c>
      <c r="AD2028" t="s">
        <v>4062</v>
      </c>
    </row>
    <row r="2029" spans="1:30" x14ac:dyDescent="0.25">
      <c r="H2029" t="s">
        <v>4063</v>
      </c>
    </row>
    <row r="2030" spans="1:30" x14ac:dyDescent="0.25">
      <c r="A2030">
        <v>1012</v>
      </c>
      <c r="B2030">
        <v>4505</v>
      </c>
      <c r="C2030" t="s">
        <v>4064</v>
      </c>
      <c r="D2030" t="s">
        <v>83</v>
      </c>
      <c r="E2030" t="s">
        <v>4065</v>
      </c>
      <c r="F2030" t="s">
        <v>4066</v>
      </c>
      <c r="G2030" t="str">
        <f>"201511035736"</f>
        <v>201511035736</v>
      </c>
      <c r="H2030" t="s">
        <v>913</v>
      </c>
      <c r="I2030">
        <v>150</v>
      </c>
      <c r="J2030">
        <v>0</v>
      </c>
      <c r="K2030">
        <v>0</v>
      </c>
      <c r="L2030">
        <v>0</v>
      </c>
      <c r="M2030">
        <v>0</v>
      </c>
      <c r="N2030">
        <v>30</v>
      </c>
      <c r="O2030">
        <v>0</v>
      </c>
      <c r="P2030">
        <v>0</v>
      </c>
      <c r="Q2030">
        <v>0</v>
      </c>
      <c r="R2030">
        <v>0</v>
      </c>
      <c r="S2030">
        <v>0</v>
      </c>
      <c r="T2030">
        <v>0</v>
      </c>
      <c r="U2030">
        <v>0</v>
      </c>
      <c r="V2030">
        <v>19</v>
      </c>
      <c r="W2030">
        <v>133</v>
      </c>
      <c r="X2030">
        <v>0</v>
      </c>
      <c r="Z2030">
        <v>0</v>
      </c>
      <c r="AA2030">
        <v>0</v>
      </c>
      <c r="AB2030">
        <v>0</v>
      </c>
      <c r="AC2030">
        <v>0</v>
      </c>
      <c r="AD2030" t="s">
        <v>4067</v>
      </c>
    </row>
    <row r="2031" spans="1:30" x14ac:dyDescent="0.25">
      <c r="H2031" t="s">
        <v>4068</v>
      </c>
    </row>
    <row r="2032" spans="1:30" x14ac:dyDescent="0.25">
      <c r="A2032">
        <v>1013</v>
      </c>
      <c r="B2032">
        <v>4102</v>
      </c>
      <c r="C2032" t="s">
        <v>4069</v>
      </c>
      <c r="D2032" t="s">
        <v>218</v>
      </c>
      <c r="E2032" t="s">
        <v>28</v>
      </c>
      <c r="F2032" t="s">
        <v>4070</v>
      </c>
      <c r="G2032" t="str">
        <f>"201410007342"</f>
        <v>201410007342</v>
      </c>
      <c r="H2032">
        <v>836</v>
      </c>
      <c r="I2032">
        <v>150</v>
      </c>
      <c r="J2032">
        <v>0</v>
      </c>
      <c r="K2032">
        <v>0</v>
      </c>
      <c r="L2032">
        <v>0</v>
      </c>
      <c r="M2032">
        <v>0</v>
      </c>
      <c r="N2032">
        <v>0</v>
      </c>
      <c r="O2032">
        <v>0</v>
      </c>
      <c r="P2032">
        <v>0</v>
      </c>
      <c r="Q2032">
        <v>0</v>
      </c>
      <c r="R2032">
        <v>0</v>
      </c>
      <c r="S2032">
        <v>0</v>
      </c>
      <c r="T2032">
        <v>0</v>
      </c>
      <c r="U2032">
        <v>0</v>
      </c>
      <c r="V2032">
        <v>0</v>
      </c>
      <c r="W2032">
        <v>0</v>
      </c>
      <c r="X2032">
        <v>0</v>
      </c>
      <c r="Z2032">
        <v>0</v>
      </c>
      <c r="AA2032">
        <v>0</v>
      </c>
      <c r="AB2032">
        <v>0</v>
      </c>
      <c r="AC2032">
        <v>0</v>
      </c>
      <c r="AD2032">
        <v>986</v>
      </c>
    </row>
    <row r="2033" spans="1:30" x14ac:dyDescent="0.25">
      <c r="H2033" t="s">
        <v>4071</v>
      </c>
    </row>
    <row r="2034" spans="1:30" x14ac:dyDescent="0.25">
      <c r="A2034">
        <v>1014</v>
      </c>
      <c r="B2034">
        <v>5303</v>
      </c>
      <c r="C2034" t="s">
        <v>814</v>
      </c>
      <c r="D2034" t="s">
        <v>1185</v>
      </c>
      <c r="E2034" t="s">
        <v>102</v>
      </c>
      <c r="F2034" t="s">
        <v>4072</v>
      </c>
      <c r="G2034" t="str">
        <f>"00356774"</f>
        <v>00356774</v>
      </c>
      <c r="H2034" t="s">
        <v>4073</v>
      </c>
      <c r="I2034">
        <v>0</v>
      </c>
      <c r="J2034">
        <v>0</v>
      </c>
      <c r="K2034">
        <v>0</v>
      </c>
      <c r="L2034">
        <v>0</v>
      </c>
      <c r="M2034">
        <v>0</v>
      </c>
      <c r="N2034">
        <v>0</v>
      </c>
      <c r="O2034">
        <v>0</v>
      </c>
      <c r="P2034">
        <v>0</v>
      </c>
      <c r="Q2034">
        <v>0</v>
      </c>
      <c r="R2034">
        <v>0</v>
      </c>
      <c r="S2034">
        <v>0</v>
      </c>
      <c r="T2034">
        <v>0</v>
      </c>
      <c r="U2034">
        <v>0</v>
      </c>
      <c r="V2034">
        <v>34</v>
      </c>
      <c r="W2034">
        <v>238</v>
      </c>
      <c r="X2034">
        <v>0</v>
      </c>
      <c r="Z2034">
        <v>2</v>
      </c>
      <c r="AA2034">
        <v>0</v>
      </c>
      <c r="AB2034">
        <v>8</v>
      </c>
      <c r="AC2034">
        <v>136</v>
      </c>
      <c r="AD2034" t="s">
        <v>4074</v>
      </c>
    </row>
    <row r="2035" spans="1:30" x14ac:dyDescent="0.25">
      <c r="H2035" t="s">
        <v>2993</v>
      </c>
    </row>
    <row r="2036" spans="1:30" x14ac:dyDescent="0.25">
      <c r="A2036">
        <v>1015</v>
      </c>
      <c r="B2036">
        <v>3013</v>
      </c>
      <c r="C2036" t="s">
        <v>4075</v>
      </c>
      <c r="D2036" t="s">
        <v>1612</v>
      </c>
      <c r="E2036" t="s">
        <v>102</v>
      </c>
      <c r="F2036" t="s">
        <v>4076</v>
      </c>
      <c r="G2036" t="str">
        <f>"00361167"</f>
        <v>00361167</v>
      </c>
      <c r="H2036" t="s">
        <v>872</v>
      </c>
      <c r="I2036">
        <v>0</v>
      </c>
      <c r="J2036">
        <v>0</v>
      </c>
      <c r="K2036">
        <v>0</v>
      </c>
      <c r="L2036">
        <v>0</v>
      </c>
      <c r="M2036">
        <v>0</v>
      </c>
      <c r="N2036">
        <v>30</v>
      </c>
      <c r="O2036">
        <v>0</v>
      </c>
      <c r="P2036">
        <v>0</v>
      </c>
      <c r="Q2036">
        <v>0</v>
      </c>
      <c r="R2036">
        <v>0</v>
      </c>
      <c r="S2036">
        <v>0</v>
      </c>
      <c r="T2036">
        <v>0</v>
      </c>
      <c r="U2036">
        <v>0</v>
      </c>
      <c r="V2036">
        <v>36</v>
      </c>
      <c r="W2036">
        <v>252</v>
      </c>
      <c r="X2036">
        <v>0</v>
      </c>
      <c r="Z2036">
        <v>0</v>
      </c>
      <c r="AA2036">
        <v>0</v>
      </c>
      <c r="AB2036">
        <v>0</v>
      </c>
      <c r="AC2036">
        <v>0</v>
      </c>
      <c r="AD2036" t="s">
        <v>4077</v>
      </c>
    </row>
    <row r="2037" spans="1:30" x14ac:dyDescent="0.25">
      <c r="H2037" t="s">
        <v>4078</v>
      </c>
    </row>
    <row r="2038" spans="1:30" x14ac:dyDescent="0.25">
      <c r="A2038">
        <v>1016</v>
      </c>
      <c r="B2038">
        <v>1652</v>
      </c>
      <c r="C2038" t="s">
        <v>4079</v>
      </c>
      <c r="D2038" t="s">
        <v>180</v>
      </c>
      <c r="E2038" t="s">
        <v>64</v>
      </c>
      <c r="F2038" t="s">
        <v>4080</v>
      </c>
      <c r="G2038" t="str">
        <f>"00305789"</f>
        <v>00305789</v>
      </c>
      <c r="H2038" t="s">
        <v>1884</v>
      </c>
      <c r="I2038">
        <v>0</v>
      </c>
      <c r="J2038">
        <v>0</v>
      </c>
      <c r="K2038">
        <v>0</v>
      </c>
      <c r="L2038">
        <v>0</v>
      </c>
      <c r="M2038">
        <v>0</v>
      </c>
      <c r="N2038">
        <v>30</v>
      </c>
      <c r="O2038">
        <v>0</v>
      </c>
      <c r="P2038">
        <v>0</v>
      </c>
      <c r="Q2038">
        <v>0</v>
      </c>
      <c r="R2038">
        <v>0</v>
      </c>
      <c r="S2038">
        <v>0</v>
      </c>
      <c r="T2038">
        <v>0</v>
      </c>
      <c r="U2038">
        <v>0</v>
      </c>
      <c r="V2038">
        <v>30</v>
      </c>
      <c r="W2038">
        <v>210</v>
      </c>
      <c r="X2038">
        <v>0</v>
      </c>
      <c r="Z2038">
        <v>0</v>
      </c>
      <c r="AA2038">
        <v>0</v>
      </c>
      <c r="AB2038">
        <v>0</v>
      </c>
      <c r="AC2038">
        <v>0</v>
      </c>
      <c r="AD2038" t="s">
        <v>4081</v>
      </c>
    </row>
    <row r="2039" spans="1:30" x14ac:dyDescent="0.25">
      <c r="H2039" t="s">
        <v>1327</v>
      </c>
    </row>
    <row r="2040" spans="1:30" x14ac:dyDescent="0.25">
      <c r="A2040">
        <v>1017</v>
      </c>
      <c r="B2040">
        <v>4516</v>
      </c>
      <c r="C2040" t="s">
        <v>4082</v>
      </c>
      <c r="D2040" t="s">
        <v>128</v>
      </c>
      <c r="E2040" t="s">
        <v>309</v>
      </c>
      <c r="F2040" t="s">
        <v>4083</v>
      </c>
      <c r="G2040" t="str">
        <f>"201406000233"</f>
        <v>201406000233</v>
      </c>
      <c r="H2040" t="s">
        <v>2991</v>
      </c>
      <c r="I2040">
        <v>0</v>
      </c>
      <c r="J2040">
        <v>0</v>
      </c>
      <c r="K2040">
        <v>0</v>
      </c>
      <c r="L2040">
        <v>0</v>
      </c>
      <c r="M2040">
        <v>100</v>
      </c>
      <c r="N2040">
        <v>70</v>
      </c>
      <c r="O2040">
        <v>30</v>
      </c>
      <c r="P2040">
        <v>0</v>
      </c>
      <c r="Q2040">
        <v>0</v>
      </c>
      <c r="R2040">
        <v>0</v>
      </c>
      <c r="S2040">
        <v>0</v>
      </c>
      <c r="T2040">
        <v>0</v>
      </c>
      <c r="U2040">
        <v>0</v>
      </c>
      <c r="V2040">
        <v>0</v>
      </c>
      <c r="W2040">
        <v>0</v>
      </c>
      <c r="X2040">
        <v>0</v>
      </c>
      <c r="Z2040">
        <v>0</v>
      </c>
      <c r="AA2040">
        <v>0</v>
      </c>
      <c r="AB2040">
        <v>0</v>
      </c>
      <c r="AC2040">
        <v>0</v>
      </c>
      <c r="AD2040" t="s">
        <v>4084</v>
      </c>
    </row>
    <row r="2041" spans="1:30" x14ac:dyDescent="0.25">
      <c r="H2041" t="s">
        <v>4085</v>
      </c>
    </row>
    <row r="2042" spans="1:30" x14ac:dyDescent="0.25">
      <c r="A2042">
        <v>1018</v>
      </c>
      <c r="B2042">
        <v>990</v>
      </c>
      <c r="C2042" t="s">
        <v>4086</v>
      </c>
      <c r="D2042" t="s">
        <v>95</v>
      </c>
      <c r="E2042" t="s">
        <v>167</v>
      </c>
      <c r="F2042" t="s">
        <v>4087</v>
      </c>
      <c r="G2042" t="str">
        <f>"201304002322"</f>
        <v>201304002322</v>
      </c>
      <c r="H2042" t="s">
        <v>1368</v>
      </c>
      <c r="I2042">
        <v>0</v>
      </c>
      <c r="J2042">
        <v>0</v>
      </c>
      <c r="K2042">
        <v>0</v>
      </c>
      <c r="L2042">
        <v>0</v>
      </c>
      <c r="M2042">
        <v>0</v>
      </c>
      <c r="N2042">
        <v>30</v>
      </c>
      <c r="O2042">
        <v>0</v>
      </c>
      <c r="P2042">
        <v>0</v>
      </c>
      <c r="Q2042">
        <v>0</v>
      </c>
      <c r="R2042">
        <v>0</v>
      </c>
      <c r="S2042">
        <v>0</v>
      </c>
      <c r="T2042">
        <v>0</v>
      </c>
      <c r="U2042">
        <v>0</v>
      </c>
      <c r="V2042">
        <v>36</v>
      </c>
      <c r="W2042">
        <v>252</v>
      </c>
      <c r="X2042">
        <v>0</v>
      </c>
      <c r="Z2042">
        <v>0</v>
      </c>
      <c r="AA2042">
        <v>0</v>
      </c>
      <c r="AB2042">
        <v>0</v>
      </c>
      <c r="AC2042">
        <v>0</v>
      </c>
      <c r="AD2042" t="s">
        <v>4088</v>
      </c>
    </row>
    <row r="2043" spans="1:30" x14ac:dyDescent="0.25">
      <c r="H2043" t="s">
        <v>4089</v>
      </c>
    </row>
    <row r="2044" spans="1:30" x14ac:dyDescent="0.25">
      <c r="A2044">
        <v>1019</v>
      </c>
      <c r="B2044">
        <v>3278</v>
      </c>
      <c r="C2044" t="s">
        <v>3021</v>
      </c>
      <c r="D2044" t="s">
        <v>191</v>
      </c>
      <c r="E2044" t="s">
        <v>254</v>
      </c>
      <c r="F2044" t="s">
        <v>4090</v>
      </c>
      <c r="G2044" t="str">
        <f>"00147333"</f>
        <v>00147333</v>
      </c>
      <c r="H2044" t="s">
        <v>1533</v>
      </c>
      <c r="I2044">
        <v>0</v>
      </c>
      <c r="J2044">
        <v>0</v>
      </c>
      <c r="K2044">
        <v>0</v>
      </c>
      <c r="L2044">
        <v>0</v>
      </c>
      <c r="M2044">
        <v>0</v>
      </c>
      <c r="N2044">
        <v>30</v>
      </c>
      <c r="O2044">
        <v>0</v>
      </c>
      <c r="P2044">
        <v>0</v>
      </c>
      <c r="Q2044">
        <v>0</v>
      </c>
      <c r="R2044">
        <v>0</v>
      </c>
      <c r="S2044">
        <v>0</v>
      </c>
      <c r="T2044">
        <v>0</v>
      </c>
      <c r="U2044">
        <v>0</v>
      </c>
      <c r="V2044">
        <v>29</v>
      </c>
      <c r="W2044">
        <v>203</v>
      </c>
      <c r="X2044">
        <v>0</v>
      </c>
      <c r="Z2044">
        <v>1</v>
      </c>
      <c r="AA2044">
        <v>0</v>
      </c>
      <c r="AB2044">
        <v>0</v>
      </c>
      <c r="AC2044">
        <v>0</v>
      </c>
      <c r="AD2044" t="s">
        <v>4091</v>
      </c>
    </row>
    <row r="2045" spans="1:30" x14ac:dyDescent="0.25">
      <c r="H2045" t="s">
        <v>4092</v>
      </c>
    </row>
    <row r="2046" spans="1:30" x14ac:dyDescent="0.25">
      <c r="A2046">
        <v>1020</v>
      </c>
      <c r="B2046">
        <v>559</v>
      </c>
      <c r="C2046" t="s">
        <v>4093</v>
      </c>
      <c r="D2046" t="s">
        <v>28</v>
      </c>
      <c r="E2046" t="s">
        <v>64</v>
      </c>
      <c r="F2046" t="s">
        <v>4094</v>
      </c>
      <c r="G2046" t="str">
        <f>"201506002567"</f>
        <v>201506002567</v>
      </c>
      <c r="H2046" t="s">
        <v>1163</v>
      </c>
      <c r="I2046">
        <v>0</v>
      </c>
      <c r="J2046">
        <v>0</v>
      </c>
      <c r="K2046">
        <v>0</v>
      </c>
      <c r="L2046">
        <v>0</v>
      </c>
      <c r="M2046">
        <v>0</v>
      </c>
      <c r="N2046">
        <v>30</v>
      </c>
      <c r="O2046">
        <v>0</v>
      </c>
      <c r="P2046">
        <v>0</v>
      </c>
      <c r="Q2046">
        <v>0</v>
      </c>
      <c r="R2046">
        <v>0</v>
      </c>
      <c r="S2046">
        <v>0</v>
      </c>
      <c r="T2046">
        <v>0</v>
      </c>
      <c r="U2046">
        <v>0</v>
      </c>
      <c r="V2046">
        <v>31</v>
      </c>
      <c r="W2046">
        <v>217</v>
      </c>
      <c r="X2046">
        <v>0</v>
      </c>
      <c r="Z2046">
        <v>0</v>
      </c>
      <c r="AA2046">
        <v>0</v>
      </c>
      <c r="AB2046">
        <v>0</v>
      </c>
      <c r="AC2046">
        <v>0</v>
      </c>
      <c r="AD2046" t="s">
        <v>4095</v>
      </c>
    </row>
    <row r="2047" spans="1:30" x14ac:dyDescent="0.25">
      <c r="H2047" t="s">
        <v>4096</v>
      </c>
    </row>
    <row r="2048" spans="1:30" x14ac:dyDescent="0.25">
      <c r="A2048">
        <v>1021</v>
      </c>
      <c r="B2048">
        <v>3043</v>
      </c>
      <c r="C2048" t="s">
        <v>4097</v>
      </c>
      <c r="D2048" t="s">
        <v>213</v>
      </c>
      <c r="E2048" t="s">
        <v>102</v>
      </c>
      <c r="F2048" t="s">
        <v>4098</v>
      </c>
      <c r="G2048" t="str">
        <f>"00354931"</f>
        <v>00354931</v>
      </c>
      <c r="H2048" t="s">
        <v>232</v>
      </c>
      <c r="I2048">
        <v>0</v>
      </c>
      <c r="J2048">
        <v>0</v>
      </c>
      <c r="K2048">
        <v>0</v>
      </c>
      <c r="L2048">
        <v>0</v>
      </c>
      <c r="M2048">
        <v>0</v>
      </c>
      <c r="N2048">
        <v>50</v>
      </c>
      <c r="O2048">
        <v>0</v>
      </c>
      <c r="P2048">
        <v>0</v>
      </c>
      <c r="Q2048">
        <v>0</v>
      </c>
      <c r="R2048">
        <v>0</v>
      </c>
      <c r="S2048">
        <v>0</v>
      </c>
      <c r="T2048">
        <v>0</v>
      </c>
      <c r="U2048">
        <v>0</v>
      </c>
      <c r="V2048">
        <v>8</v>
      </c>
      <c r="W2048">
        <v>56</v>
      </c>
      <c r="X2048">
        <v>0</v>
      </c>
      <c r="Z2048">
        <v>0</v>
      </c>
      <c r="AA2048">
        <v>0</v>
      </c>
      <c r="AB2048">
        <v>6</v>
      </c>
      <c r="AC2048">
        <v>102</v>
      </c>
      <c r="AD2048" t="s">
        <v>4099</v>
      </c>
    </row>
    <row r="2049" spans="1:30" x14ac:dyDescent="0.25">
      <c r="H2049" t="s">
        <v>4100</v>
      </c>
    </row>
    <row r="2050" spans="1:30" x14ac:dyDescent="0.25">
      <c r="A2050">
        <v>1022</v>
      </c>
      <c r="B2050">
        <v>2935</v>
      </c>
      <c r="C2050" t="s">
        <v>4101</v>
      </c>
      <c r="D2050" t="s">
        <v>4102</v>
      </c>
      <c r="E2050" t="s">
        <v>49</v>
      </c>
      <c r="F2050" t="s">
        <v>4103</v>
      </c>
      <c r="G2050" t="str">
        <f>"201405000250"</f>
        <v>201405000250</v>
      </c>
      <c r="H2050" t="s">
        <v>1163</v>
      </c>
      <c r="I2050">
        <v>0</v>
      </c>
      <c r="J2050">
        <v>0</v>
      </c>
      <c r="K2050">
        <v>0</v>
      </c>
      <c r="L2050">
        <v>0</v>
      </c>
      <c r="M2050">
        <v>0</v>
      </c>
      <c r="N2050">
        <v>50</v>
      </c>
      <c r="O2050">
        <v>0</v>
      </c>
      <c r="P2050">
        <v>0</v>
      </c>
      <c r="Q2050">
        <v>0</v>
      </c>
      <c r="R2050">
        <v>0</v>
      </c>
      <c r="S2050">
        <v>0</v>
      </c>
      <c r="T2050">
        <v>0</v>
      </c>
      <c r="U2050">
        <v>0</v>
      </c>
      <c r="V2050">
        <v>28</v>
      </c>
      <c r="W2050">
        <v>196</v>
      </c>
      <c r="X2050">
        <v>0</v>
      </c>
      <c r="Z2050">
        <v>1</v>
      </c>
      <c r="AA2050">
        <v>0</v>
      </c>
      <c r="AB2050">
        <v>0</v>
      </c>
      <c r="AC2050">
        <v>0</v>
      </c>
      <c r="AD2050" t="s">
        <v>4104</v>
      </c>
    </row>
    <row r="2051" spans="1:30" x14ac:dyDescent="0.25">
      <c r="H2051" t="s">
        <v>4105</v>
      </c>
    </row>
    <row r="2052" spans="1:30" x14ac:dyDescent="0.25">
      <c r="A2052">
        <v>1023</v>
      </c>
      <c r="B2052">
        <v>3792</v>
      </c>
      <c r="C2052" t="s">
        <v>4106</v>
      </c>
      <c r="D2052" t="s">
        <v>32</v>
      </c>
      <c r="E2052" t="s">
        <v>28</v>
      </c>
      <c r="F2052" t="s">
        <v>4107</v>
      </c>
      <c r="G2052" t="str">
        <f>"00155385"</f>
        <v>00155385</v>
      </c>
      <c r="H2052" t="s">
        <v>144</v>
      </c>
      <c r="I2052">
        <v>0</v>
      </c>
      <c r="J2052">
        <v>0</v>
      </c>
      <c r="K2052">
        <v>0</v>
      </c>
      <c r="L2052">
        <v>0</v>
      </c>
      <c r="M2052">
        <v>0</v>
      </c>
      <c r="N2052">
        <v>30</v>
      </c>
      <c r="O2052">
        <v>0</v>
      </c>
      <c r="P2052">
        <v>0</v>
      </c>
      <c r="Q2052">
        <v>0</v>
      </c>
      <c r="R2052">
        <v>0</v>
      </c>
      <c r="S2052">
        <v>0</v>
      </c>
      <c r="T2052">
        <v>0</v>
      </c>
      <c r="U2052">
        <v>0</v>
      </c>
      <c r="V2052">
        <v>33</v>
      </c>
      <c r="W2052">
        <v>231</v>
      </c>
      <c r="X2052">
        <v>0</v>
      </c>
      <c r="Z2052">
        <v>2</v>
      </c>
      <c r="AA2052">
        <v>0</v>
      </c>
      <c r="AB2052">
        <v>0</v>
      </c>
      <c r="AC2052">
        <v>0</v>
      </c>
      <c r="AD2052" t="s">
        <v>4108</v>
      </c>
    </row>
    <row r="2053" spans="1:30" x14ac:dyDescent="0.25">
      <c r="H2053" t="s">
        <v>4109</v>
      </c>
    </row>
    <row r="2054" spans="1:30" x14ac:dyDescent="0.25">
      <c r="A2054">
        <v>1024</v>
      </c>
      <c r="B2054">
        <v>3325</v>
      </c>
      <c r="C2054" t="s">
        <v>4110</v>
      </c>
      <c r="D2054" t="s">
        <v>84</v>
      </c>
      <c r="E2054" t="s">
        <v>2306</v>
      </c>
      <c r="F2054" t="s">
        <v>4111</v>
      </c>
      <c r="G2054" t="str">
        <f>"00303844"</f>
        <v>00303844</v>
      </c>
      <c r="H2054" t="s">
        <v>1356</v>
      </c>
      <c r="I2054">
        <v>0</v>
      </c>
      <c r="J2054">
        <v>0</v>
      </c>
      <c r="K2054">
        <v>0</v>
      </c>
      <c r="L2054">
        <v>0</v>
      </c>
      <c r="M2054">
        <v>0</v>
      </c>
      <c r="N2054">
        <v>30</v>
      </c>
      <c r="O2054">
        <v>0</v>
      </c>
      <c r="P2054">
        <v>0</v>
      </c>
      <c r="Q2054">
        <v>0</v>
      </c>
      <c r="R2054">
        <v>0</v>
      </c>
      <c r="S2054">
        <v>0</v>
      </c>
      <c r="T2054">
        <v>0</v>
      </c>
      <c r="U2054">
        <v>0</v>
      </c>
      <c r="V2054">
        <v>19</v>
      </c>
      <c r="W2054">
        <v>133</v>
      </c>
      <c r="X2054">
        <v>0</v>
      </c>
      <c r="Z2054">
        <v>2</v>
      </c>
      <c r="AA2054">
        <v>100</v>
      </c>
      <c r="AB2054">
        <v>0</v>
      </c>
      <c r="AC2054">
        <v>0</v>
      </c>
      <c r="AD2054" t="s">
        <v>4112</v>
      </c>
    </row>
    <row r="2055" spans="1:30" x14ac:dyDescent="0.25">
      <c r="H2055" t="s">
        <v>4113</v>
      </c>
    </row>
    <row r="2056" spans="1:30" x14ac:dyDescent="0.25">
      <c r="A2056">
        <v>1025</v>
      </c>
      <c r="B2056">
        <v>4580</v>
      </c>
      <c r="C2056" t="s">
        <v>4114</v>
      </c>
      <c r="D2056" t="s">
        <v>283</v>
      </c>
      <c r="E2056" t="s">
        <v>102</v>
      </c>
      <c r="F2056" t="s">
        <v>4115</v>
      </c>
      <c r="G2056" t="str">
        <f>"201412007236"</f>
        <v>201412007236</v>
      </c>
      <c r="H2056">
        <v>726</v>
      </c>
      <c r="I2056">
        <v>0</v>
      </c>
      <c r="J2056">
        <v>0</v>
      </c>
      <c r="K2056">
        <v>0</v>
      </c>
      <c r="L2056">
        <v>0</v>
      </c>
      <c r="M2056">
        <v>0</v>
      </c>
      <c r="N2056">
        <v>70</v>
      </c>
      <c r="O2056">
        <v>0</v>
      </c>
      <c r="P2056">
        <v>0</v>
      </c>
      <c r="Q2056">
        <v>0</v>
      </c>
      <c r="R2056">
        <v>0</v>
      </c>
      <c r="S2056">
        <v>0</v>
      </c>
      <c r="T2056">
        <v>0</v>
      </c>
      <c r="U2056">
        <v>0</v>
      </c>
      <c r="V2056">
        <v>26</v>
      </c>
      <c r="W2056">
        <v>182</v>
      </c>
      <c r="X2056">
        <v>0</v>
      </c>
      <c r="Z2056">
        <v>0</v>
      </c>
      <c r="AA2056">
        <v>0</v>
      </c>
      <c r="AB2056">
        <v>0</v>
      </c>
      <c r="AC2056">
        <v>0</v>
      </c>
      <c r="AD2056">
        <v>978</v>
      </c>
    </row>
    <row r="2057" spans="1:30" x14ac:dyDescent="0.25">
      <c r="H2057" t="s">
        <v>4116</v>
      </c>
    </row>
    <row r="2058" spans="1:30" x14ac:dyDescent="0.25">
      <c r="A2058">
        <v>1026</v>
      </c>
      <c r="B2058">
        <v>749</v>
      </c>
      <c r="C2058" t="s">
        <v>2478</v>
      </c>
      <c r="D2058" t="s">
        <v>4117</v>
      </c>
      <c r="E2058" t="s">
        <v>77</v>
      </c>
      <c r="F2058" t="s">
        <v>4118</v>
      </c>
      <c r="G2058" t="str">
        <f>"00198174"</f>
        <v>00198174</v>
      </c>
      <c r="H2058" t="s">
        <v>115</v>
      </c>
      <c r="I2058">
        <v>0</v>
      </c>
      <c r="J2058">
        <v>0</v>
      </c>
      <c r="K2058">
        <v>0</v>
      </c>
      <c r="L2058">
        <v>0</v>
      </c>
      <c r="M2058">
        <v>0</v>
      </c>
      <c r="N2058">
        <v>0</v>
      </c>
      <c r="O2058">
        <v>0</v>
      </c>
      <c r="P2058">
        <v>0</v>
      </c>
      <c r="Q2058">
        <v>0</v>
      </c>
      <c r="R2058">
        <v>0</v>
      </c>
      <c r="S2058">
        <v>0</v>
      </c>
      <c r="T2058">
        <v>0</v>
      </c>
      <c r="U2058">
        <v>0</v>
      </c>
      <c r="V2058">
        <v>26</v>
      </c>
      <c r="W2058">
        <v>182</v>
      </c>
      <c r="X2058">
        <v>0</v>
      </c>
      <c r="Z2058">
        <v>1</v>
      </c>
      <c r="AA2058">
        <v>0</v>
      </c>
      <c r="AB2058">
        <v>0</v>
      </c>
      <c r="AC2058">
        <v>0</v>
      </c>
      <c r="AD2058" t="s">
        <v>4119</v>
      </c>
    </row>
    <row r="2059" spans="1:30" x14ac:dyDescent="0.25">
      <c r="H2059" t="s">
        <v>2131</v>
      </c>
    </row>
    <row r="2060" spans="1:30" x14ac:dyDescent="0.25">
      <c r="A2060">
        <v>1027</v>
      </c>
      <c r="B2060">
        <v>1571</v>
      </c>
      <c r="C2060" t="s">
        <v>4120</v>
      </c>
      <c r="D2060" t="s">
        <v>106</v>
      </c>
      <c r="E2060" t="s">
        <v>64</v>
      </c>
      <c r="F2060" t="s">
        <v>4121</v>
      </c>
      <c r="G2060" t="str">
        <f>"00147414"</f>
        <v>00147414</v>
      </c>
      <c r="H2060">
        <v>704</v>
      </c>
      <c r="I2060">
        <v>0</v>
      </c>
      <c r="J2060">
        <v>0</v>
      </c>
      <c r="K2060">
        <v>0</v>
      </c>
      <c r="L2060">
        <v>0</v>
      </c>
      <c r="M2060">
        <v>0</v>
      </c>
      <c r="N2060">
        <v>0</v>
      </c>
      <c r="O2060">
        <v>0</v>
      </c>
      <c r="P2060">
        <v>0</v>
      </c>
      <c r="Q2060">
        <v>0</v>
      </c>
      <c r="R2060">
        <v>0</v>
      </c>
      <c r="S2060">
        <v>0</v>
      </c>
      <c r="T2060">
        <v>0</v>
      </c>
      <c r="U2060">
        <v>0</v>
      </c>
      <c r="V2060">
        <v>39</v>
      </c>
      <c r="W2060">
        <v>273</v>
      </c>
      <c r="X2060">
        <v>0</v>
      </c>
      <c r="Z2060">
        <v>0</v>
      </c>
      <c r="AA2060">
        <v>0</v>
      </c>
      <c r="AB2060">
        <v>0</v>
      </c>
      <c r="AC2060">
        <v>0</v>
      </c>
      <c r="AD2060">
        <v>977</v>
      </c>
    </row>
    <row r="2061" spans="1:30" x14ac:dyDescent="0.25">
      <c r="H2061" t="s">
        <v>4122</v>
      </c>
    </row>
    <row r="2062" spans="1:30" x14ac:dyDescent="0.25">
      <c r="A2062">
        <v>1028</v>
      </c>
      <c r="B2062">
        <v>1214</v>
      </c>
      <c r="C2062" t="s">
        <v>4123</v>
      </c>
      <c r="D2062" t="s">
        <v>254</v>
      </c>
      <c r="E2062" t="s">
        <v>107</v>
      </c>
      <c r="F2062" t="s">
        <v>4124</v>
      </c>
      <c r="G2062" t="str">
        <f>"00147620"</f>
        <v>00147620</v>
      </c>
      <c r="H2062" t="s">
        <v>591</v>
      </c>
      <c r="I2062">
        <v>0</v>
      </c>
      <c r="J2062">
        <v>0</v>
      </c>
      <c r="K2062">
        <v>0</v>
      </c>
      <c r="L2062">
        <v>200</v>
      </c>
      <c r="M2062">
        <v>0</v>
      </c>
      <c r="N2062">
        <v>30</v>
      </c>
      <c r="O2062">
        <v>0</v>
      </c>
      <c r="P2062">
        <v>0</v>
      </c>
      <c r="Q2062">
        <v>0</v>
      </c>
      <c r="R2062">
        <v>0</v>
      </c>
      <c r="S2062">
        <v>0</v>
      </c>
      <c r="T2062">
        <v>0</v>
      </c>
      <c r="U2062">
        <v>0</v>
      </c>
      <c r="V2062">
        <v>5</v>
      </c>
      <c r="W2062">
        <v>35</v>
      </c>
      <c r="X2062">
        <v>0</v>
      </c>
      <c r="Z2062">
        <v>0</v>
      </c>
      <c r="AA2062">
        <v>0</v>
      </c>
      <c r="AB2062">
        <v>0</v>
      </c>
      <c r="AC2062">
        <v>0</v>
      </c>
      <c r="AD2062" t="s">
        <v>4125</v>
      </c>
    </row>
    <row r="2063" spans="1:30" x14ac:dyDescent="0.25">
      <c r="H2063" t="s">
        <v>4126</v>
      </c>
    </row>
    <row r="2064" spans="1:30" x14ac:dyDescent="0.25">
      <c r="A2064">
        <v>1029</v>
      </c>
      <c r="B2064">
        <v>3341</v>
      </c>
      <c r="C2064" t="s">
        <v>3927</v>
      </c>
      <c r="D2064" t="s">
        <v>102</v>
      </c>
      <c r="E2064" t="s">
        <v>155</v>
      </c>
      <c r="F2064" t="s">
        <v>4127</v>
      </c>
      <c r="G2064" t="str">
        <f>"201410011973"</f>
        <v>201410011973</v>
      </c>
      <c r="H2064" t="s">
        <v>215</v>
      </c>
      <c r="I2064">
        <v>0</v>
      </c>
      <c r="J2064">
        <v>0</v>
      </c>
      <c r="K2064">
        <v>0</v>
      </c>
      <c r="L2064">
        <v>0</v>
      </c>
      <c r="M2064">
        <v>100</v>
      </c>
      <c r="N2064">
        <v>70</v>
      </c>
      <c r="O2064">
        <v>0</v>
      </c>
      <c r="P2064">
        <v>30</v>
      </c>
      <c r="Q2064">
        <v>0</v>
      </c>
      <c r="R2064">
        <v>0</v>
      </c>
      <c r="S2064">
        <v>0</v>
      </c>
      <c r="T2064">
        <v>0</v>
      </c>
      <c r="U2064">
        <v>0</v>
      </c>
      <c r="V2064">
        <v>6</v>
      </c>
      <c r="W2064">
        <v>42</v>
      </c>
      <c r="X2064">
        <v>0</v>
      </c>
      <c r="Z2064">
        <v>0</v>
      </c>
      <c r="AA2064">
        <v>0</v>
      </c>
      <c r="AB2064">
        <v>0</v>
      </c>
      <c r="AC2064">
        <v>0</v>
      </c>
      <c r="AD2064" t="s">
        <v>4128</v>
      </c>
    </row>
    <row r="2065" spans="1:30" x14ac:dyDescent="0.25">
      <c r="H2065" t="s">
        <v>4129</v>
      </c>
    </row>
    <row r="2066" spans="1:30" x14ac:dyDescent="0.25">
      <c r="A2066">
        <v>1030</v>
      </c>
      <c r="B2066">
        <v>1190</v>
      </c>
      <c r="C2066" t="s">
        <v>4130</v>
      </c>
      <c r="D2066" t="s">
        <v>1480</v>
      </c>
      <c r="E2066" t="s">
        <v>28</v>
      </c>
      <c r="F2066" t="s">
        <v>4131</v>
      </c>
      <c r="G2066" t="str">
        <f>"200712001006"</f>
        <v>200712001006</v>
      </c>
      <c r="H2066">
        <v>770</v>
      </c>
      <c r="I2066">
        <v>0</v>
      </c>
      <c r="J2066">
        <v>0</v>
      </c>
      <c r="K2066">
        <v>0</v>
      </c>
      <c r="L2066">
        <v>0</v>
      </c>
      <c r="M2066">
        <v>0</v>
      </c>
      <c r="N2066">
        <v>50</v>
      </c>
      <c r="O2066">
        <v>0</v>
      </c>
      <c r="P2066">
        <v>0</v>
      </c>
      <c r="Q2066">
        <v>0</v>
      </c>
      <c r="R2066">
        <v>0</v>
      </c>
      <c r="S2066">
        <v>0</v>
      </c>
      <c r="T2066">
        <v>0</v>
      </c>
      <c r="U2066">
        <v>0</v>
      </c>
      <c r="V2066">
        <v>22</v>
      </c>
      <c r="W2066">
        <v>154</v>
      </c>
      <c r="X2066">
        <v>0</v>
      </c>
      <c r="Z2066">
        <v>0</v>
      </c>
      <c r="AA2066">
        <v>0</v>
      </c>
      <c r="AB2066">
        <v>0</v>
      </c>
      <c r="AC2066">
        <v>0</v>
      </c>
      <c r="AD2066">
        <v>974</v>
      </c>
    </row>
    <row r="2067" spans="1:30" x14ac:dyDescent="0.25">
      <c r="H2067" t="s">
        <v>4132</v>
      </c>
    </row>
    <row r="2068" spans="1:30" x14ac:dyDescent="0.25">
      <c r="A2068">
        <v>1031</v>
      </c>
      <c r="B2068">
        <v>2876</v>
      </c>
      <c r="C2068" t="s">
        <v>4133</v>
      </c>
      <c r="D2068" t="s">
        <v>218</v>
      </c>
      <c r="E2068" t="s">
        <v>32</v>
      </c>
      <c r="F2068" t="s">
        <v>4134</v>
      </c>
      <c r="G2068" t="str">
        <f>"00213556"</f>
        <v>00213556</v>
      </c>
      <c r="H2068" t="s">
        <v>2737</v>
      </c>
      <c r="I2068">
        <v>0</v>
      </c>
      <c r="J2068">
        <v>0</v>
      </c>
      <c r="K2068">
        <v>0</v>
      </c>
      <c r="L2068">
        <v>0</v>
      </c>
      <c r="M2068">
        <v>0</v>
      </c>
      <c r="N2068">
        <v>30</v>
      </c>
      <c r="O2068">
        <v>0</v>
      </c>
      <c r="P2068">
        <v>0</v>
      </c>
      <c r="Q2068">
        <v>0</v>
      </c>
      <c r="R2068">
        <v>0</v>
      </c>
      <c r="S2068">
        <v>0</v>
      </c>
      <c r="T2068">
        <v>0</v>
      </c>
      <c r="U2068">
        <v>0</v>
      </c>
      <c r="V2068">
        <v>5</v>
      </c>
      <c r="W2068">
        <v>35</v>
      </c>
      <c r="X2068">
        <v>0</v>
      </c>
      <c r="Z2068">
        <v>0</v>
      </c>
      <c r="AA2068">
        <v>0</v>
      </c>
      <c r="AB2068">
        <v>0</v>
      </c>
      <c r="AC2068">
        <v>0</v>
      </c>
      <c r="AD2068" t="s">
        <v>4135</v>
      </c>
    </row>
    <row r="2069" spans="1:30" x14ac:dyDescent="0.25">
      <c r="H2069" t="s">
        <v>4136</v>
      </c>
    </row>
    <row r="2070" spans="1:30" x14ac:dyDescent="0.25">
      <c r="A2070">
        <v>1032</v>
      </c>
      <c r="B2070">
        <v>6103</v>
      </c>
      <c r="C2070" t="s">
        <v>4137</v>
      </c>
      <c r="D2070" t="s">
        <v>4138</v>
      </c>
      <c r="E2070" t="s">
        <v>50</v>
      </c>
      <c r="F2070" t="s">
        <v>4139</v>
      </c>
      <c r="G2070" t="str">
        <f>"00365655"</f>
        <v>00365655</v>
      </c>
      <c r="H2070" t="s">
        <v>774</v>
      </c>
      <c r="I2070">
        <v>0</v>
      </c>
      <c r="J2070">
        <v>0</v>
      </c>
      <c r="K2070">
        <v>0</v>
      </c>
      <c r="L2070">
        <v>0</v>
      </c>
      <c r="M2070">
        <v>0</v>
      </c>
      <c r="N2070">
        <v>0</v>
      </c>
      <c r="O2070">
        <v>0</v>
      </c>
      <c r="P2070">
        <v>0</v>
      </c>
      <c r="Q2070">
        <v>0</v>
      </c>
      <c r="R2070">
        <v>0</v>
      </c>
      <c r="S2070">
        <v>0</v>
      </c>
      <c r="T2070">
        <v>0</v>
      </c>
      <c r="U2070">
        <v>0</v>
      </c>
      <c r="V2070">
        <v>29</v>
      </c>
      <c r="W2070">
        <v>203</v>
      </c>
      <c r="X2070">
        <v>0</v>
      </c>
      <c r="Z2070">
        <v>0</v>
      </c>
      <c r="AA2070">
        <v>0</v>
      </c>
      <c r="AB2070">
        <v>0</v>
      </c>
      <c r="AC2070">
        <v>0</v>
      </c>
      <c r="AD2070" t="s">
        <v>4140</v>
      </c>
    </row>
    <row r="2071" spans="1:30" x14ac:dyDescent="0.25">
      <c r="H2071">
        <v>1255</v>
      </c>
    </row>
    <row r="2072" spans="1:30" x14ac:dyDescent="0.25">
      <c r="A2072">
        <v>1033</v>
      </c>
      <c r="B2072">
        <v>1042</v>
      </c>
      <c r="C2072" t="s">
        <v>4141</v>
      </c>
      <c r="D2072" t="s">
        <v>120</v>
      </c>
      <c r="E2072" t="s">
        <v>358</v>
      </c>
      <c r="F2072" t="s">
        <v>4142</v>
      </c>
      <c r="G2072" t="str">
        <f>"201511029836"</f>
        <v>201511029836</v>
      </c>
      <c r="H2072" t="s">
        <v>4143</v>
      </c>
      <c r="I2072">
        <v>0</v>
      </c>
      <c r="J2072">
        <v>0</v>
      </c>
      <c r="K2072">
        <v>0</v>
      </c>
      <c r="L2072">
        <v>0</v>
      </c>
      <c r="M2072">
        <v>0</v>
      </c>
      <c r="N2072">
        <v>30</v>
      </c>
      <c r="O2072">
        <v>0</v>
      </c>
      <c r="P2072">
        <v>0</v>
      </c>
      <c r="Q2072">
        <v>0</v>
      </c>
      <c r="R2072">
        <v>0</v>
      </c>
      <c r="S2072">
        <v>0</v>
      </c>
      <c r="T2072">
        <v>0</v>
      </c>
      <c r="U2072">
        <v>0</v>
      </c>
      <c r="V2072">
        <v>0</v>
      </c>
      <c r="W2072">
        <v>0</v>
      </c>
      <c r="X2072">
        <v>0</v>
      </c>
      <c r="Z2072">
        <v>1</v>
      </c>
      <c r="AA2072">
        <v>0</v>
      </c>
      <c r="AB2072">
        <v>0</v>
      </c>
      <c r="AC2072">
        <v>0</v>
      </c>
      <c r="AD2072" t="s">
        <v>4144</v>
      </c>
    </row>
    <row r="2073" spans="1:30" x14ac:dyDescent="0.25">
      <c r="H2073" t="s">
        <v>4145</v>
      </c>
    </row>
    <row r="2074" spans="1:30" x14ac:dyDescent="0.25">
      <c r="A2074">
        <v>1034</v>
      </c>
      <c r="B2074">
        <v>3659</v>
      </c>
      <c r="C2074" t="s">
        <v>4146</v>
      </c>
      <c r="D2074" t="s">
        <v>102</v>
      </c>
      <c r="E2074" t="s">
        <v>167</v>
      </c>
      <c r="F2074" t="s">
        <v>4147</v>
      </c>
      <c r="G2074" t="str">
        <f>"00349935"</f>
        <v>00349935</v>
      </c>
      <c r="H2074">
        <v>781</v>
      </c>
      <c r="I2074">
        <v>0</v>
      </c>
      <c r="J2074">
        <v>0</v>
      </c>
      <c r="K2074">
        <v>0</v>
      </c>
      <c r="L2074">
        <v>0</v>
      </c>
      <c r="M2074">
        <v>0</v>
      </c>
      <c r="N2074">
        <v>0</v>
      </c>
      <c r="O2074">
        <v>0</v>
      </c>
      <c r="P2074">
        <v>0</v>
      </c>
      <c r="Q2074">
        <v>0</v>
      </c>
      <c r="R2074">
        <v>0</v>
      </c>
      <c r="S2074">
        <v>0</v>
      </c>
      <c r="T2074">
        <v>0</v>
      </c>
      <c r="U2074">
        <v>0</v>
      </c>
      <c r="V2074">
        <v>27</v>
      </c>
      <c r="W2074">
        <v>189</v>
      </c>
      <c r="X2074">
        <v>0</v>
      </c>
      <c r="Z2074">
        <v>0</v>
      </c>
      <c r="AA2074">
        <v>0</v>
      </c>
      <c r="AB2074">
        <v>0</v>
      </c>
      <c r="AC2074">
        <v>0</v>
      </c>
      <c r="AD2074">
        <v>970</v>
      </c>
    </row>
    <row r="2075" spans="1:30" x14ac:dyDescent="0.25">
      <c r="H2075" t="s">
        <v>4148</v>
      </c>
    </row>
    <row r="2076" spans="1:30" x14ac:dyDescent="0.25">
      <c r="A2076">
        <v>1035</v>
      </c>
      <c r="B2076">
        <v>3488</v>
      </c>
      <c r="C2076" t="s">
        <v>4149</v>
      </c>
      <c r="D2076" t="s">
        <v>444</v>
      </c>
      <c r="E2076" t="s">
        <v>337</v>
      </c>
      <c r="F2076" t="s">
        <v>4150</v>
      </c>
      <c r="G2076" t="str">
        <f>"201412003946"</f>
        <v>201412003946</v>
      </c>
      <c r="H2076" t="s">
        <v>1915</v>
      </c>
      <c r="I2076">
        <v>0</v>
      </c>
      <c r="J2076">
        <v>0</v>
      </c>
      <c r="K2076">
        <v>0</v>
      </c>
      <c r="L2076">
        <v>200</v>
      </c>
      <c r="M2076">
        <v>0</v>
      </c>
      <c r="N2076">
        <v>30</v>
      </c>
      <c r="O2076">
        <v>0</v>
      </c>
      <c r="P2076">
        <v>0</v>
      </c>
      <c r="Q2076">
        <v>0</v>
      </c>
      <c r="R2076">
        <v>0</v>
      </c>
      <c r="S2076">
        <v>0</v>
      </c>
      <c r="T2076">
        <v>0</v>
      </c>
      <c r="U2076">
        <v>0</v>
      </c>
      <c r="V2076">
        <v>0</v>
      </c>
      <c r="W2076">
        <v>0</v>
      </c>
      <c r="X2076">
        <v>0</v>
      </c>
      <c r="Z2076">
        <v>0</v>
      </c>
      <c r="AA2076">
        <v>0</v>
      </c>
      <c r="AB2076">
        <v>0</v>
      </c>
      <c r="AC2076">
        <v>0</v>
      </c>
      <c r="AD2076" t="s">
        <v>4151</v>
      </c>
    </row>
    <row r="2077" spans="1:30" x14ac:dyDescent="0.25">
      <c r="H2077" t="s">
        <v>4152</v>
      </c>
    </row>
    <row r="2078" spans="1:30" x14ac:dyDescent="0.25">
      <c r="A2078">
        <v>1036</v>
      </c>
      <c r="B2078">
        <v>2028</v>
      </c>
      <c r="C2078" t="s">
        <v>4153</v>
      </c>
      <c r="D2078" t="s">
        <v>218</v>
      </c>
      <c r="E2078" t="s">
        <v>32</v>
      </c>
      <c r="F2078" t="s">
        <v>4154</v>
      </c>
      <c r="G2078" t="str">
        <f>"00192357"</f>
        <v>00192357</v>
      </c>
      <c r="H2078" t="s">
        <v>4155</v>
      </c>
      <c r="I2078">
        <v>0</v>
      </c>
      <c r="J2078">
        <v>0</v>
      </c>
      <c r="K2078">
        <v>0</v>
      </c>
      <c r="L2078">
        <v>0</v>
      </c>
      <c r="M2078">
        <v>0</v>
      </c>
      <c r="N2078">
        <v>0</v>
      </c>
      <c r="O2078">
        <v>0</v>
      </c>
      <c r="P2078">
        <v>0</v>
      </c>
      <c r="Q2078">
        <v>0</v>
      </c>
      <c r="R2078">
        <v>0</v>
      </c>
      <c r="S2078">
        <v>0</v>
      </c>
      <c r="T2078">
        <v>0</v>
      </c>
      <c r="U2078">
        <v>0</v>
      </c>
      <c r="V2078">
        <v>47</v>
      </c>
      <c r="W2078">
        <v>329</v>
      </c>
      <c r="X2078">
        <v>0</v>
      </c>
      <c r="Z2078">
        <v>0</v>
      </c>
      <c r="AA2078">
        <v>0</v>
      </c>
      <c r="AB2078">
        <v>0</v>
      </c>
      <c r="AC2078">
        <v>0</v>
      </c>
      <c r="AD2078" t="s">
        <v>4151</v>
      </c>
    </row>
    <row r="2079" spans="1:30" x14ac:dyDescent="0.25">
      <c r="H2079" t="s">
        <v>4156</v>
      </c>
    </row>
    <row r="2080" spans="1:30" x14ac:dyDescent="0.25">
      <c r="A2080">
        <v>1037</v>
      </c>
      <c r="B2080">
        <v>3442</v>
      </c>
      <c r="C2080" t="s">
        <v>2344</v>
      </c>
      <c r="D2080" t="s">
        <v>254</v>
      </c>
      <c r="E2080" t="s">
        <v>2659</v>
      </c>
      <c r="F2080" t="s">
        <v>4157</v>
      </c>
      <c r="G2080" t="str">
        <f>"00149972"</f>
        <v>00149972</v>
      </c>
      <c r="H2080" t="s">
        <v>956</v>
      </c>
      <c r="I2080">
        <v>0</v>
      </c>
      <c r="J2080">
        <v>0</v>
      </c>
      <c r="K2080">
        <v>0</v>
      </c>
      <c r="L2080">
        <v>0</v>
      </c>
      <c r="M2080">
        <v>0</v>
      </c>
      <c r="N2080">
        <v>30</v>
      </c>
      <c r="O2080">
        <v>0</v>
      </c>
      <c r="P2080">
        <v>0</v>
      </c>
      <c r="Q2080">
        <v>0</v>
      </c>
      <c r="R2080">
        <v>0</v>
      </c>
      <c r="S2080">
        <v>0</v>
      </c>
      <c r="T2080">
        <v>0</v>
      </c>
      <c r="U2080">
        <v>0</v>
      </c>
      <c r="V2080">
        <v>37</v>
      </c>
      <c r="W2080">
        <v>259</v>
      </c>
      <c r="X2080">
        <v>0</v>
      </c>
      <c r="Z2080">
        <v>0</v>
      </c>
      <c r="AA2080">
        <v>0</v>
      </c>
      <c r="AB2080">
        <v>0</v>
      </c>
      <c r="AC2080">
        <v>0</v>
      </c>
      <c r="AD2080" t="s">
        <v>4158</v>
      </c>
    </row>
    <row r="2081" spans="1:30" x14ac:dyDescent="0.25">
      <c r="H2081" t="s">
        <v>4159</v>
      </c>
    </row>
    <row r="2082" spans="1:30" x14ac:dyDescent="0.25">
      <c r="A2082">
        <v>1038</v>
      </c>
      <c r="B2082">
        <v>4728</v>
      </c>
      <c r="C2082" t="s">
        <v>2888</v>
      </c>
      <c r="D2082" t="s">
        <v>4160</v>
      </c>
      <c r="E2082" t="s">
        <v>49</v>
      </c>
      <c r="F2082" t="s">
        <v>4161</v>
      </c>
      <c r="G2082" t="str">
        <f>"00206594"</f>
        <v>00206594</v>
      </c>
      <c r="H2082" t="s">
        <v>1838</v>
      </c>
      <c r="I2082">
        <v>0</v>
      </c>
      <c r="J2082">
        <v>0</v>
      </c>
      <c r="K2082">
        <v>0</v>
      </c>
      <c r="L2082">
        <v>0</v>
      </c>
      <c r="M2082">
        <v>0</v>
      </c>
      <c r="N2082">
        <v>0</v>
      </c>
      <c r="O2082">
        <v>0</v>
      </c>
      <c r="P2082">
        <v>0</v>
      </c>
      <c r="Q2082">
        <v>0</v>
      </c>
      <c r="R2082">
        <v>0</v>
      </c>
      <c r="S2082">
        <v>0</v>
      </c>
      <c r="T2082">
        <v>0</v>
      </c>
      <c r="U2082">
        <v>0</v>
      </c>
      <c r="V2082">
        <v>31</v>
      </c>
      <c r="W2082">
        <v>217</v>
      </c>
      <c r="X2082">
        <v>0</v>
      </c>
      <c r="Z2082">
        <v>0</v>
      </c>
      <c r="AA2082">
        <v>0</v>
      </c>
      <c r="AB2082">
        <v>0</v>
      </c>
      <c r="AC2082">
        <v>0</v>
      </c>
      <c r="AD2082" t="s">
        <v>4162</v>
      </c>
    </row>
    <row r="2083" spans="1:30" x14ac:dyDescent="0.25">
      <c r="H2083" t="s">
        <v>4163</v>
      </c>
    </row>
    <row r="2084" spans="1:30" x14ac:dyDescent="0.25">
      <c r="A2084">
        <v>1039</v>
      </c>
      <c r="B2084">
        <v>6119</v>
      </c>
      <c r="C2084" t="s">
        <v>4164</v>
      </c>
      <c r="D2084" t="s">
        <v>32</v>
      </c>
      <c r="E2084" t="s">
        <v>49</v>
      </c>
      <c r="F2084" t="s">
        <v>4165</v>
      </c>
      <c r="G2084" t="str">
        <f>"00011590"</f>
        <v>00011590</v>
      </c>
      <c r="H2084" t="s">
        <v>1250</v>
      </c>
      <c r="I2084">
        <v>0</v>
      </c>
      <c r="J2084">
        <v>0</v>
      </c>
      <c r="K2084">
        <v>0</v>
      </c>
      <c r="L2084">
        <v>0</v>
      </c>
      <c r="M2084">
        <v>100</v>
      </c>
      <c r="N2084">
        <v>30</v>
      </c>
      <c r="O2084">
        <v>0</v>
      </c>
      <c r="P2084">
        <v>0</v>
      </c>
      <c r="Q2084">
        <v>0</v>
      </c>
      <c r="R2084">
        <v>0</v>
      </c>
      <c r="S2084">
        <v>0</v>
      </c>
      <c r="T2084">
        <v>0</v>
      </c>
      <c r="U2084">
        <v>0</v>
      </c>
      <c r="V2084">
        <v>0</v>
      </c>
      <c r="W2084">
        <v>0</v>
      </c>
      <c r="X2084">
        <v>0</v>
      </c>
      <c r="Z2084">
        <v>0</v>
      </c>
      <c r="AA2084">
        <v>0</v>
      </c>
      <c r="AB2084">
        <v>0</v>
      </c>
      <c r="AC2084">
        <v>0</v>
      </c>
      <c r="AD2084" t="s">
        <v>4166</v>
      </c>
    </row>
    <row r="2085" spans="1:30" x14ac:dyDescent="0.25">
      <c r="H2085" t="s">
        <v>4167</v>
      </c>
    </row>
    <row r="2086" spans="1:30" x14ac:dyDescent="0.25">
      <c r="A2086">
        <v>1040</v>
      </c>
      <c r="B2086">
        <v>567</v>
      </c>
      <c r="C2086" t="s">
        <v>4168</v>
      </c>
      <c r="D2086" t="s">
        <v>4169</v>
      </c>
      <c r="E2086" t="s">
        <v>4170</v>
      </c>
      <c r="F2086" t="s">
        <v>4171</v>
      </c>
      <c r="G2086" t="str">
        <f>"201504001969"</f>
        <v>201504001969</v>
      </c>
      <c r="H2086" t="s">
        <v>1326</v>
      </c>
      <c r="I2086">
        <v>0</v>
      </c>
      <c r="J2086">
        <v>0</v>
      </c>
      <c r="K2086">
        <v>0</v>
      </c>
      <c r="L2086">
        <v>0</v>
      </c>
      <c r="M2086">
        <v>0</v>
      </c>
      <c r="N2086">
        <v>30</v>
      </c>
      <c r="O2086">
        <v>0</v>
      </c>
      <c r="P2086">
        <v>0</v>
      </c>
      <c r="Q2086">
        <v>0</v>
      </c>
      <c r="R2086">
        <v>0</v>
      </c>
      <c r="S2086">
        <v>0</v>
      </c>
      <c r="T2086">
        <v>70</v>
      </c>
      <c r="U2086">
        <v>0</v>
      </c>
      <c r="V2086">
        <v>4</v>
      </c>
      <c r="W2086">
        <v>28</v>
      </c>
      <c r="X2086">
        <v>0</v>
      </c>
      <c r="Z2086">
        <v>0</v>
      </c>
      <c r="AA2086">
        <v>0</v>
      </c>
      <c r="AB2086">
        <v>5</v>
      </c>
      <c r="AC2086">
        <v>85</v>
      </c>
      <c r="AD2086" t="s">
        <v>4172</v>
      </c>
    </row>
    <row r="2087" spans="1:30" x14ac:dyDescent="0.25">
      <c r="H2087" t="s">
        <v>4085</v>
      </c>
    </row>
    <row r="2088" spans="1:30" x14ac:dyDescent="0.25">
      <c r="A2088">
        <v>1041</v>
      </c>
      <c r="B2088">
        <v>4736</v>
      </c>
      <c r="C2088" t="s">
        <v>4173</v>
      </c>
      <c r="D2088" t="s">
        <v>598</v>
      </c>
      <c r="E2088" t="s">
        <v>76</v>
      </c>
      <c r="F2088" t="s">
        <v>4174</v>
      </c>
      <c r="G2088" t="str">
        <f>"201402006054"</f>
        <v>201402006054</v>
      </c>
      <c r="H2088" t="s">
        <v>4175</v>
      </c>
      <c r="I2088">
        <v>0</v>
      </c>
      <c r="J2088">
        <v>0</v>
      </c>
      <c r="K2088">
        <v>0</v>
      </c>
      <c r="L2088">
        <v>0</v>
      </c>
      <c r="M2088">
        <v>0</v>
      </c>
      <c r="N2088">
        <v>30</v>
      </c>
      <c r="O2088">
        <v>0</v>
      </c>
      <c r="P2088">
        <v>0</v>
      </c>
      <c r="Q2088">
        <v>0</v>
      </c>
      <c r="R2088">
        <v>0</v>
      </c>
      <c r="S2088">
        <v>0</v>
      </c>
      <c r="T2088">
        <v>0</v>
      </c>
      <c r="U2088">
        <v>0</v>
      </c>
      <c r="V2088">
        <v>17</v>
      </c>
      <c r="W2088">
        <v>119</v>
      </c>
      <c r="X2088">
        <v>0</v>
      </c>
      <c r="Z2088">
        <v>0</v>
      </c>
      <c r="AA2088">
        <v>0</v>
      </c>
      <c r="AB2088">
        <v>0</v>
      </c>
      <c r="AC2088">
        <v>0</v>
      </c>
      <c r="AD2088" t="s">
        <v>4176</v>
      </c>
    </row>
    <row r="2089" spans="1:30" x14ac:dyDescent="0.25">
      <c r="H2089" t="s">
        <v>4177</v>
      </c>
    </row>
    <row r="2090" spans="1:30" x14ac:dyDescent="0.25">
      <c r="A2090">
        <v>1042</v>
      </c>
      <c r="B2090">
        <v>598</v>
      </c>
      <c r="C2090" t="s">
        <v>4178</v>
      </c>
      <c r="D2090" t="s">
        <v>167</v>
      </c>
      <c r="E2090" t="s">
        <v>4179</v>
      </c>
      <c r="F2090" t="s">
        <v>4180</v>
      </c>
      <c r="G2090" t="str">
        <f>"201406001741"</f>
        <v>201406001741</v>
      </c>
      <c r="H2090" t="s">
        <v>311</v>
      </c>
      <c r="I2090">
        <v>0</v>
      </c>
      <c r="J2090">
        <v>0</v>
      </c>
      <c r="K2090">
        <v>0</v>
      </c>
      <c r="L2090">
        <v>0</v>
      </c>
      <c r="M2090">
        <v>0</v>
      </c>
      <c r="N2090">
        <v>30</v>
      </c>
      <c r="O2090">
        <v>0</v>
      </c>
      <c r="P2090">
        <v>0</v>
      </c>
      <c r="Q2090">
        <v>0</v>
      </c>
      <c r="R2090">
        <v>0</v>
      </c>
      <c r="S2090">
        <v>0</v>
      </c>
      <c r="T2090">
        <v>0</v>
      </c>
      <c r="U2090">
        <v>0</v>
      </c>
      <c r="V2090">
        <v>22</v>
      </c>
      <c r="W2090">
        <v>154</v>
      </c>
      <c r="X2090">
        <v>0</v>
      </c>
      <c r="Z2090">
        <v>0</v>
      </c>
      <c r="AA2090">
        <v>0</v>
      </c>
      <c r="AB2090">
        <v>0</v>
      </c>
      <c r="AC2090">
        <v>0</v>
      </c>
      <c r="AD2090" t="s">
        <v>4181</v>
      </c>
    </row>
    <row r="2091" spans="1:30" x14ac:dyDescent="0.25">
      <c r="H2091" t="s">
        <v>4182</v>
      </c>
    </row>
    <row r="2092" spans="1:30" x14ac:dyDescent="0.25">
      <c r="A2092">
        <v>1043</v>
      </c>
      <c r="B2092">
        <v>1980</v>
      </c>
      <c r="C2092" t="s">
        <v>4183</v>
      </c>
      <c r="D2092" t="s">
        <v>830</v>
      </c>
      <c r="E2092" t="s">
        <v>834</v>
      </c>
      <c r="F2092" t="s">
        <v>4184</v>
      </c>
      <c r="G2092" t="str">
        <f>"00160749"</f>
        <v>00160749</v>
      </c>
      <c r="H2092" t="s">
        <v>66</v>
      </c>
      <c r="I2092">
        <v>0</v>
      </c>
      <c r="J2092">
        <v>0</v>
      </c>
      <c r="K2092">
        <v>0</v>
      </c>
      <c r="L2092">
        <v>200</v>
      </c>
      <c r="M2092">
        <v>0</v>
      </c>
      <c r="N2092">
        <v>30</v>
      </c>
      <c r="O2092">
        <v>0</v>
      </c>
      <c r="P2092">
        <v>0</v>
      </c>
      <c r="Q2092">
        <v>0</v>
      </c>
      <c r="R2092">
        <v>0</v>
      </c>
      <c r="S2092">
        <v>0</v>
      </c>
      <c r="T2092">
        <v>0</v>
      </c>
      <c r="U2092">
        <v>0</v>
      </c>
      <c r="V2092">
        <v>0</v>
      </c>
      <c r="W2092">
        <v>0</v>
      </c>
      <c r="X2092">
        <v>0</v>
      </c>
      <c r="Z2092">
        <v>0</v>
      </c>
      <c r="AA2092">
        <v>0</v>
      </c>
      <c r="AB2092">
        <v>0</v>
      </c>
      <c r="AC2092">
        <v>0</v>
      </c>
      <c r="AD2092" t="s">
        <v>4185</v>
      </c>
    </row>
    <row r="2093" spans="1:30" x14ac:dyDescent="0.25">
      <c r="H2093" t="s">
        <v>4186</v>
      </c>
    </row>
    <row r="2094" spans="1:30" x14ac:dyDescent="0.25">
      <c r="A2094">
        <v>1044</v>
      </c>
      <c r="B2094">
        <v>4803</v>
      </c>
      <c r="C2094" t="s">
        <v>271</v>
      </c>
      <c r="D2094" t="s">
        <v>1248</v>
      </c>
      <c r="E2094" t="s">
        <v>107</v>
      </c>
      <c r="F2094" t="s">
        <v>4187</v>
      </c>
      <c r="G2094" t="str">
        <f>"200903000090"</f>
        <v>200903000090</v>
      </c>
      <c r="H2094" t="s">
        <v>1163</v>
      </c>
      <c r="I2094">
        <v>0</v>
      </c>
      <c r="J2094">
        <v>0</v>
      </c>
      <c r="K2094">
        <v>0</v>
      </c>
      <c r="L2094">
        <v>200</v>
      </c>
      <c r="M2094">
        <v>0</v>
      </c>
      <c r="N2094">
        <v>30</v>
      </c>
      <c r="O2094">
        <v>0</v>
      </c>
      <c r="P2094">
        <v>0</v>
      </c>
      <c r="Q2094">
        <v>0</v>
      </c>
      <c r="R2094">
        <v>0</v>
      </c>
      <c r="S2094">
        <v>0</v>
      </c>
      <c r="T2094">
        <v>0</v>
      </c>
      <c r="U2094">
        <v>0</v>
      </c>
      <c r="V2094">
        <v>0</v>
      </c>
      <c r="W2094">
        <v>0</v>
      </c>
      <c r="X2094">
        <v>0</v>
      </c>
      <c r="Z2094">
        <v>0</v>
      </c>
      <c r="AA2094">
        <v>0</v>
      </c>
      <c r="AB2094">
        <v>0</v>
      </c>
      <c r="AC2094">
        <v>0</v>
      </c>
      <c r="AD2094" t="s">
        <v>4188</v>
      </c>
    </row>
    <row r="2095" spans="1:30" x14ac:dyDescent="0.25">
      <c r="H2095" t="s">
        <v>4189</v>
      </c>
    </row>
    <row r="2096" spans="1:30" x14ac:dyDescent="0.25">
      <c r="A2096">
        <v>1045</v>
      </c>
      <c r="B2096">
        <v>5220</v>
      </c>
      <c r="C2096" t="s">
        <v>4190</v>
      </c>
      <c r="D2096" t="s">
        <v>629</v>
      </c>
      <c r="E2096" t="s">
        <v>102</v>
      </c>
      <c r="F2096" t="s">
        <v>4191</v>
      </c>
      <c r="G2096" t="str">
        <f>"00358796"</f>
        <v>00358796</v>
      </c>
      <c r="H2096" t="s">
        <v>476</v>
      </c>
      <c r="I2096">
        <v>0</v>
      </c>
      <c r="J2096">
        <v>0</v>
      </c>
      <c r="K2096">
        <v>0</v>
      </c>
      <c r="L2096">
        <v>0</v>
      </c>
      <c r="M2096">
        <v>0</v>
      </c>
      <c r="N2096">
        <v>70</v>
      </c>
      <c r="O2096">
        <v>0</v>
      </c>
      <c r="P2096">
        <v>0</v>
      </c>
      <c r="Q2096">
        <v>0</v>
      </c>
      <c r="R2096">
        <v>0</v>
      </c>
      <c r="S2096">
        <v>0</v>
      </c>
      <c r="T2096">
        <v>0</v>
      </c>
      <c r="U2096">
        <v>0</v>
      </c>
      <c r="V2096">
        <v>23</v>
      </c>
      <c r="W2096">
        <v>161</v>
      </c>
      <c r="X2096">
        <v>0</v>
      </c>
      <c r="Z2096">
        <v>0</v>
      </c>
      <c r="AA2096">
        <v>0</v>
      </c>
      <c r="AB2096">
        <v>0</v>
      </c>
      <c r="AC2096">
        <v>0</v>
      </c>
      <c r="AD2096" t="s">
        <v>16</v>
      </c>
    </row>
    <row r="2097" spans="1:30" x14ac:dyDescent="0.25">
      <c r="H2097" t="s">
        <v>1527</v>
      </c>
    </row>
    <row r="2098" spans="1:30" x14ac:dyDescent="0.25">
      <c r="A2098">
        <v>1046</v>
      </c>
      <c r="B2098">
        <v>2177</v>
      </c>
      <c r="C2098" t="s">
        <v>4192</v>
      </c>
      <c r="D2098" t="s">
        <v>3812</v>
      </c>
      <c r="E2098" t="s">
        <v>32</v>
      </c>
      <c r="F2098" t="s">
        <v>4193</v>
      </c>
      <c r="G2098" t="str">
        <f>"201411003235"</f>
        <v>201411003235</v>
      </c>
      <c r="H2098" t="s">
        <v>774</v>
      </c>
      <c r="I2098">
        <v>150</v>
      </c>
      <c r="J2098">
        <v>0</v>
      </c>
      <c r="K2098">
        <v>0</v>
      </c>
      <c r="L2098">
        <v>0</v>
      </c>
      <c r="M2098">
        <v>0</v>
      </c>
      <c r="N2098">
        <v>30</v>
      </c>
      <c r="O2098">
        <v>0</v>
      </c>
      <c r="P2098">
        <v>0</v>
      </c>
      <c r="Q2098">
        <v>0</v>
      </c>
      <c r="R2098">
        <v>0</v>
      </c>
      <c r="S2098">
        <v>0</v>
      </c>
      <c r="T2098">
        <v>0</v>
      </c>
      <c r="U2098">
        <v>0</v>
      </c>
      <c r="V2098">
        <v>2</v>
      </c>
      <c r="W2098">
        <v>14</v>
      </c>
      <c r="X2098">
        <v>0</v>
      </c>
      <c r="Z2098">
        <v>2</v>
      </c>
      <c r="AA2098">
        <v>0</v>
      </c>
      <c r="AB2098">
        <v>0</v>
      </c>
      <c r="AC2098">
        <v>0</v>
      </c>
      <c r="AD2098" t="s">
        <v>4194</v>
      </c>
    </row>
    <row r="2099" spans="1:30" x14ac:dyDescent="0.25">
      <c r="H2099" t="s">
        <v>4195</v>
      </c>
    </row>
    <row r="2100" spans="1:30" x14ac:dyDescent="0.25">
      <c r="A2100">
        <v>1047</v>
      </c>
      <c r="B2100">
        <v>5873</v>
      </c>
      <c r="C2100" t="s">
        <v>3955</v>
      </c>
      <c r="D2100" t="s">
        <v>28</v>
      </c>
      <c r="E2100" t="s">
        <v>32</v>
      </c>
      <c r="F2100" t="s">
        <v>4196</v>
      </c>
      <c r="G2100" t="str">
        <f>"00344084"</f>
        <v>00344084</v>
      </c>
      <c r="H2100" t="s">
        <v>1281</v>
      </c>
      <c r="I2100">
        <v>0</v>
      </c>
      <c r="J2100">
        <v>0</v>
      </c>
      <c r="K2100">
        <v>0</v>
      </c>
      <c r="L2100">
        <v>0</v>
      </c>
      <c r="M2100">
        <v>0</v>
      </c>
      <c r="N2100">
        <v>70</v>
      </c>
      <c r="O2100">
        <v>0</v>
      </c>
      <c r="P2100">
        <v>0</v>
      </c>
      <c r="Q2100">
        <v>0</v>
      </c>
      <c r="R2100">
        <v>0</v>
      </c>
      <c r="S2100">
        <v>0</v>
      </c>
      <c r="T2100">
        <v>0</v>
      </c>
      <c r="U2100">
        <v>0</v>
      </c>
      <c r="V2100">
        <v>4</v>
      </c>
      <c r="W2100">
        <v>28</v>
      </c>
      <c r="X2100">
        <v>0</v>
      </c>
      <c r="Z2100">
        <v>0</v>
      </c>
      <c r="AA2100">
        <v>0</v>
      </c>
      <c r="AB2100">
        <v>6</v>
      </c>
      <c r="AC2100">
        <v>102</v>
      </c>
      <c r="AD2100" t="s">
        <v>4197</v>
      </c>
    </row>
    <row r="2101" spans="1:30" x14ac:dyDescent="0.25">
      <c r="H2101" t="s">
        <v>4198</v>
      </c>
    </row>
    <row r="2102" spans="1:30" x14ac:dyDescent="0.25">
      <c r="A2102">
        <v>1048</v>
      </c>
      <c r="B2102">
        <v>1170</v>
      </c>
      <c r="C2102" t="s">
        <v>4199</v>
      </c>
      <c r="D2102" t="s">
        <v>444</v>
      </c>
      <c r="E2102" t="s">
        <v>120</v>
      </c>
      <c r="F2102" t="s">
        <v>4200</v>
      </c>
      <c r="G2102" t="str">
        <f>"201412001381"</f>
        <v>201412001381</v>
      </c>
      <c r="H2102" t="s">
        <v>66</v>
      </c>
      <c r="I2102">
        <v>0</v>
      </c>
      <c r="J2102">
        <v>0</v>
      </c>
      <c r="K2102">
        <v>0</v>
      </c>
      <c r="L2102">
        <v>0</v>
      </c>
      <c r="M2102">
        <v>0</v>
      </c>
      <c r="N2102">
        <v>30</v>
      </c>
      <c r="O2102">
        <v>0</v>
      </c>
      <c r="P2102">
        <v>0</v>
      </c>
      <c r="Q2102">
        <v>0</v>
      </c>
      <c r="R2102">
        <v>0</v>
      </c>
      <c r="S2102">
        <v>0</v>
      </c>
      <c r="T2102">
        <v>0</v>
      </c>
      <c r="U2102">
        <v>0</v>
      </c>
      <c r="V2102">
        <v>28</v>
      </c>
      <c r="W2102">
        <v>196</v>
      </c>
      <c r="X2102">
        <v>0</v>
      </c>
      <c r="Z2102">
        <v>0</v>
      </c>
      <c r="AA2102">
        <v>0</v>
      </c>
      <c r="AB2102">
        <v>0</v>
      </c>
      <c r="AC2102">
        <v>0</v>
      </c>
      <c r="AD2102" t="s">
        <v>4201</v>
      </c>
    </row>
    <row r="2103" spans="1:30" x14ac:dyDescent="0.25">
      <c r="H2103" t="s">
        <v>4202</v>
      </c>
    </row>
    <row r="2104" spans="1:30" x14ac:dyDescent="0.25">
      <c r="A2104">
        <v>1049</v>
      </c>
      <c r="B2104">
        <v>6264</v>
      </c>
      <c r="C2104" t="s">
        <v>1168</v>
      </c>
      <c r="D2104" t="s">
        <v>490</v>
      </c>
      <c r="E2104" t="s">
        <v>1169</v>
      </c>
      <c r="F2104" t="s">
        <v>4203</v>
      </c>
      <c r="G2104" t="str">
        <f>"00336318"</f>
        <v>00336318</v>
      </c>
      <c r="H2104" t="s">
        <v>1368</v>
      </c>
      <c r="I2104">
        <v>0</v>
      </c>
      <c r="J2104">
        <v>0</v>
      </c>
      <c r="K2104">
        <v>0</v>
      </c>
      <c r="L2104">
        <v>0</v>
      </c>
      <c r="M2104">
        <v>0</v>
      </c>
      <c r="N2104">
        <v>30</v>
      </c>
      <c r="O2104">
        <v>0</v>
      </c>
      <c r="P2104">
        <v>0</v>
      </c>
      <c r="Q2104">
        <v>0</v>
      </c>
      <c r="R2104">
        <v>0</v>
      </c>
      <c r="S2104">
        <v>0</v>
      </c>
      <c r="T2104">
        <v>0</v>
      </c>
      <c r="U2104">
        <v>0</v>
      </c>
      <c r="V2104">
        <v>33</v>
      </c>
      <c r="W2104">
        <v>231</v>
      </c>
      <c r="X2104">
        <v>0</v>
      </c>
      <c r="Z2104">
        <v>0</v>
      </c>
      <c r="AA2104">
        <v>0</v>
      </c>
      <c r="AB2104">
        <v>0</v>
      </c>
      <c r="AC2104">
        <v>0</v>
      </c>
      <c r="AD2104" t="s">
        <v>4204</v>
      </c>
    </row>
    <row r="2105" spans="1:30" x14ac:dyDescent="0.25">
      <c r="H2105" t="s">
        <v>4205</v>
      </c>
    </row>
    <row r="2106" spans="1:30" x14ac:dyDescent="0.25">
      <c r="A2106">
        <v>1050</v>
      </c>
      <c r="B2106">
        <v>2781</v>
      </c>
      <c r="C2106" t="s">
        <v>4206</v>
      </c>
      <c r="D2106" t="s">
        <v>191</v>
      </c>
      <c r="E2106" t="s">
        <v>2455</v>
      </c>
      <c r="F2106" t="s">
        <v>4207</v>
      </c>
      <c r="G2106" t="str">
        <f>"201402005279"</f>
        <v>201402005279</v>
      </c>
      <c r="H2106" t="s">
        <v>2518</v>
      </c>
      <c r="I2106">
        <v>0</v>
      </c>
      <c r="J2106">
        <v>0</v>
      </c>
      <c r="K2106">
        <v>0</v>
      </c>
      <c r="L2106">
        <v>0</v>
      </c>
      <c r="M2106">
        <v>0</v>
      </c>
      <c r="N2106">
        <v>0</v>
      </c>
      <c r="O2106">
        <v>0</v>
      </c>
      <c r="P2106">
        <v>0</v>
      </c>
      <c r="Q2106">
        <v>0</v>
      </c>
      <c r="R2106">
        <v>0</v>
      </c>
      <c r="S2106">
        <v>0</v>
      </c>
      <c r="T2106">
        <v>0</v>
      </c>
      <c r="U2106">
        <v>0</v>
      </c>
      <c r="V2106">
        <v>36</v>
      </c>
      <c r="W2106">
        <v>252</v>
      </c>
      <c r="X2106">
        <v>0</v>
      </c>
      <c r="Z2106">
        <v>0</v>
      </c>
      <c r="AA2106">
        <v>0</v>
      </c>
      <c r="AB2106">
        <v>0</v>
      </c>
      <c r="AC2106">
        <v>0</v>
      </c>
      <c r="AD2106" t="s">
        <v>4208</v>
      </c>
    </row>
    <row r="2107" spans="1:30" x14ac:dyDescent="0.25">
      <c r="H2107" t="s">
        <v>4209</v>
      </c>
    </row>
    <row r="2108" spans="1:30" x14ac:dyDescent="0.25">
      <c r="A2108">
        <v>1051</v>
      </c>
      <c r="B2108">
        <v>4540</v>
      </c>
      <c r="C2108" t="s">
        <v>4210</v>
      </c>
      <c r="D2108" t="s">
        <v>615</v>
      </c>
      <c r="E2108" t="s">
        <v>77</v>
      </c>
      <c r="F2108" t="s">
        <v>4211</v>
      </c>
      <c r="G2108" t="str">
        <f>"00218092"</f>
        <v>00218092</v>
      </c>
      <c r="H2108" t="s">
        <v>2703</v>
      </c>
      <c r="I2108">
        <v>0</v>
      </c>
      <c r="J2108">
        <v>0</v>
      </c>
      <c r="K2108">
        <v>0</v>
      </c>
      <c r="L2108">
        <v>0</v>
      </c>
      <c r="M2108">
        <v>0</v>
      </c>
      <c r="N2108">
        <v>0</v>
      </c>
      <c r="O2108">
        <v>0</v>
      </c>
      <c r="P2108">
        <v>0</v>
      </c>
      <c r="Q2108">
        <v>0</v>
      </c>
      <c r="R2108">
        <v>0</v>
      </c>
      <c r="S2108">
        <v>0</v>
      </c>
      <c r="T2108">
        <v>0</v>
      </c>
      <c r="U2108">
        <v>0</v>
      </c>
      <c r="V2108">
        <v>39</v>
      </c>
      <c r="W2108">
        <v>273</v>
      </c>
      <c r="X2108">
        <v>0</v>
      </c>
      <c r="Z2108">
        <v>1</v>
      </c>
      <c r="AA2108">
        <v>0</v>
      </c>
      <c r="AB2108">
        <v>0</v>
      </c>
      <c r="AC2108">
        <v>0</v>
      </c>
      <c r="AD2108" t="s">
        <v>4212</v>
      </c>
    </row>
    <row r="2109" spans="1:30" x14ac:dyDescent="0.25">
      <c r="H2109" t="s">
        <v>4213</v>
      </c>
    </row>
    <row r="2110" spans="1:30" x14ac:dyDescent="0.25">
      <c r="A2110">
        <v>1052</v>
      </c>
      <c r="B2110">
        <v>1859</v>
      </c>
      <c r="C2110" t="s">
        <v>4214</v>
      </c>
      <c r="D2110" t="s">
        <v>4215</v>
      </c>
      <c r="E2110" t="s">
        <v>289</v>
      </c>
      <c r="F2110" t="s">
        <v>4216</v>
      </c>
      <c r="G2110" t="str">
        <f>"201405000687"</f>
        <v>201405000687</v>
      </c>
      <c r="H2110" t="s">
        <v>427</v>
      </c>
      <c r="I2110">
        <v>0</v>
      </c>
      <c r="J2110">
        <v>0</v>
      </c>
      <c r="K2110">
        <v>0</v>
      </c>
      <c r="L2110">
        <v>0</v>
      </c>
      <c r="M2110">
        <v>0</v>
      </c>
      <c r="N2110">
        <v>70</v>
      </c>
      <c r="O2110">
        <v>0</v>
      </c>
      <c r="P2110">
        <v>0</v>
      </c>
      <c r="Q2110">
        <v>0</v>
      </c>
      <c r="R2110">
        <v>0</v>
      </c>
      <c r="S2110">
        <v>0</v>
      </c>
      <c r="T2110">
        <v>0</v>
      </c>
      <c r="U2110">
        <v>0</v>
      </c>
      <c r="V2110">
        <v>26</v>
      </c>
      <c r="W2110">
        <v>182</v>
      </c>
      <c r="X2110">
        <v>0</v>
      </c>
      <c r="Z2110">
        <v>0</v>
      </c>
      <c r="AA2110">
        <v>0</v>
      </c>
      <c r="AB2110">
        <v>0</v>
      </c>
      <c r="AC2110">
        <v>0</v>
      </c>
      <c r="AD2110" t="s">
        <v>4217</v>
      </c>
    </row>
    <row r="2111" spans="1:30" x14ac:dyDescent="0.25">
      <c r="H2111" t="s">
        <v>4218</v>
      </c>
    </row>
    <row r="2112" spans="1:30" x14ac:dyDescent="0.25">
      <c r="A2112">
        <v>1053</v>
      </c>
      <c r="B2112">
        <v>4826</v>
      </c>
      <c r="C2112" t="s">
        <v>4219</v>
      </c>
      <c r="D2112" t="s">
        <v>4007</v>
      </c>
      <c r="E2112" t="s">
        <v>102</v>
      </c>
      <c r="F2112" t="s">
        <v>4220</v>
      </c>
      <c r="G2112" t="str">
        <f>"201406017213"</f>
        <v>201406017213</v>
      </c>
      <c r="H2112" t="s">
        <v>243</v>
      </c>
      <c r="I2112">
        <v>0</v>
      </c>
      <c r="J2112">
        <v>0</v>
      </c>
      <c r="K2112">
        <v>0</v>
      </c>
      <c r="L2112">
        <v>0</v>
      </c>
      <c r="M2112">
        <v>0</v>
      </c>
      <c r="N2112">
        <v>70</v>
      </c>
      <c r="O2112">
        <v>0</v>
      </c>
      <c r="P2112">
        <v>30</v>
      </c>
      <c r="Q2112">
        <v>0</v>
      </c>
      <c r="R2112">
        <v>0</v>
      </c>
      <c r="S2112">
        <v>0</v>
      </c>
      <c r="T2112">
        <v>0</v>
      </c>
      <c r="U2112">
        <v>0</v>
      </c>
      <c r="V2112">
        <v>0</v>
      </c>
      <c r="W2112">
        <v>0</v>
      </c>
      <c r="X2112">
        <v>0</v>
      </c>
      <c r="Z2112">
        <v>0</v>
      </c>
      <c r="AA2112">
        <v>0</v>
      </c>
      <c r="AB2112">
        <v>0</v>
      </c>
      <c r="AC2112">
        <v>0</v>
      </c>
      <c r="AD2112" t="s">
        <v>4221</v>
      </c>
    </row>
    <row r="2113" spans="1:30" x14ac:dyDescent="0.25">
      <c r="H2113" t="s">
        <v>4222</v>
      </c>
    </row>
    <row r="2114" spans="1:30" x14ac:dyDescent="0.25">
      <c r="A2114">
        <v>1054</v>
      </c>
      <c r="B2114">
        <v>544</v>
      </c>
      <c r="C2114" t="s">
        <v>4223</v>
      </c>
      <c r="D2114" t="s">
        <v>615</v>
      </c>
      <c r="E2114" t="s">
        <v>107</v>
      </c>
      <c r="F2114">
        <v>2085026</v>
      </c>
      <c r="G2114" t="str">
        <f>"201410003447"</f>
        <v>201410003447</v>
      </c>
      <c r="H2114" t="s">
        <v>4224</v>
      </c>
      <c r="I2114">
        <v>0</v>
      </c>
      <c r="J2114">
        <v>0</v>
      </c>
      <c r="K2114">
        <v>0</v>
      </c>
      <c r="L2114">
        <v>0</v>
      </c>
      <c r="M2114">
        <v>0</v>
      </c>
      <c r="N2114">
        <v>0</v>
      </c>
      <c r="O2114">
        <v>0</v>
      </c>
      <c r="P2114">
        <v>0</v>
      </c>
      <c r="Q2114">
        <v>0</v>
      </c>
      <c r="R2114">
        <v>0</v>
      </c>
      <c r="S2114">
        <v>0</v>
      </c>
      <c r="T2114">
        <v>0</v>
      </c>
      <c r="U2114">
        <v>0</v>
      </c>
      <c r="V2114">
        <v>7</v>
      </c>
      <c r="W2114">
        <v>49</v>
      </c>
      <c r="X2114">
        <v>0</v>
      </c>
      <c r="Z2114">
        <v>0</v>
      </c>
      <c r="AA2114">
        <v>0</v>
      </c>
      <c r="AB2114">
        <v>0</v>
      </c>
      <c r="AC2114">
        <v>0</v>
      </c>
      <c r="AD2114" t="s">
        <v>4225</v>
      </c>
    </row>
    <row r="2115" spans="1:30" x14ac:dyDescent="0.25">
      <c r="H2115" t="s">
        <v>4226</v>
      </c>
    </row>
    <row r="2116" spans="1:30" x14ac:dyDescent="0.25">
      <c r="A2116">
        <v>1055</v>
      </c>
      <c r="B2116">
        <v>4047</v>
      </c>
      <c r="C2116" t="s">
        <v>2073</v>
      </c>
      <c r="D2116" t="s">
        <v>425</v>
      </c>
      <c r="E2116" t="s">
        <v>959</v>
      </c>
      <c r="F2116" t="s">
        <v>4227</v>
      </c>
      <c r="G2116" t="str">
        <f>"00201599"</f>
        <v>00201599</v>
      </c>
      <c r="H2116">
        <v>836</v>
      </c>
      <c r="I2116">
        <v>0</v>
      </c>
      <c r="J2116">
        <v>0</v>
      </c>
      <c r="K2116">
        <v>0</v>
      </c>
      <c r="L2116">
        <v>0</v>
      </c>
      <c r="M2116">
        <v>0</v>
      </c>
      <c r="N2116">
        <v>30</v>
      </c>
      <c r="O2116">
        <v>0</v>
      </c>
      <c r="P2116">
        <v>0</v>
      </c>
      <c r="Q2116">
        <v>0</v>
      </c>
      <c r="R2116">
        <v>0</v>
      </c>
      <c r="S2116">
        <v>0</v>
      </c>
      <c r="T2116">
        <v>0</v>
      </c>
      <c r="U2116">
        <v>0</v>
      </c>
      <c r="V2116">
        <v>13</v>
      </c>
      <c r="W2116">
        <v>91</v>
      </c>
      <c r="X2116">
        <v>0</v>
      </c>
      <c r="Z2116">
        <v>0</v>
      </c>
      <c r="AA2116">
        <v>0</v>
      </c>
      <c r="AB2116">
        <v>0</v>
      </c>
      <c r="AC2116">
        <v>0</v>
      </c>
      <c r="AD2116">
        <v>957</v>
      </c>
    </row>
    <row r="2117" spans="1:30" x14ac:dyDescent="0.25">
      <c r="H2117" t="s">
        <v>2914</v>
      </c>
    </row>
    <row r="2118" spans="1:30" x14ac:dyDescent="0.25">
      <c r="A2118">
        <v>1056</v>
      </c>
      <c r="B2118">
        <v>71</v>
      </c>
      <c r="C2118" t="s">
        <v>4228</v>
      </c>
      <c r="D2118" t="s">
        <v>76</v>
      </c>
      <c r="E2118" t="s">
        <v>3849</v>
      </c>
      <c r="F2118" t="s">
        <v>4229</v>
      </c>
      <c r="G2118" t="str">
        <f>"201511013351"</f>
        <v>201511013351</v>
      </c>
      <c r="H2118">
        <v>891</v>
      </c>
      <c r="I2118">
        <v>0</v>
      </c>
      <c r="J2118">
        <v>0</v>
      </c>
      <c r="K2118">
        <v>0</v>
      </c>
      <c r="L2118">
        <v>0</v>
      </c>
      <c r="M2118">
        <v>0</v>
      </c>
      <c r="N2118">
        <v>30</v>
      </c>
      <c r="O2118">
        <v>0</v>
      </c>
      <c r="P2118">
        <v>0</v>
      </c>
      <c r="Q2118">
        <v>0</v>
      </c>
      <c r="R2118">
        <v>0</v>
      </c>
      <c r="S2118">
        <v>0</v>
      </c>
      <c r="T2118">
        <v>0</v>
      </c>
      <c r="U2118">
        <v>0</v>
      </c>
      <c r="V2118">
        <v>5</v>
      </c>
      <c r="W2118">
        <v>35</v>
      </c>
      <c r="X2118">
        <v>0</v>
      </c>
      <c r="Z2118">
        <v>0</v>
      </c>
      <c r="AA2118">
        <v>0</v>
      </c>
      <c r="AB2118">
        <v>0</v>
      </c>
      <c r="AC2118">
        <v>0</v>
      </c>
      <c r="AD2118">
        <v>956</v>
      </c>
    </row>
    <row r="2119" spans="1:30" x14ac:dyDescent="0.25">
      <c r="H2119" t="s">
        <v>4230</v>
      </c>
    </row>
    <row r="2120" spans="1:30" x14ac:dyDescent="0.25">
      <c r="A2120">
        <v>1057</v>
      </c>
      <c r="B2120">
        <v>2478</v>
      </c>
      <c r="C2120" t="s">
        <v>4231</v>
      </c>
      <c r="D2120" t="s">
        <v>32</v>
      </c>
      <c r="E2120" t="s">
        <v>347</v>
      </c>
      <c r="F2120" t="s">
        <v>4232</v>
      </c>
      <c r="G2120" t="str">
        <f>"00327571"</f>
        <v>00327571</v>
      </c>
      <c r="H2120" t="s">
        <v>3855</v>
      </c>
      <c r="I2120">
        <v>0</v>
      </c>
      <c r="J2120">
        <v>0</v>
      </c>
      <c r="K2120">
        <v>0</v>
      </c>
      <c r="L2120">
        <v>0</v>
      </c>
      <c r="M2120">
        <v>0</v>
      </c>
      <c r="N2120">
        <v>0</v>
      </c>
      <c r="O2120">
        <v>0</v>
      </c>
      <c r="P2120">
        <v>0</v>
      </c>
      <c r="Q2120">
        <v>0</v>
      </c>
      <c r="R2120">
        <v>0</v>
      </c>
      <c r="S2120">
        <v>0</v>
      </c>
      <c r="T2120">
        <v>0</v>
      </c>
      <c r="U2120">
        <v>0</v>
      </c>
      <c r="V2120">
        <v>44</v>
      </c>
      <c r="W2120">
        <v>308</v>
      </c>
      <c r="X2120">
        <v>0</v>
      </c>
      <c r="Z2120">
        <v>0</v>
      </c>
      <c r="AA2120">
        <v>0</v>
      </c>
      <c r="AB2120">
        <v>0</v>
      </c>
      <c r="AC2120">
        <v>0</v>
      </c>
      <c r="AD2120" t="s">
        <v>4233</v>
      </c>
    </row>
    <row r="2121" spans="1:30" x14ac:dyDescent="0.25">
      <c r="H2121" t="s">
        <v>4234</v>
      </c>
    </row>
    <row r="2122" spans="1:30" x14ac:dyDescent="0.25">
      <c r="A2122">
        <v>1058</v>
      </c>
      <c r="B2122">
        <v>3589</v>
      </c>
      <c r="C2122" t="s">
        <v>4235</v>
      </c>
      <c r="D2122" t="s">
        <v>57</v>
      </c>
      <c r="E2122" t="s">
        <v>4236</v>
      </c>
      <c r="F2122" t="s">
        <v>4237</v>
      </c>
      <c r="G2122" t="str">
        <f>"00018054"</f>
        <v>00018054</v>
      </c>
      <c r="H2122" t="s">
        <v>4238</v>
      </c>
      <c r="I2122">
        <v>0</v>
      </c>
      <c r="J2122">
        <v>0</v>
      </c>
      <c r="K2122">
        <v>0</v>
      </c>
      <c r="L2122">
        <v>0</v>
      </c>
      <c r="M2122">
        <v>0</v>
      </c>
      <c r="N2122">
        <v>30</v>
      </c>
      <c r="O2122">
        <v>0</v>
      </c>
      <c r="P2122">
        <v>0</v>
      </c>
      <c r="Q2122">
        <v>0</v>
      </c>
      <c r="R2122">
        <v>0</v>
      </c>
      <c r="S2122">
        <v>0</v>
      </c>
      <c r="T2122">
        <v>0</v>
      </c>
      <c r="U2122">
        <v>0</v>
      </c>
      <c r="V2122">
        <v>40</v>
      </c>
      <c r="W2122">
        <v>280</v>
      </c>
      <c r="X2122">
        <v>0</v>
      </c>
      <c r="Z2122">
        <v>0</v>
      </c>
      <c r="AA2122">
        <v>0</v>
      </c>
      <c r="AB2122">
        <v>0</v>
      </c>
      <c r="AC2122">
        <v>0</v>
      </c>
      <c r="AD2122" t="s">
        <v>4239</v>
      </c>
    </row>
    <row r="2123" spans="1:30" x14ac:dyDescent="0.25">
      <c r="H2123" t="s">
        <v>4240</v>
      </c>
    </row>
    <row r="2124" spans="1:30" x14ac:dyDescent="0.25">
      <c r="A2124">
        <v>1059</v>
      </c>
      <c r="B2124">
        <v>4145</v>
      </c>
      <c r="C2124" t="s">
        <v>4241</v>
      </c>
      <c r="D2124" t="s">
        <v>218</v>
      </c>
      <c r="E2124" t="s">
        <v>32</v>
      </c>
      <c r="F2124" t="s">
        <v>4242</v>
      </c>
      <c r="G2124" t="str">
        <f>"00171806"</f>
        <v>00171806</v>
      </c>
      <c r="H2124">
        <v>726</v>
      </c>
      <c r="I2124">
        <v>0</v>
      </c>
      <c r="J2124">
        <v>0</v>
      </c>
      <c r="K2124">
        <v>0</v>
      </c>
      <c r="L2124">
        <v>0</v>
      </c>
      <c r="M2124">
        <v>0</v>
      </c>
      <c r="N2124">
        <v>30</v>
      </c>
      <c r="O2124">
        <v>0</v>
      </c>
      <c r="P2124">
        <v>0</v>
      </c>
      <c r="Q2124">
        <v>0</v>
      </c>
      <c r="R2124">
        <v>0</v>
      </c>
      <c r="S2124">
        <v>0</v>
      </c>
      <c r="T2124">
        <v>0</v>
      </c>
      <c r="U2124">
        <v>0</v>
      </c>
      <c r="V2124">
        <v>28</v>
      </c>
      <c r="W2124">
        <v>196</v>
      </c>
      <c r="X2124">
        <v>0</v>
      </c>
      <c r="Z2124">
        <v>0</v>
      </c>
      <c r="AA2124">
        <v>0</v>
      </c>
      <c r="AB2124">
        <v>0</v>
      </c>
      <c r="AC2124">
        <v>0</v>
      </c>
      <c r="AD2124">
        <v>952</v>
      </c>
    </row>
    <row r="2125" spans="1:30" x14ac:dyDescent="0.25">
      <c r="H2125" t="s">
        <v>4243</v>
      </c>
    </row>
    <row r="2126" spans="1:30" x14ac:dyDescent="0.25">
      <c r="A2126">
        <v>1060</v>
      </c>
      <c r="B2126">
        <v>195</v>
      </c>
      <c r="C2126" t="s">
        <v>4244</v>
      </c>
      <c r="D2126" t="s">
        <v>141</v>
      </c>
      <c r="E2126" t="s">
        <v>76</v>
      </c>
      <c r="F2126" t="s">
        <v>4245</v>
      </c>
      <c r="G2126" t="str">
        <f>"201604005552"</f>
        <v>201604005552</v>
      </c>
      <c r="H2126" t="s">
        <v>1244</v>
      </c>
      <c r="I2126">
        <v>0</v>
      </c>
      <c r="J2126">
        <v>0</v>
      </c>
      <c r="K2126">
        <v>0</v>
      </c>
      <c r="L2126">
        <v>0</v>
      </c>
      <c r="M2126">
        <v>0</v>
      </c>
      <c r="N2126">
        <v>30</v>
      </c>
      <c r="O2126">
        <v>0</v>
      </c>
      <c r="P2126">
        <v>0</v>
      </c>
      <c r="Q2126">
        <v>0</v>
      </c>
      <c r="R2126">
        <v>0</v>
      </c>
      <c r="S2126">
        <v>0</v>
      </c>
      <c r="T2126">
        <v>0</v>
      </c>
      <c r="U2126">
        <v>0</v>
      </c>
      <c r="V2126">
        <v>14</v>
      </c>
      <c r="W2126">
        <v>98</v>
      </c>
      <c r="X2126">
        <v>0</v>
      </c>
      <c r="Z2126">
        <v>0</v>
      </c>
      <c r="AA2126">
        <v>0</v>
      </c>
      <c r="AB2126">
        <v>0</v>
      </c>
      <c r="AC2126">
        <v>0</v>
      </c>
      <c r="AD2126" t="s">
        <v>4246</v>
      </c>
    </row>
    <row r="2127" spans="1:30" x14ac:dyDescent="0.25">
      <c r="H2127" t="s">
        <v>4247</v>
      </c>
    </row>
    <row r="2128" spans="1:30" x14ac:dyDescent="0.25">
      <c r="A2128">
        <v>1061</v>
      </c>
      <c r="B2128">
        <v>1438</v>
      </c>
      <c r="C2128" t="s">
        <v>4248</v>
      </c>
      <c r="D2128" t="s">
        <v>28</v>
      </c>
      <c r="E2128" t="s">
        <v>4249</v>
      </c>
      <c r="F2128" t="s">
        <v>4250</v>
      </c>
      <c r="G2128" t="str">
        <f>"201412004274"</f>
        <v>201412004274</v>
      </c>
      <c r="H2128" t="s">
        <v>2937</v>
      </c>
      <c r="I2128">
        <v>0</v>
      </c>
      <c r="J2128">
        <v>0</v>
      </c>
      <c r="K2128">
        <v>0</v>
      </c>
      <c r="L2128">
        <v>200</v>
      </c>
      <c r="M2128">
        <v>0</v>
      </c>
      <c r="N2128">
        <v>30</v>
      </c>
      <c r="O2128">
        <v>30</v>
      </c>
      <c r="P2128">
        <v>0</v>
      </c>
      <c r="Q2128">
        <v>0</v>
      </c>
      <c r="R2128">
        <v>0</v>
      </c>
      <c r="S2128">
        <v>0</v>
      </c>
      <c r="T2128">
        <v>0</v>
      </c>
      <c r="U2128">
        <v>0</v>
      </c>
      <c r="V2128">
        <v>0</v>
      </c>
      <c r="W2128">
        <v>0</v>
      </c>
      <c r="X2128">
        <v>0</v>
      </c>
      <c r="Z2128">
        <v>0</v>
      </c>
      <c r="AA2128">
        <v>0</v>
      </c>
      <c r="AB2128">
        <v>0</v>
      </c>
      <c r="AC2128">
        <v>0</v>
      </c>
      <c r="AD2128" t="s">
        <v>4246</v>
      </c>
    </row>
    <row r="2129" spans="1:30" x14ac:dyDescent="0.25">
      <c r="H2129" t="s">
        <v>4251</v>
      </c>
    </row>
    <row r="2130" spans="1:30" x14ac:dyDescent="0.25">
      <c r="A2130">
        <v>1062</v>
      </c>
      <c r="B2130">
        <v>62</v>
      </c>
      <c r="C2130" t="s">
        <v>4252</v>
      </c>
      <c r="D2130" t="s">
        <v>218</v>
      </c>
      <c r="E2130" t="s">
        <v>102</v>
      </c>
      <c r="F2130" t="s">
        <v>4253</v>
      </c>
      <c r="G2130" t="str">
        <f>"00251070"</f>
        <v>00251070</v>
      </c>
      <c r="H2130" t="s">
        <v>4254</v>
      </c>
      <c r="I2130">
        <v>0</v>
      </c>
      <c r="J2130">
        <v>0</v>
      </c>
      <c r="K2130">
        <v>0</v>
      </c>
      <c r="L2130">
        <v>0</v>
      </c>
      <c r="M2130">
        <v>0</v>
      </c>
      <c r="N2130">
        <v>0</v>
      </c>
      <c r="O2130">
        <v>0</v>
      </c>
      <c r="P2130">
        <v>0</v>
      </c>
      <c r="Q2130">
        <v>0</v>
      </c>
      <c r="R2130">
        <v>0</v>
      </c>
      <c r="S2130">
        <v>0</v>
      </c>
      <c r="T2130">
        <v>0</v>
      </c>
      <c r="U2130">
        <v>0</v>
      </c>
      <c r="V2130">
        <v>46</v>
      </c>
      <c r="W2130">
        <v>322</v>
      </c>
      <c r="X2130">
        <v>0</v>
      </c>
      <c r="Z2130">
        <v>0</v>
      </c>
      <c r="AA2130">
        <v>0</v>
      </c>
      <c r="AB2130">
        <v>0</v>
      </c>
      <c r="AC2130">
        <v>0</v>
      </c>
      <c r="AD2130" t="s">
        <v>4255</v>
      </c>
    </row>
    <row r="2131" spans="1:30" x14ac:dyDescent="0.25">
      <c r="H2131" t="s">
        <v>4256</v>
      </c>
    </row>
    <row r="2132" spans="1:30" x14ac:dyDescent="0.25">
      <c r="A2132">
        <v>1063</v>
      </c>
      <c r="B2132">
        <v>4250</v>
      </c>
      <c r="C2132" t="s">
        <v>3262</v>
      </c>
      <c r="D2132" t="s">
        <v>107</v>
      </c>
      <c r="E2132" t="s">
        <v>1850</v>
      </c>
      <c r="F2132" t="s">
        <v>4257</v>
      </c>
      <c r="G2132" t="str">
        <f>"00161678"</f>
        <v>00161678</v>
      </c>
      <c r="H2132" t="s">
        <v>1057</v>
      </c>
      <c r="I2132">
        <v>0</v>
      </c>
      <c r="J2132">
        <v>0</v>
      </c>
      <c r="K2132">
        <v>0</v>
      </c>
      <c r="L2132">
        <v>200</v>
      </c>
      <c r="M2132">
        <v>0</v>
      </c>
      <c r="N2132">
        <v>50</v>
      </c>
      <c r="O2132">
        <v>0</v>
      </c>
      <c r="P2132">
        <v>0</v>
      </c>
      <c r="Q2132">
        <v>0</v>
      </c>
      <c r="R2132">
        <v>0</v>
      </c>
      <c r="S2132">
        <v>0</v>
      </c>
      <c r="T2132">
        <v>0</v>
      </c>
      <c r="U2132">
        <v>0</v>
      </c>
      <c r="V2132">
        <v>1</v>
      </c>
      <c r="W2132">
        <v>7</v>
      </c>
      <c r="X2132">
        <v>0</v>
      </c>
      <c r="Z2132">
        <v>0</v>
      </c>
      <c r="AA2132">
        <v>0</v>
      </c>
      <c r="AB2132">
        <v>0</v>
      </c>
      <c r="AC2132">
        <v>0</v>
      </c>
      <c r="AD2132" t="s">
        <v>4258</v>
      </c>
    </row>
    <row r="2133" spans="1:30" x14ac:dyDescent="0.25">
      <c r="H2133" t="s">
        <v>4259</v>
      </c>
    </row>
    <row r="2134" spans="1:30" x14ac:dyDescent="0.25">
      <c r="A2134">
        <v>1064</v>
      </c>
      <c r="B2134">
        <v>4060</v>
      </c>
      <c r="C2134" t="s">
        <v>4260</v>
      </c>
      <c r="D2134" t="s">
        <v>76</v>
      </c>
      <c r="E2134" t="s">
        <v>102</v>
      </c>
      <c r="F2134" t="s">
        <v>4261</v>
      </c>
      <c r="G2134" t="str">
        <f>"00356183"</f>
        <v>00356183</v>
      </c>
      <c r="H2134">
        <v>649</v>
      </c>
      <c r="I2134">
        <v>0</v>
      </c>
      <c r="J2134">
        <v>0</v>
      </c>
      <c r="K2134">
        <v>0</v>
      </c>
      <c r="L2134">
        <v>0</v>
      </c>
      <c r="M2134">
        <v>0</v>
      </c>
      <c r="N2134">
        <v>30</v>
      </c>
      <c r="O2134">
        <v>0</v>
      </c>
      <c r="P2134">
        <v>0</v>
      </c>
      <c r="Q2134">
        <v>0</v>
      </c>
      <c r="R2134">
        <v>0</v>
      </c>
      <c r="S2134">
        <v>0</v>
      </c>
      <c r="T2134">
        <v>0</v>
      </c>
      <c r="U2134">
        <v>0</v>
      </c>
      <c r="V2134">
        <v>0</v>
      </c>
      <c r="W2134">
        <v>0</v>
      </c>
      <c r="X2134">
        <v>0</v>
      </c>
      <c r="Z2134">
        <v>0</v>
      </c>
      <c r="AA2134">
        <v>0</v>
      </c>
      <c r="AB2134">
        <v>16</v>
      </c>
      <c r="AC2134">
        <v>272</v>
      </c>
      <c r="AD2134">
        <v>951</v>
      </c>
    </row>
    <row r="2135" spans="1:30" x14ac:dyDescent="0.25">
      <c r="H2135" t="s">
        <v>4262</v>
      </c>
    </row>
    <row r="2136" spans="1:30" x14ac:dyDescent="0.25">
      <c r="A2136">
        <v>1065</v>
      </c>
      <c r="B2136">
        <v>2328</v>
      </c>
      <c r="C2136" t="s">
        <v>814</v>
      </c>
      <c r="D2136" t="s">
        <v>453</v>
      </c>
      <c r="E2136" t="s">
        <v>32</v>
      </c>
      <c r="F2136" t="s">
        <v>4263</v>
      </c>
      <c r="G2136" t="str">
        <f>"201511019142"</f>
        <v>201511019142</v>
      </c>
      <c r="H2136" t="s">
        <v>2497</v>
      </c>
      <c r="I2136">
        <v>0</v>
      </c>
      <c r="J2136">
        <v>0</v>
      </c>
      <c r="K2136">
        <v>0</v>
      </c>
      <c r="L2136">
        <v>0</v>
      </c>
      <c r="M2136">
        <v>0</v>
      </c>
      <c r="N2136">
        <v>70</v>
      </c>
      <c r="O2136">
        <v>0</v>
      </c>
      <c r="P2136">
        <v>0</v>
      </c>
      <c r="Q2136">
        <v>0</v>
      </c>
      <c r="R2136">
        <v>0</v>
      </c>
      <c r="S2136">
        <v>0</v>
      </c>
      <c r="T2136">
        <v>0</v>
      </c>
      <c r="U2136">
        <v>0</v>
      </c>
      <c r="V2136">
        <v>14</v>
      </c>
      <c r="W2136">
        <v>98</v>
      </c>
      <c r="X2136">
        <v>0</v>
      </c>
      <c r="Z2136">
        <v>0</v>
      </c>
      <c r="AA2136">
        <v>0</v>
      </c>
      <c r="AB2136">
        <v>6</v>
      </c>
      <c r="AC2136">
        <v>102</v>
      </c>
      <c r="AD2136" t="s">
        <v>4264</v>
      </c>
    </row>
    <row r="2137" spans="1:30" x14ac:dyDescent="0.25">
      <c r="H2137" t="s">
        <v>4265</v>
      </c>
    </row>
    <row r="2138" spans="1:30" x14ac:dyDescent="0.25">
      <c r="A2138">
        <v>1066</v>
      </c>
      <c r="B2138">
        <v>4138</v>
      </c>
      <c r="C2138" t="s">
        <v>4266</v>
      </c>
      <c r="D2138" t="s">
        <v>167</v>
      </c>
      <c r="E2138" t="s">
        <v>255</v>
      </c>
      <c r="F2138" t="s">
        <v>4267</v>
      </c>
      <c r="G2138" t="str">
        <f>"00238061"</f>
        <v>00238061</v>
      </c>
      <c r="H2138" t="s">
        <v>900</v>
      </c>
      <c r="I2138">
        <v>0</v>
      </c>
      <c r="J2138">
        <v>0</v>
      </c>
      <c r="K2138">
        <v>0</v>
      </c>
      <c r="L2138">
        <v>200</v>
      </c>
      <c r="M2138">
        <v>0</v>
      </c>
      <c r="N2138">
        <v>50</v>
      </c>
      <c r="O2138">
        <v>0</v>
      </c>
      <c r="P2138">
        <v>0</v>
      </c>
      <c r="Q2138">
        <v>0</v>
      </c>
      <c r="R2138">
        <v>0</v>
      </c>
      <c r="S2138">
        <v>0</v>
      </c>
      <c r="T2138">
        <v>0</v>
      </c>
      <c r="U2138">
        <v>0</v>
      </c>
      <c r="V2138">
        <v>0</v>
      </c>
      <c r="W2138">
        <v>0</v>
      </c>
      <c r="X2138">
        <v>0</v>
      </c>
      <c r="Z2138">
        <v>1</v>
      </c>
      <c r="AA2138">
        <v>0</v>
      </c>
      <c r="AB2138">
        <v>0</v>
      </c>
      <c r="AC2138">
        <v>0</v>
      </c>
      <c r="AD2138" t="s">
        <v>4268</v>
      </c>
    </row>
    <row r="2139" spans="1:30" x14ac:dyDescent="0.25">
      <c r="H2139" t="s">
        <v>4269</v>
      </c>
    </row>
    <row r="2140" spans="1:30" x14ac:dyDescent="0.25">
      <c r="A2140">
        <v>1067</v>
      </c>
      <c r="B2140">
        <v>3775</v>
      </c>
      <c r="C2140" t="s">
        <v>4270</v>
      </c>
      <c r="D2140" t="s">
        <v>180</v>
      </c>
      <c r="E2140" t="s">
        <v>32</v>
      </c>
      <c r="F2140" t="s">
        <v>4271</v>
      </c>
      <c r="G2140" t="str">
        <f>"201406000217"</f>
        <v>201406000217</v>
      </c>
      <c r="H2140" t="s">
        <v>1796</v>
      </c>
      <c r="I2140">
        <v>0</v>
      </c>
      <c r="J2140">
        <v>0</v>
      </c>
      <c r="K2140">
        <v>0</v>
      </c>
      <c r="L2140">
        <v>0</v>
      </c>
      <c r="M2140">
        <v>0</v>
      </c>
      <c r="N2140">
        <v>70</v>
      </c>
      <c r="O2140">
        <v>0</v>
      </c>
      <c r="P2140">
        <v>0</v>
      </c>
      <c r="Q2140">
        <v>0</v>
      </c>
      <c r="R2140">
        <v>0</v>
      </c>
      <c r="S2140">
        <v>0</v>
      </c>
      <c r="T2140">
        <v>0</v>
      </c>
      <c r="U2140">
        <v>0</v>
      </c>
      <c r="V2140">
        <v>27</v>
      </c>
      <c r="W2140">
        <v>189</v>
      </c>
      <c r="X2140">
        <v>0</v>
      </c>
      <c r="Z2140">
        <v>0</v>
      </c>
      <c r="AA2140">
        <v>0</v>
      </c>
      <c r="AB2140">
        <v>0</v>
      </c>
      <c r="AC2140">
        <v>0</v>
      </c>
      <c r="AD2140" t="s">
        <v>4272</v>
      </c>
    </row>
    <row r="2141" spans="1:30" x14ac:dyDescent="0.25">
      <c r="H2141" t="s">
        <v>4273</v>
      </c>
    </row>
    <row r="2142" spans="1:30" x14ac:dyDescent="0.25">
      <c r="A2142">
        <v>1068</v>
      </c>
      <c r="B2142">
        <v>3789</v>
      </c>
      <c r="C2142" t="s">
        <v>2190</v>
      </c>
      <c r="D2142" t="s">
        <v>4274</v>
      </c>
      <c r="E2142" t="s">
        <v>102</v>
      </c>
      <c r="F2142" t="s">
        <v>4275</v>
      </c>
      <c r="G2142" t="str">
        <f>"201406006045"</f>
        <v>201406006045</v>
      </c>
      <c r="H2142" t="s">
        <v>1057</v>
      </c>
      <c r="I2142">
        <v>0</v>
      </c>
      <c r="J2142">
        <v>0</v>
      </c>
      <c r="K2142">
        <v>0</v>
      </c>
      <c r="L2142">
        <v>0</v>
      </c>
      <c r="M2142">
        <v>0</v>
      </c>
      <c r="N2142">
        <v>30</v>
      </c>
      <c r="O2142">
        <v>0</v>
      </c>
      <c r="P2142">
        <v>0</v>
      </c>
      <c r="Q2142">
        <v>0</v>
      </c>
      <c r="R2142">
        <v>0</v>
      </c>
      <c r="S2142">
        <v>0</v>
      </c>
      <c r="T2142">
        <v>0</v>
      </c>
      <c r="U2142">
        <v>0</v>
      </c>
      <c r="V2142">
        <v>0</v>
      </c>
      <c r="W2142">
        <v>0</v>
      </c>
      <c r="X2142">
        <v>0</v>
      </c>
      <c r="Z2142">
        <v>1</v>
      </c>
      <c r="AA2142">
        <v>0</v>
      </c>
      <c r="AB2142">
        <v>13</v>
      </c>
      <c r="AC2142">
        <v>221</v>
      </c>
      <c r="AD2142" t="s">
        <v>4276</v>
      </c>
    </row>
    <row r="2143" spans="1:30" x14ac:dyDescent="0.25">
      <c r="H2143" t="s">
        <v>4277</v>
      </c>
    </row>
    <row r="2144" spans="1:30" x14ac:dyDescent="0.25">
      <c r="A2144">
        <v>1069</v>
      </c>
      <c r="B2144">
        <v>5015</v>
      </c>
      <c r="C2144" t="s">
        <v>2528</v>
      </c>
      <c r="D2144" t="s">
        <v>4278</v>
      </c>
      <c r="E2144" t="s">
        <v>1540</v>
      </c>
      <c r="F2144" t="s">
        <v>4279</v>
      </c>
      <c r="G2144" t="str">
        <f>"00365711"</f>
        <v>00365711</v>
      </c>
      <c r="H2144" t="s">
        <v>2565</v>
      </c>
      <c r="I2144">
        <v>0</v>
      </c>
      <c r="J2144">
        <v>0</v>
      </c>
      <c r="K2144">
        <v>0</v>
      </c>
      <c r="L2144">
        <v>0</v>
      </c>
      <c r="M2144">
        <v>0</v>
      </c>
      <c r="N2144">
        <v>30</v>
      </c>
      <c r="O2144">
        <v>0</v>
      </c>
      <c r="P2144">
        <v>30</v>
      </c>
      <c r="Q2144">
        <v>0</v>
      </c>
      <c r="R2144">
        <v>0</v>
      </c>
      <c r="S2144">
        <v>0</v>
      </c>
      <c r="T2144">
        <v>0</v>
      </c>
      <c r="U2144">
        <v>0</v>
      </c>
      <c r="V2144">
        <v>0</v>
      </c>
      <c r="W2144">
        <v>0</v>
      </c>
      <c r="X2144">
        <v>0</v>
      </c>
      <c r="Z2144">
        <v>0</v>
      </c>
      <c r="AA2144">
        <v>0</v>
      </c>
      <c r="AB2144">
        <v>0</v>
      </c>
      <c r="AC2144">
        <v>0</v>
      </c>
      <c r="AD2144" t="s">
        <v>4280</v>
      </c>
    </row>
    <row r="2145" spans="1:30" x14ac:dyDescent="0.25">
      <c r="H2145" t="s">
        <v>4281</v>
      </c>
    </row>
    <row r="2146" spans="1:30" x14ac:dyDescent="0.25">
      <c r="A2146">
        <v>1070</v>
      </c>
      <c r="B2146">
        <v>5218</v>
      </c>
      <c r="C2146" t="s">
        <v>4282</v>
      </c>
      <c r="D2146" t="s">
        <v>44</v>
      </c>
      <c r="E2146" t="s">
        <v>32</v>
      </c>
      <c r="F2146" t="s">
        <v>4283</v>
      </c>
      <c r="G2146" t="str">
        <f>"200801001658"</f>
        <v>200801001658</v>
      </c>
      <c r="H2146" t="s">
        <v>872</v>
      </c>
      <c r="I2146">
        <v>0</v>
      </c>
      <c r="J2146">
        <v>0</v>
      </c>
      <c r="K2146">
        <v>0</v>
      </c>
      <c r="L2146">
        <v>0</v>
      </c>
      <c r="M2146">
        <v>0</v>
      </c>
      <c r="N2146">
        <v>30</v>
      </c>
      <c r="O2146">
        <v>0</v>
      </c>
      <c r="P2146">
        <v>0</v>
      </c>
      <c r="Q2146">
        <v>0</v>
      </c>
      <c r="R2146">
        <v>0</v>
      </c>
      <c r="S2146">
        <v>0</v>
      </c>
      <c r="T2146">
        <v>0</v>
      </c>
      <c r="U2146">
        <v>0</v>
      </c>
      <c r="V2146">
        <v>30</v>
      </c>
      <c r="W2146">
        <v>210</v>
      </c>
      <c r="X2146">
        <v>0</v>
      </c>
      <c r="Z2146">
        <v>2</v>
      </c>
      <c r="AA2146">
        <v>0</v>
      </c>
      <c r="AB2146">
        <v>0</v>
      </c>
      <c r="AC2146">
        <v>0</v>
      </c>
      <c r="AD2146" t="s">
        <v>4284</v>
      </c>
    </row>
    <row r="2147" spans="1:30" x14ac:dyDescent="0.25">
      <c r="H2147" t="s">
        <v>4285</v>
      </c>
    </row>
    <row r="2148" spans="1:30" x14ac:dyDescent="0.25">
      <c r="A2148">
        <v>1071</v>
      </c>
      <c r="B2148">
        <v>545</v>
      </c>
      <c r="C2148" t="s">
        <v>4286</v>
      </c>
      <c r="D2148" t="s">
        <v>2617</v>
      </c>
      <c r="E2148" t="s">
        <v>1248</v>
      </c>
      <c r="F2148" t="s">
        <v>4287</v>
      </c>
      <c r="G2148" t="str">
        <f>"00278625"</f>
        <v>00278625</v>
      </c>
      <c r="H2148" t="s">
        <v>631</v>
      </c>
      <c r="I2148">
        <v>0</v>
      </c>
      <c r="J2148">
        <v>0</v>
      </c>
      <c r="K2148">
        <v>0</v>
      </c>
      <c r="L2148">
        <v>0</v>
      </c>
      <c r="M2148">
        <v>0</v>
      </c>
      <c r="N2148">
        <v>30</v>
      </c>
      <c r="O2148">
        <v>0</v>
      </c>
      <c r="P2148">
        <v>0</v>
      </c>
      <c r="Q2148">
        <v>0</v>
      </c>
      <c r="R2148">
        <v>0</v>
      </c>
      <c r="S2148">
        <v>0</v>
      </c>
      <c r="T2148">
        <v>0</v>
      </c>
      <c r="U2148">
        <v>0</v>
      </c>
      <c r="V2148">
        <v>27</v>
      </c>
      <c r="W2148">
        <v>189</v>
      </c>
      <c r="X2148">
        <v>0</v>
      </c>
      <c r="Z2148">
        <v>2</v>
      </c>
      <c r="AA2148">
        <v>0</v>
      </c>
      <c r="AB2148">
        <v>0</v>
      </c>
      <c r="AC2148">
        <v>0</v>
      </c>
      <c r="AD2148" t="s">
        <v>4288</v>
      </c>
    </row>
    <row r="2149" spans="1:30" x14ac:dyDescent="0.25">
      <c r="H2149" t="s">
        <v>4289</v>
      </c>
    </row>
    <row r="2150" spans="1:30" x14ac:dyDescent="0.25">
      <c r="A2150">
        <v>1072</v>
      </c>
      <c r="B2150">
        <v>4962</v>
      </c>
      <c r="C2150" t="s">
        <v>4210</v>
      </c>
      <c r="D2150" t="s">
        <v>167</v>
      </c>
      <c r="E2150" t="s">
        <v>77</v>
      </c>
      <c r="F2150" t="s">
        <v>4290</v>
      </c>
      <c r="G2150" t="str">
        <f>"00080326"</f>
        <v>00080326</v>
      </c>
      <c r="H2150">
        <v>836</v>
      </c>
      <c r="I2150">
        <v>0</v>
      </c>
      <c r="J2150">
        <v>0</v>
      </c>
      <c r="K2150">
        <v>0</v>
      </c>
      <c r="L2150">
        <v>0</v>
      </c>
      <c r="M2150">
        <v>0</v>
      </c>
      <c r="N2150">
        <v>70</v>
      </c>
      <c r="O2150">
        <v>0</v>
      </c>
      <c r="P2150">
        <v>0</v>
      </c>
      <c r="Q2150">
        <v>0</v>
      </c>
      <c r="R2150">
        <v>0</v>
      </c>
      <c r="S2150">
        <v>0</v>
      </c>
      <c r="T2150">
        <v>0</v>
      </c>
      <c r="U2150">
        <v>0</v>
      </c>
      <c r="V2150">
        <v>5</v>
      </c>
      <c r="W2150">
        <v>35</v>
      </c>
      <c r="X2150">
        <v>0</v>
      </c>
      <c r="Z2150">
        <v>0</v>
      </c>
      <c r="AA2150">
        <v>0</v>
      </c>
      <c r="AB2150">
        <v>0</v>
      </c>
      <c r="AC2150">
        <v>0</v>
      </c>
      <c r="AD2150">
        <v>941</v>
      </c>
    </row>
    <row r="2151" spans="1:30" x14ac:dyDescent="0.25">
      <c r="H2151" t="s">
        <v>4291</v>
      </c>
    </row>
    <row r="2152" spans="1:30" x14ac:dyDescent="0.25">
      <c r="A2152">
        <v>1073</v>
      </c>
      <c r="B2152">
        <v>4750</v>
      </c>
      <c r="C2152" t="s">
        <v>4292</v>
      </c>
      <c r="D2152" t="s">
        <v>107</v>
      </c>
      <c r="E2152" t="s">
        <v>102</v>
      </c>
      <c r="F2152" t="s">
        <v>4293</v>
      </c>
      <c r="G2152" t="str">
        <f>"00229192"</f>
        <v>00229192</v>
      </c>
      <c r="H2152" t="s">
        <v>2628</v>
      </c>
      <c r="I2152">
        <v>0</v>
      </c>
      <c r="J2152">
        <v>0</v>
      </c>
      <c r="K2152">
        <v>0</v>
      </c>
      <c r="L2152">
        <v>200</v>
      </c>
      <c r="M2152">
        <v>0</v>
      </c>
      <c r="N2152">
        <v>30</v>
      </c>
      <c r="O2152">
        <v>0</v>
      </c>
      <c r="P2152">
        <v>0</v>
      </c>
      <c r="Q2152">
        <v>0</v>
      </c>
      <c r="R2152">
        <v>0</v>
      </c>
      <c r="S2152">
        <v>0</v>
      </c>
      <c r="T2152">
        <v>0</v>
      </c>
      <c r="U2152">
        <v>0</v>
      </c>
      <c r="V2152">
        <v>6</v>
      </c>
      <c r="W2152">
        <v>42</v>
      </c>
      <c r="X2152">
        <v>0</v>
      </c>
      <c r="Z2152">
        <v>0</v>
      </c>
      <c r="AA2152">
        <v>0</v>
      </c>
      <c r="AB2152">
        <v>0</v>
      </c>
      <c r="AC2152">
        <v>0</v>
      </c>
      <c r="AD2152" t="s">
        <v>4294</v>
      </c>
    </row>
    <row r="2153" spans="1:30" x14ac:dyDescent="0.25">
      <c r="H2153" t="s">
        <v>4295</v>
      </c>
    </row>
    <row r="2154" spans="1:30" x14ac:dyDescent="0.25">
      <c r="A2154">
        <v>1074</v>
      </c>
      <c r="B2154">
        <v>3480</v>
      </c>
      <c r="C2154" t="s">
        <v>4296</v>
      </c>
      <c r="D2154" t="s">
        <v>4297</v>
      </c>
      <c r="E2154" t="s">
        <v>4298</v>
      </c>
      <c r="F2154" t="s">
        <v>4299</v>
      </c>
      <c r="G2154" t="str">
        <f>"201601000804"</f>
        <v>201601000804</v>
      </c>
      <c r="H2154" t="s">
        <v>2703</v>
      </c>
      <c r="I2154">
        <v>0</v>
      </c>
      <c r="J2154">
        <v>0</v>
      </c>
      <c r="K2154">
        <v>0</v>
      </c>
      <c r="L2154">
        <v>0</v>
      </c>
      <c r="M2154">
        <v>0</v>
      </c>
      <c r="N2154">
        <v>30</v>
      </c>
      <c r="O2154">
        <v>0</v>
      </c>
      <c r="P2154">
        <v>0</v>
      </c>
      <c r="Q2154">
        <v>0</v>
      </c>
      <c r="R2154">
        <v>0</v>
      </c>
      <c r="S2154">
        <v>0</v>
      </c>
      <c r="T2154">
        <v>0</v>
      </c>
      <c r="U2154">
        <v>0</v>
      </c>
      <c r="V2154">
        <v>32</v>
      </c>
      <c r="W2154">
        <v>224</v>
      </c>
      <c r="X2154">
        <v>0</v>
      </c>
      <c r="Z2154">
        <v>0</v>
      </c>
      <c r="AA2154">
        <v>0</v>
      </c>
      <c r="AB2154">
        <v>0</v>
      </c>
      <c r="AC2154">
        <v>0</v>
      </c>
      <c r="AD2154" t="s">
        <v>4300</v>
      </c>
    </row>
    <row r="2155" spans="1:30" x14ac:dyDescent="0.25">
      <c r="H2155" t="s">
        <v>4301</v>
      </c>
    </row>
    <row r="2156" spans="1:30" x14ac:dyDescent="0.25">
      <c r="A2156">
        <v>1075</v>
      </c>
      <c r="B2156">
        <v>4216</v>
      </c>
      <c r="C2156" t="s">
        <v>4302</v>
      </c>
      <c r="D2156" t="s">
        <v>28</v>
      </c>
      <c r="E2156" t="s">
        <v>32</v>
      </c>
      <c r="F2156" t="s">
        <v>4303</v>
      </c>
      <c r="G2156" t="str">
        <f>"201402007050"</f>
        <v>201402007050</v>
      </c>
      <c r="H2156" t="s">
        <v>1040</v>
      </c>
      <c r="I2156">
        <v>0</v>
      </c>
      <c r="J2156">
        <v>0</v>
      </c>
      <c r="K2156">
        <v>0</v>
      </c>
      <c r="L2156">
        <v>200</v>
      </c>
      <c r="M2156">
        <v>0</v>
      </c>
      <c r="N2156">
        <v>70</v>
      </c>
      <c r="O2156">
        <v>0</v>
      </c>
      <c r="P2156">
        <v>0</v>
      </c>
      <c r="Q2156">
        <v>0</v>
      </c>
      <c r="R2156">
        <v>0</v>
      </c>
      <c r="S2156">
        <v>0</v>
      </c>
      <c r="T2156">
        <v>0</v>
      </c>
      <c r="U2156">
        <v>0</v>
      </c>
      <c r="V2156">
        <v>0</v>
      </c>
      <c r="W2156">
        <v>0</v>
      </c>
      <c r="X2156">
        <v>0</v>
      </c>
      <c r="Z2156">
        <v>0</v>
      </c>
      <c r="AA2156">
        <v>0</v>
      </c>
      <c r="AB2156">
        <v>0</v>
      </c>
      <c r="AC2156">
        <v>0</v>
      </c>
      <c r="AD2156" t="s">
        <v>4304</v>
      </c>
    </row>
    <row r="2157" spans="1:30" x14ac:dyDescent="0.25">
      <c r="H2157" t="s">
        <v>4305</v>
      </c>
    </row>
    <row r="2158" spans="1:30" x14ac:dyDescent="0.25">
      <c r="A2158">
        <v>1076</v>
      </c>
      <c r="B2158">
        <v>4034</v>
      </c>
      <c r="C2158" t="s">
        <v>4306</v>
      </c>
      <c r="D2158" t="s">
        <v>218</v>
      </c>
      <c r="E2158" t="s">
        <v>49</v>
      </c>
      <c r="F2158" t="s">
        <v>4307</v>
      </c>
      <c r="G2158" t="str">
        <f>"00316606"</f>
        <v>00316606</v>
      </c>
      <c r="H2158" t="s">
        <v>2067</v>
      </c>
      <c r="I2158">
        <v>0</v>
      </c>
      <c r="J2158">
        <v>0</v>
      </c>
      <c r="K2158">
        <v>0</v>
      </c>
      <c r="L2158">
        <v>0</v>
      </c>
      <c r="M2158">
        <v>0</v>
      </c>
      <c r="N2158">
        <v>30</v>
      </c>
      <c r="O2158">
        <v>0</v>
      </c>
      <c r="P2158">
        <v>0</v>
      </c>
      <c r="Q2158">
        <v>0</v>
      </c>
      <c r="R2158">
        <v>0</v>
      </c>
      <c r="S2158">
        <v>0</v>
      </c>
      <c r="T2158">
        <v>0</v>
      </c>
      <c r="U2158">
        <v>0</v>
      </c>
      <c r="V2158">
        <v>22</v>
      </c>
      <c r="W2158">
        <v>154</v>
      </c>
      <c r="X2158">
        <v>0</v>
      </c>
      <c r="Z2158">
        <v>0</v>
      </c>
      <c r="AA2158">
        <v>0</v>
      </c>
      <c r="AB2158">
        <v>0</v>
      </c>
      <c r="AC2158">
        <v>0</v>
      </c>
      <c r="AD2158" t="s">
        <v>4308</v>
      </c>
    </row>
    <row r="2159" spans="1:30" x14ac:dyDescent="0.25">
      <c r="H2159" t="s">
        <v>4309</v>
      </c>
    </row>
    <row r="2160" spans="1:30" x14ac:dyDescent="0.25">
      <c r="A2160">
        <v>1077</v>
      </c>
      <c r="B2160">
        <v>1153</v>
      </c>
      <c r="C2160" t="s">
        <v>4310</v>
      </c>
      <c r="D2160" t="s">
        <v>64</v>
      </c>
      <c r="E2160" t="s">
        <v>347</v>
      </c>
      <c r="F2160" t="s">
        <v>4311</v>
      </c>
      <c r="G2160" t="str">
        <f>"201406001394"</f>
        <v>201406001394</v>
      </c>
      <c r="H2160" t="s">
        <v>591</v>
      </c>
      <c r="I2160">
        <v>0</v>
      </c>
      <c r="J2160">
        <v>0</v>
      </c>
      <c r="K2160">
        <v>0</v>
      </c>
      <c r="L2160">
        <v>0</v>
      </c>
      <c r="M2160">
        <v>0</v>
      </c>
      <c r="N2160">
        <v>50</v>
      </c>
      <c r="O2160">
        <v>0</v>
      </c>
      <c r="P2160">
        <v>0</v>
      </c>
      <c r="Q2160">
        <v>0</v>
      </c>
      <c r="R2160">
        <v>0</v>
      </c>
      <c r="S2160">
        <v>0</v>
      </c>
      <c r="T2160">
        <v>0</v>
      </c>
      <c r="U2160">
        <v>0</v>
      </c>
      <c r="V2160">
        <v>25</v>
      </c>
      <c r="W2160">
        <v>175</v>
      </c>
      <c r="X2160">
        <v>0</v>
      </c>
      <c r="Z2160">
        <v>0</v>
      </c>
      <c r="AA2160">
        <v>0</v>
      </c>
      <c r="AB2160">
        <v>0</v>
      </c>
      <c r="AC2160">
        <v>0</v>
      </c>
      <c r="AD2160" t="s">
        <v>4312</v>
      </c>
    </row>
    <row r="2161" spans="1:30" x14ac:dyDescent="0.25">
      <c r="H2161" t="s">
        <v>4313</v>
      </c>
    </row>
    <row r="2162" spans="1:30" x14ac:dyDescent="0.25">
      <c r="A2162">
        <v>1078</v>
      </c>
      <c r="B2162">
        <v>2611</v>
      </c>
      <c r="C2162" t="s">
        <v>3635</v>
      </c>
      <c r="D2162" t="s">
        <v>44</v>
      </c>
      <c r="E2162" t="s">
        <v>2302</v>
      </c>
      <c r="F2162" t="s">
        <v>4314</v>
      </c>
      <c r="G2162" t="str">
        <f>"201511022413"</f>
        <v>201511022413</v>
      </c>
      <c r="H2162" t="s">
        <v>2413</v>
      </c>
      <c r="I2162">
        <v>0</v>
      </c>
      <c r="J2162">
        <v>0</v>
      </c>
      <c r="K2162">
        <v>0</v>
      </c>
      <c r="L2162">
        <v>0</v>
      </c>
      <c r="M2162">
        <v>0</v>
      </c>
      <c r="N2162">
        <v>30</v>
      </c>
      <c r="O2162">
        <v>0</v>
      </c>
      <c r="P2162">
        <v>0</v>
      </c>
      <c r="Q2162">
        <v>0</v>
      </c>
      <c r="R2162">
        <v>0</v>
      </c>
      <c r="S2162">
        <v>0</v>
      </c>
      <c r="T2162">
        <v>0</v>
      </c>
      <c r="U2162">
        <v>0</v>
      </c>
      <c r="V2162">
        <v>31</v>
      </c>
      <c r="W2162">
        <v>217</v>
      </c>
      <c r="X2162">
        <v>0</v>
      </c>
      <c r="Z2162">
        <v>0</v>
      </c>
      <c r="AA2162">
        <v>0</v>
      </c>
      <c r="AB2162">
        <v>0</v>
      </c>
      <c r="AC2162">
        <v>0</v>
      </c>
      <c r="AD2162" t="s">
        <v>4312</v>
      </c>
    </row>
    <row r="2163" spans="1:30" x14ac:dyDescent="0.25">
      <c r="H2163" t="s">
        <v>4315</v>
      </c>
    </row>
    <row r="2164" spans="1:30" x14ac:dyDescent="0.25">
      <c r="A2164">
        <v>1079</v>
      </c>
      <c r="B2164">
        <v>3352</v>
      </c>
      <c r="C2164" t="s">
        <v>4316</v>
      </c>
      <c r="D2164" t="s">
        <v>180</v>
      </c>
      <c r="E2164" t="s">
        <v>102</v>
      </c>
      <c r="F2164" t="s">
        <v>4317</v>
      </c>
      <c r="G2164" t="str">
        <f>"00367460"</f>
        <v>00367460</v>
      </c>
      <c r="H2164" t="s">
        <v>59</v>
      </c>
      <c r="I2164">
        <v>0</v>
      </c>
      <c r="J2164">
        <v>0</v>
      </c>
      <c r="K2164">
        <v>0</v>
      </c>
      <c r="L2164">
        <v>0</v>
      </c>
      <c r="M2164">
        <v>0</v>
      </c>
      <c r="N2164">
        <v>30</v>
      </c>
      <c r="O2164">
        <v>0</v>
      </c>
      <c r="P2164">
        <v>0</v>
      </c>
      <c r="Q2164">
        <v>0</v>
      </c>
      <c r="R2164">
        <v>0</v>
      </c>
      <c r="S2164">
        <v>0</v>
      </c>
      <c r="T2164">
        <v>0</v>
      </c>
      <c r="U2164">
        <v>0</v>
      </c>
      <c r="V2164">
        <v>25</v>
      </c>
      <c r="W2164">
        <v>175</v>
      </c>
      <c r="X2164">
        <v>0</v>
      </c>
      <c r="Z2164">
        <v>0</v>
      </c>
      <c r="AA2164">
        <v>0</v>
      </c>
      <c r="AB2164">
        <v>0</v>
      </c>
      <c r="AC2164">
        <v>0</v>
      </c>
      <c r="AD2164" t="s">
        <v>4318</v>
      </c>
    </row>
    <row r="2165" spans="1:30" x14ac:dyDescent="0.25">
      <c r="H2165" t="s">
        <v>4319</v>
      </c>
    </row>
    <row r="2166" spans="1:30" x14ac:dyDescent="0.25">
      <c r="A2166">
        <v>1080</v>
      </c>
      <c r="B2166">
        <v>4219</v>
      </c>
      <c r="C2166" t="s">
        <v>4320</v>
      </c>
      <c r="D2166" t="s">
        <v>4321</v>
      </c>
      <c r="E2166" t="s">
        <v>669</v>
      </c>
      <c r="F2166" t="s">
        <v>4322</v>
      </c>
      <c r="G2166" t="str">
        <f>"00151946"</f>
        <v>00151946</v>
      </c>
      <c r="H2166" t="s">
        <v>913</v>
      </c>
      <c r="I2166">
        <v>0</v>
      </c>
      <c r="J2166">
        <v>0</v>
      </c>
      <c r="K2166">
        <v>0</v>
      </c>
      <c r="L2166">
        <v>0</v>
      </c>
      <c r="M2166">
        <v>0</v>
      </c>
      <c r="N2166">
        <v>30</v>
      </c>
      <c r="O2166">
        <v>30</v>
      </c>
      <c r="P2166">
        <v>0</v>
      </c>
      <c r="Q2166">
        <v>0</v>
      </c>
      <c r="R2166">
        <v>0</v>
      </c>
      <c r="S2166">
        <v>0</v>
      </c>
      <c r="T2166">
        <v>0</v>
      </c>
      <c r="U2166">
        <v>0</v>
      </c>
      <c r="V2166">
        <v>29</v>
      </c>
      <c r="W2166">
        <v>203</v>
      </c>
      <c r="X2166">
        <v>0</v>
      </c>
      <c r="Z2166">
        <v>0</v>
      </c>
      <c r="AA2166">
        <v>0</v>
      </c>
      <c r="AB2166">
        <v>0</v>
      </c>
      <c r="AC2166">
        <v>0</v>
      </c>
      <c r="AD2166" t="s">
        <v>4323</v>
      </c>
    </row>
    <row r="2167" spans="1:30" x14ac:dyDescent="0.25">
      <c r="H2167" t="s">
        <v>4324</v>
      </c>
    </row>
    <row r="2168" spans="1:30" x14ac:dyDescent="0.25">
      <c r="A2168">
        <v>1081</v>
      </c>
      <c r="B2168">
        <v>4690</v>
      </c>
      <c r="C2168" t="s">
        <v>4325</v>
      </c>
      <c r="D2168" t="s">
        <v>4326</v>
      </c>
      <c r="E2168" t="s">
        <v>102</v>
      </c>
      <c r="F2168" t="s">
        <v>4327</v>
      </c>
      <c r="G2168" t="str">
        <f>"201406013112"</f>
        <v>201406013112</v>
      </c>
      <c r="H2168" t="s">
        <v>3093</v>
      </c>
      <c r="I2168">
        <v>0</v>
      </c>
      <c r="J2168">
        <v>0</v>
      </c>
      <c r="K2168">
        <v>0</v>
      </c>
      <c r="L2168">
        <v>0</v>
      </c>
      <c r="M2168">
        <v>0</v>
      </c>
      <c r="N2168">
        <v>30</v>
      </c>
      <c r="O2168">
        <v>0</v>
      </c>
      <c r="P2168">
        <v>0</v>
      </c>
      <c r="Q2168">
        <v>0</v>
      </c>
      <c r="R2168">
        <v>0</v>
      </c>
      <c r="S2168">
        <v>0</v>
      </c>
      <c r="T2168">
        <v>0</v>
      </c>
      <c r="U2168">
        <v>0</v>
      </c>
      <c r="V2168">
        <v>15</v>
      </c>
      <c r="W2168">
        <v>105</v>
      </c>
      <c r="X2168">
        <v>0</v>
      </c>
      <c r="Z2168">
        <v>0</v>
      </c>
      <c r="AA2168">
        <v>0</v>
      </c>
      <c r="AB2168">
        <v>0</v>
      </c>
      <c r="AC2168">
        <v>0</v>
      </c>
      <c r="AD2168" t="s">
        <v>4328</v>
      </c>
    </row>
    <row r="2169" spans="1:30" x14ac:dyDescent="0.25">
      <c r="H2169" t="s">
        <v>4329</v>
      </c>
    </row>
    <row r="2170" spans="1:30" x14ac:dyDescent="0.25">
      <c r="A2170">
        <v>1082</v>
      </c>
      <c r="B2170">
        <v>6104</v>
      </c>
      <c r="C2170" t="s">
        <v>4330</v>
      </c>
      <c r="D2170" t="s">
        <v>368</v>
      </c>
      <c r="E2170" t="s">
        <v>4331</v>
      </c>
      <c r="F2170" t="s">
        <v>4332</v>
      </c>
      <c r="G2170" t="str">
        <f>"00368710"</f>
        <v>00368710</v>
      </c>
      <c r="H2170" t="s">
        <v>4333</v>
      </c>
      <c r="I2170">
        <v>0</v>
      </c>
      <c r="J2170">
        <v>0</v>
      </c>
      <c r="K2170">
        <v>0</v>
      </c>
      <c r="L2170">
        <v>0</v>
      </c>
      <c r="M2170">
        <v>0</v>
      </c>
      <c r="N2170">
        <v>30</v>
      </c>
      <c r="O2170">
        <v>0</v>
      </c>
      <c r="P2170">
        <v>0</v>
      </c>
      <c r="Q2170">
        <v>0</v>
      </c>
      <c r="R2170">
        <v>0</v>
      </c>
      <c r="S2170">
        <v>0</v>
      </c>
      <c r="T2170">
        <v>0</v>
      </c>
      <c r="U2170">
        <v>0</v>
      </c>
      <c r="V2170">
        <v>39</v>
      </c>
      <c r="W2170">
        <v>273</v>
      </c>
      <c r="X2170">
        <v>0</v>
      </c>
      <c r="Z2170">
        <v>0</v>
      </c>
      <c r="AA2170">
        <v>0</v>
      </c>
      <c r="AB2170">
        <v>0</v>
      </c>
      <c r="AC2170">
        <v>0</v>
      </c>
      <c r="AD2170" t="s">
        <v>4334</v>
      </c>
    </row>
    <row r="2171" spans="1:30" x14ac:dyDescent="0.25">
      <c r="H2171" t="s">
        <v>1327</v>
      </c>
    </row>
    <row r="2172" spans="1:30" x14ac:dyDescent="0.25">
      <c r="A2172">
        <v>1083</v>
      </c>
      <c r="B2172">
        <v>543</v>
      </c>
      <c r="C2172" t="s">
        <v>4335</v>
      </c>
      <c r="D2172" t="s">
        <v>142</v>
      </c>
      <c r="E2172" t="s">
        <v>120</v>
      </c>
      <c r="F2172" t="s">
        <v>4336</v>
      </c>
      <c r="G2172" t="str">
        <f>"201406000248"</f>
        <v>201406000248</v>
      </c>
      <c r="H2172">
        <v>704</v>
      </c>
      <c r="I2172">
        <v>0</v>
      </c>
      <c r="J2172">
        <v>0</v>
      </c>
      <c r="K2172">
        <v>0</v>
      </c>
      <c r="L2172">
        <v>200</v>
      </c>
      <c r="M2172">
        <v>0</v>
      </c>
      <c r="N2172">
        <v>30</v>
      </c>
      <c r="O2172">
        <v>0</v>
      </c>
      <c r="P2172">
        <v>0</v>
      </c>
      <c r="Q2172">
        <v>0</v>
      </c>
      <c r="R2172">
        <v>0</v>
      </c>
      <c r="S2172">
        <v>0</v>
      </c>
      <c r="T2172">
        <v>0</v>
      </c>
      <c r="U2172">
        <v>0</v>
      </c>
      <c r="V2172">
        <v>0</v>
      </c>
      <c r="W2172">
        <v>0</v>
      </c>
      <c r="X2172">
        <v>0</v>
      </c>
      <c r="Z2172">
        <v>0</v>
      </c>
      <c r="AA2172">
        <v>0</v>
      </c>
      <c r="AB2172">
        <v>0</v>
      </c>
      <c r="AC2172">
        <v>0</v>
      </c>
      <c r="AD2172">
        <v>934</v>
      </c>
    </row>
    <row r="2173" spans="1:30" x14ac:dyDescent="0.25">
      <c r="H2173" t="s">
        <v>4337</v>
      </c>
    </row>
    <row r="2174" spans="1:30" x14ac:dyDescent="0.25">
      <c r="A2174">
        <v>1084</v>
      </c>
      <c r="B2174">
        <v>951</v>
      </c>
      <c r="C2174" t="s">
        <v>4338</v>
      </c>
      <c r="D2174" t="s">
        <v>32</v>
      </c>
      <c r="E2174" t="s">
        <v>102</v>
      </c>
      <c r="F2174" t="s">
        <v>4339</v>
      </c>
      <c r="G2174" t="str">
        <f>"201405000267"</f>
        <v>201405000267</v>
      </c>
      <c r="H2174" t="s">
        <v>476</v>
      </c>
      <c r="I2174">
        <v>0</v>
      </c>
      <c r="J2174">
        <v>0</v>
      </c>
      <c r="K2174">
        <v>0</v>
      </c>
      <c r="L2174">
        <v>0</v>
      </c>
      <c r="M2174">
        <v>100</v>
      </c>
      <c r="N2174">
        <v>50</v>
      </c>
      <c r="O2174">
        <v>0</v>
      </c>
      <c r="P2174">
        <v>50</v>
      </c>
      <c r="Q2174">
        <v>0</v>
      </c>
      <c r="R2174">
        <v>0</v>
      </c>
      <c r="S2174">
        <v>0</v>
      </c>
      <c r="T2174">
        <v>0</v>
      </c>
      <c r="U2174">
        <v>0</v>
      </c>
      <c r="V2174">
        <v>0</v>
      </c>
      <c r="W2174">
        <v>0</v>
      </c>
      <c r="X2174">
        <v>0</v>
      </c>
      <c r="Z2174">
        <v>0</v>
      </c>
      <c r="AA2174">
        <v>0</v>
      </c>
      <c r="AB2174">
        <v>0</v>
      </c>
      <c r="AC2174">
        <v>0</v>
      </c>
      <c r="AD2174" t="s">
        <v>4340</v>
      </c>
    </row>
    <row r="2175" spans="1:30" x14ac:dyDescent="0.25">
      <c r="H2175" t="s">
        <v>301</v>
      </c>
    </row>
    <row r="2176" spans="1:30" x14ac:dyDescent="0.25">
      <c r="A2176">
        <v>1085</v>
      </c>
      <c r="B2176">
        <v>3923</v>
      </c>
      <c r="C2176" t="s">
        <v>3006</v>
      </c>
      <c r="D2176" t="s">
        <v>3039</v>
      </c>
      <c r="E2176" t="s">
        <v>368</v>
      </c>
      <c r="F2176" t="s">
        <v>4341</v>
      </c>
      <c r="G2176" t="str">
        <f>"00156836"</f>
        <v>00156836</v>
      </c>
      <c r="H2176" t="s">
        <v>2518</v>
      </c>
      <c r="I2176">
        <v>0</v>
      </c>
      <c r="J2176">
        <v>0</v>
      </c>
      <c r="K2176">
        <v>0</v>
      </c>
      <c r="L2176">
        <v>0</v>
      </c>
      <c r="M2176">
        <v>0</v>
      </c>
      <c r="N2176">
        <v>70</v>
      </c>
      <c r="O2176">
        <v>0</v>
      </c>
      <c r="P2176">
        <v>0</v>
      </c>
      <c r="Q2176">
        <v>0</v>
      </c>
      <c r="R2176">
        <v>0</v>
      </c>
      <c r="S2176">
        <v>0</v>
      </c>
      <c r="T2176">
        <v>0</v>
      </c>
      <c r="U2176">
        <v>0</v>
      </c>
      <c r="V2176">
        <v>22</v>
      </c>
      <c r="W2176">
        <v>154</v>
      </c>
      <c r="X2176">
        <v>0</v>
      </c>
      <c r="Z2176">
        <v>0</v>
      </c>
      <c r="AA2176">
        <v>0</v>
      </c>
      <c r="AB2176">
        <v>0</v>
      </c>
      <c r="AC2176">
        <v>0</v>
      </c>
      <c r="AD2176" t="s">
        <v>4342</v>
      </c>
    </row>
    <row r="2177" spans="1:30" x14ac:dyDescent="0.25">
      <c r="H2177" t="s">
        <v>4343</v>
      </c>
    </row>
    <row r="2178" spans="1:30" x14ac:dyDescent="0.25">
      <c r="A2178">
        <v>1086</v>
      </c>
      <c r="B2178">
        <v>2955</v>
      </c>
      <c r="C2178" t="s">
        <v>4344</v>
      </c>
      <c r="D2178" t="s">
        <v>102</v>
      </c>
      <c r="E2178" t="s">
        <v>959</v>
      </c>
      <c r="F2178" t="s">
        <v>4345</v>
      </c>
      <c r="G2178" t="str">
        <f>"00268816"</f>
        <v>00268816</v>
      </c>
      <c r="H2178" t="s">
        <v>4346</v>
      </c>
      <c r="I2178">
        <v>0</v>
      </c>
      <c r="J2178">
        <v>0</v>
      </c>
      <c r="K2178">
        <v>0</v>
      </c>
      <c r="L2178">
        <v>0</v>
      </c>
      <c r="M2178">
        <v>0</v>
      </c>
      <c r="N2178">
        <v>30</v>
      </c>
      <c r="O2178">
        <v>0</v>
      </c>
      <c r="P2178">
        <v>0</v>
      </c>
      <c r="Q2178">
        <v>0</v>
      </c>
      <c r="R2178">
        <v>0</v>
      </c>
      <c r="S2178">
        <v>0</v>
      </c>
      <c r="T2178">
        <v>0</v>
      </c>
      <c r="U2178">
        <v>0</v>
      </c>
      <c r="V2178">
        <v>1</v>
      </c>
      <c r="W2178">
        <v>7</v>
      </c>
      <c r="X2178">
        <v>0</v>
      </c>
      <c r="Z2178">
        <v>0</v>
      </c>
      <c r="AA2178">
        <v>0</v>
      </c>
      <c r="AB2178">
        <v>15</v>
      </c>
      <c r="AC2178">
        <v>255</v>
      </c>
      <c r="AD2178" t="s">
        <v>4347</v>
      </c>
    </row>
    <row r="2179" spans="1:30" x14ac:dyDescent="0.25">
      <c r="H2179" t="s">
        <v>4348</v>
      </c>
    </row>
    <row r="2180" spans="1:30" x14ac:dyDescent="0.25">
      <c r="A2180">
        <v>1087</v>
      </c>
      <c r="B2180">
        <v>5317</v>
      </c>
      <c r="C2180" t="s">
        <v>4349</v>
      </c>
      <c r="D2180" t="s">
        <v>4350</v>
      </c>
      <c r="E2180" t="s">
        <v>299</v>
      </c>
      <c r="F2180" t="s">
        <v>4351</v>
      </c>
      <c r="G2180" t="str">
        <f>"00362181"</f>
        <v>00362181</v>
      </c>
      <c r="H2180" t="s">
        <v>550</v>
      </c>
      <c r="I2180">
        <v>0</v>
      </c>
      <c r="J2180">
        <v>0</v>
      </c>
      <c r="K2180">
        <v>0</v>
      </c>
      <c r="L2180">
        <v>0</v>
      </c>
      <c r="M2180">
        <v>0</v>
      </c>
      <c r="N2180">
        <v>30</v>
      </c>
      <c r="O2180">
        <v>0</v>
      </c>
      <c r="P2180">
        <v>0</v>
      </c>
      <c r="Q2180">
        <v>0</v>
      </c>
      <c r="R2180">
        <v>0</v>
      </c>
      <c r="S2180">
        <v>0</v>
      </c>
      <c r="T2180">
        <v>0</v>
      </c>
      <c r="U2180">
        <v>0</v>
      </c>
      <c r="V2180">
        <v>14</v>
      </c>
      <c r="W2180">
        <v>98</v>
      </c>
      <c r="X2180">
        <v>0</v>
      </c>
      <c r="Z2180">
        <v>0</v>
      </c>
      <c r="AA2180">
        <v>0</v>
      </c>
      <c r="AB2180">
        <v>0</v>
      </c>
      <c r="AC2180">
        <v>0</v>
      </c>
      <c r="AD2180" t="s">
        <v>4352</v>
      </c>
    </row>
    <row r="2181" spans="1:30" x14ac:dyDescent="0.25">
      <c r="H2181" t="s">
        <v>4353</v>
      </c>
    </row>
    <row r="2182" spans="1:30" x14ac:dyDescent="0.25">
      <c r="A2182">
        <v>1088</v>
      </c>
      <c r="B2182">
        <v>6215</v>
      </c>
      <c r="C2182" t="s">
        <v>4354</v>
      </c>
      <c r="D2182" t="s">
        <v>490</v>
      </c>
      <c r="E2182" t="s">
        <v>32</v>
      </c>
      <c r="F2182" t="s">
        <v>4355</v>
      </c>
      <c r="G2182" t="str">
        <f>"00160679"</f>
        <v>00160679</v>
      </c>
      <c r="H2182" t="s">
        <v>1838</v>
      </c>
      <c r="I2182">
        <v>150</v>
      </c>
      <c r="J2182">
        <v>0</v>
      </c>
      <c r="K2182">
        <v>0</v>
      </c>
      <c r="L2182">
        <v>0</v>
      </c>
      <c r="M2182">
        <v>0</v>
      </c>
      <c r="N2182">
        <v>30</v>
      </c>
      <c r="O2182">
        <v>0</v>
      </c>
      <c r="P2182">
        <v>0</v>
      </c>
      <c r="Q2182">
        <v>0</v>
      </c>
      <c r="R2182">
        <v>0</v>
      </c>
      <c r="S2182">
        <v>0</v>
      </c>
      <c r="T2182">
        <v>0</v>
      </c>
      <c r="U2182">
        <v>0</v>
      </c>
      <c r="V2182">
        <v>0</v>
      </c>
      <c r="W2182">
        <v>0</v>
      </c>
      <c r="X2182">
        <v>0</v>
      </c>
      <c r="Z2182">
        <v>2</v>
      </c>
      <c r="AA2182">
        <v>0</v>
      </c>
      <c r="AB2182">
        <v>0</v>
      </c>
      <c r="AC2182">
        <v>0</v>
      </c>
      <c r="AD2182" t="s">
        <v>4356</v>
      </c>
    </row>
    <row r="2183" spans="1:30" x14ac:dyDescent="0.25">
      <c r="H2183" t="s">
        <v>4357</v>
      </c>
    </row>
    <row r="2184" spans="1:30" x14ac:dyDescent="0.25">
      <c r="A2184">
        <v>1089</v>
      </c>
      <c r="B2184">
        <v>2039</v>
      </c>
      <c r="C2184" t="s">
        <v>4358</v>
      </c>
      <c r="D2184" t="s">
        <v>28</v>
      </c>
      <c r="E2184" t="s">
        <v>49</v>
      </c>
      <c r="F2184" t="s">
        <v>4359</v>
      </c>
      <c r="G2184" t="str">
        <f>"00307472"</f>
        <v>00307472</v>
      </c>
      <c r="H2184" t="s">
        <v>1719</v>
      </c>
      <c r="I2184">
        <v>0</v>
      </c>
      <c r="J2184">
        <v>0</v>
      </c>
      <c r="K2184">
        <v>0</v>
      </c>
      <c r="L2184">
        <v>0</v>
      </c>
      <c r="M2184">
        <v>0</v>
      </c>
      <c r="N2184">
        <v>0</v>
      </c>
      <c r="O2184">
        <v>0</v>
      </c>
      <c r="P2184">
        <v>0</v>
      </c>
      <c r="Q2184">
        <v>0</v>
      </c>
      <c r="R2184">
        <v>0</v>
      </c>
      <c r="S2184">
        <v>0</v>
      </c>
      <c r="T2184">
        <v>0</v>
      </c>
      <c r="U2184">
        <v>0</v>
      </c>
      <c r="V2184">
        <v>31</v>
      </c>
      <c r="W2184">
        <v>217</v>
      </c>
      <c r="X2184">
        <v>0</v>
      </c>
      <c r="Z2184">
        <v>0</v>
      </c>
      <c r="AA2184">
        <v>0</v>
      </c>
      <c r="AB2184">
        <v>0</v>
      </c>
      <c r="AC2184">
        <v>0</v>
      </c>
      <c r="AD2184" t="s">
        <v>4360</v>
      </c>
    </row>
    <row r="2185" spans="1:30" x14ac:dyDescent="0.25">
      <c r="H2185" t="s">
        <v>4361</v>
      </c>
    </row>
    <row r="2186" spans="1:30" x14ac:dyDescent="0.25">
      <c r="A2186">
        <v>1090</v>
      </c>
      <c r="B2186">
        <v>4203</v>
      </c>
      <c r="C2186" t="s">
        <v>4362</v>
      </c>
      <c r="D2186" t="s">
        <v>1098</v>
      </c>
      <c r="E2186" t="s">
        <v>4363</v>
      </c>
      <c r="F2186" t="s">
        <v>4364</v>
      </c>
      <c r="G2186" t="str">
        <f>"201410003930"</f>
        <v>201410003930</v>
      </c>
      <c r="H2186" t="s">
        <v>248</v>
      </c>
      <c r="I2186">
        <v>0</v>
      </c>
      <c r="J2186">
        <v>0</v>
      </c>
      <c r="K2186">
        <v>0</v>
      </c>
      <c r="L2186">
        <v>0</v>
      </c>
      <c r="M2186">
        <v>0</v>
      </c>
      <c r="N2186">
        <v>50</v>
      </c>
      <c r="O2186">
        <v>0</v>
      </c>
      <c r="P2186">
        <v>0</v>
      </c>
      <c r="Q2186">
        <v>0</v>
      </c>
      <c r="R2186">
        <v>0</v>
      </c>
      <c r="S2186">
        <v>0</v>
      </c>
      <c r="T2186">
        <v>0</v>
      </c>
      <c r="U2186">
        <v>0</v>
      </c>
      <c r="V2186">
        <v>32</v>
      </c>
      <c r="W2186">
        <v>224</v>
      </c>
      <c r="X2186">
        <v>0</v>
      </c>
      <c r="Z2186">
        <v>0</v>
      </c>
      <c r="AA2186">
        <v>0</v>
      </c>
      <c r="AB2186">
        <v>0</v>
      </c>
      <c r="AC2186">
        <v>0</v>
      </c>
      <c r="AD2186" t="s">
        <v>4365</v>
      </c>
    </row>
    <row r="2187" spans="1:30" x14ac:dyDescent="0.25">
      <c r="H2187" t="s">
        <v>4366</v>
      </c>
    </row>
    <row r="2188" spans="1:30" x14ac:dyDescent="0.25">
      <c r="A2188">
        <v>1091</v>
      </c>
      <c r="B2188">
        <v>4687</v>
      </c>
      <c r="C2188" t="s">
        <v>2306</v>
      </c>
      <c r="D2188" t="s">
        <v>283</v>
      </c>
      <c r="E2188" t="s">
        <v>102</v>
      </c>
      <c r="F2188" t="s">
        <v>4367</v>
      </c>
      <c r="G2188" t="str">
        <f>"00199060"</f>
        <v>00199060</v>
      </c>
      <c r="H2188" t="s">
        <v>2160</v>
      </c>
      <c r="I2188">
        <v>0</v>
      </c>
      <c r="J2188">
        <v>0</v>
      </c>
      <c r="K2188">
        <v>0</v>
      </c>
      <c r="L2188">
        <v>0</v>
      </c>
      <c r="M2188">
        <v>0</v>
      </c>
      <c r="N2188">
        <v>30</v>
      </c>
      <c r="O2188">
        <v>0</v>
      </c>
      <c r="P2188">
        <v>0</v>
      </c>
      <c r="Q2188">
        <v>0</v>
      </c>
      <c r="R2188">
        <v>0</v>
      </c>
      <c r="S2188">
        <v>0</v>
      </c>
      <c r="T2188">
        <v>0</v>
      </c>
      <c r="U2188">
        <v>0</v>
      </c>
      <c r="V2188">
        <v>32</v>
      </c>
      <c r="W2188">
        <v>224</v>
      </c>
      <c r="X2188">
        <v>0</v>
      </c>
      <c r="Z2188">
        <v>0</v>
      </c>
      <c r="AA2188">
        <v>0</v>
      </c>
      <c r="AB2188">
        <v>0</v>
      </c>
      <c r="AC2188">
        <v>0</v>
      </c>
      <c r="AD2188" t="s">
        <v>4368</v>
      </c>
    </row>
    <row r="2189" spans="1:30" x14ac:dyDescent="0.25">
      <c r="H2189" t="s">
        <v>4369</v>
      </c>
    </row>
    <row r="2190" spans="1:30" x14ac:dyDescent="0.25">
      <c r="A2190">
        <v>1092</v>
      </c>
      <c r="B2190">
        <v>391</v>
      </c>
      <c r="C2190" t="s">
        <v>4370</v>
      </c>
      <c r="D2190" t="s">
        <v>4371</v>
      </c>
      <c r="E2190" t="s">
        <v>389</v>
      </c>
      <c r="F2190" t="s">
        <v>4372</v>
      </c>
      <c r="G2190" t="str">
        <f>"00023383"</f>
        <v>00023383</v>
      </c>
      <c r="H2190" t="s">
        <v>115</v>
      </c>
      <c r="I2190">
        <v>0</v>
      </c>
      <c r="J2190">
        <v>0</v>
      </c>
      <c r="K2190">
        <v>0</v>
      </c>
      <c r="L2190">
        <v>0</v>
      </c>
      <c r="M2190">
        <v>0</v>
      </c>
      <c r="N2190">
        <v>0</v>
      </c>
      <c r="O2190">
        <v>0</v>
      </c>
      <c r="P2190">
        <v>0</v>
      </c>
      <c r="Q2190">
        <v>50</v>
      </c>
      <c r="R2190">
        <v>0</v>
      </c>
      <c r="S2190">
        <v>0</v>
      </c>
      <c r="T2190">
        <v>0</v>
      </c>
      <c r="U2190">
        <v>0</v>
      </c>
      <c r="V2190">
        <v>0</v>
      </c>
      <c r="W2190">
        <v>0</v>
      </c>
      <c r="X2190">
        <v>0</v>
      </c>
      <c r="Z2190">
        <v>0</v>
      </c>
      <c r="AA2190">
        <v>0</v>
      </c>
      <c r="AB2190">
        <v>5</v>
      </c>
      <c r="AC2190">
        <v>85</v>
      </c>
      <c r="AD2190" t="s">
        <v>4373</v>
      </c>
    </row>
    <row r="2191" spans="1:30" x14ac:dyDescent="0.25">
      <c r="H2191" t="s">
        <v>4374</v>
      </c>
    </row>
    <row r="2192" spans="1:30" x14ac:dyDescent="0.25">
      <c r="A2192">
        <v>1093</v>
      </c>
      <c r="B2192">
        <v>3250</v>
      </c>
      <c r="C2192" t="s">
        <v>4375</v>
      </c>
      <c r="D2192" t="s">
        <v>4376</v>
      </c>
      <c r="E2192" t="s">
        <v>658</v>
      </c>
      <c r="F2192" t="s">
        <v>4377</v>
      </c>
      <c r="G2192" t="str">
        <f>"00050741"</f>
        <v>00050741</v>
      </c>
      <c r="H2192" t="s">
        <v>1080</v>
      </c>
      <c r="I2192">
        <v>0</v>
      </c>
      <c r="J2192">
        <v>0</v>
      </c>
      <c r="K2192">
        <v>0</v>
      </c>
      <c r="L2192">
        <v>0</v>
      </c>
      <c r="M2192">
        <v>0</v>
      </c>
      <c r="N2192">
        <v>0</v>
      </c>
      <c r="O2192">
        <v>0</v>
      </c>
      <c r="P2192">
        <v>0</v>
      </c>
      <c r="Q2192">
        <v>0</v>
      </c>
      <c r="R2192">
        <v>0</v>
      </c>
      <c r="S2192">
        <v>0</v>
      </c>
      <c r="T2192">
        <v>0</v>
      </c>
      <c r="U2192">
        <v>0</v>
      </c>
      <c r="V2192">
        <v>36</v>
      </c>
      <c r="W2192">
        <v>252</v>
      </c>
      <c r="X2192">
        <v>0</v>
      </c>
      <c r="Z2192">
        <v>0</v>
      </c>
      <c r="AA2192">
        <v>0</v>
      </c>
      <c r="AB2192">
        <v>0</v>
      </c>
      <c r="AC2192">
        <v>0</v>
      </c>
      <c r="AD2192" t="s">
        <v>4378</v>
      </c>
    </row>
    <row r="2193" spans="1:30" x14ac:dyDescent="0.25">
      <c r="H2193" t="s">
        <v>4379</v>
      </c>
    </row>
    <row r="2194" spans="1:30" x14ac:dyDescent="0.25">
      <c r="A2194">
        <v>1094</v>
      </c>
      <c r="B2194">
        <v>2830</v>
      </c>
      <c r="C2194" t="s">
        <v>4380</v>
      </c>
      <c r="D2194" t="s">
        <v>4381</v>
      </c>
      <c r="E2194" t="s">
        <v>4382</v>
      </c>
      <c r="F2194" t="s">
        <v>4383</v>
      </c>
      <c r="G2194" t="str">
        <f>"00199053"</f>
        <v>00199053</v>
      </c>
      <c r="H2194" t="s">
        <v>79</v>
      </c>
      <c r="I2194">
        <v>0</v>
      </c>
      <c r="J2194">
        <v>0</v>
      </c>
      <c r="K2194">
        <v>0</v>
      </c>
      <c r="L2194">
        <v>0</v>
      </c>
      <c r="M2194">
        <v>0</v>
      </c>
      <c r="N2194">
        <v>70</v>
      </c>
      <c r="O2194">
        <v>0</v>
      </c>
      <c r="P2194">
        <v>0</v>
      </c>
      <c r="Q2194">
        <v>0</v>
      </c>
      <c r="R2194">
        <v>50</v>
      </c>
      <c r="S2194">
        <v>0</v>
      </c>
      <c r="T2194">
        <v>0</v>
      </c>
      <c r="U2194">
        <v>0</v>
      </c>
      <c r="V2194">
        <v>0</v>
      </c>
      <c r="W2194">
        <v>0</v>
      </c>
      <c r="X2194">
        <v>0</v>
      </c>
      <c r="Z2194">
        <v>0</v>
      </c>
      <c r="AA2194">
        <v>0</v>
      </c>
      <c r="AB2194">
        <v>0</v>
      </c>
      <c r="AC2194">
        <v>0</v>
      </c>
      <c r="AD2194" t="s">
        <v>4384</v>
      </c>
    </row>
    <row r="2195" spans="1:30" x14ac:dyDescent="0.25">
      <c r="H2195" t="s">
        <v>301</v>
      </c>
    </row>
    <row r="2196" spans="1:30" x14ac:dyDescent="0.25">
      <c r="A2196">
        <v>1095</v>
      </c>
      <c r="B2196">
        <v>2349</v>
      </c>
      <c r="C2196" t="s">
        <v>4385</v>
      </c>
      <c r="D2196" t="s">
        <v>283</v>
      </c>
      <c r="E2196" t="s">
        <v>57</v>
      </c>
      <c r="F2196" t="s">
        <v>4386</v>
      </c>
      <c r="G2196" t="str">
        <f>"201402011195"</f>
        <v>201402011195</v>
      </c>
      <c r="H2196" t="s">
        <v>431</v>
      </c>
      <c r="I2196">
        <v>0</v>
      </c>
      <c r="J2196">
        <v>0</v>
      </c>
      <c r="K2196">
        <v>0</v>
      </c>
      <c r="L2196">
        <v>0</v>
      </c>
      <c r="M2196">
        <v>0</v>
      </c>
      <c r="N2196">
        <v>70</v>
      </c>
      <c r="O2196">
        <v>0</v>
      </c>
      <c r="P2196">
        <v>0</v>
      </c>
      <c r="Q2196">
        <v>0</v>
      </c>
      <c r="R2196">
        <v>0</v>
      </c>
      <c r="S2196">
        <v>0</v>
      </c>
      <c r="T2196">
        <v>0</v>
      </c>
      <c r="U2196">
        <v>0</v>
      </c>
      <c r="V2196">
        <v>28</v>
      </c>
      <c r="W2196">
        <v>196</v>
      </c>
      <c r="X2196">
        <v>0</v>
      </c>
      <c r="Z2196">
        <v>0</v>
      </c>
      <c r="AA2196">
        <v>0</v>
      </c>
      <c r="AB2196">
        <v>0</v>
      </c>
      <c r="AC2196">
        <v>0</v>
      </c>
      <c r="AD2196" t="s">
        <v>4387</v>
      </c>
    </row>
    <row r="2197" spans="1:30" x14ac:dyDescent="0.25">
      <c r="H2197" t="s">
        <v>4388</v>
      </c>
    </row>
    <row r="2198" spans="1:30" x14ac:dyDescent="0.25">
      <c r="A2198">
        <v>1096</v>
      </c>
      <c r="B2198">
        <v>3981</v>
      </c>
      <c r="C2198" t="s">
        <v>4389</v>
      </c>
      <c r="D2198" t="s">
        <v>743</v>
      </c>
      <c r="E2198" t="s">
        <v>255</v>
      </c>
      <c r="F2198" t="s">
        <v>4390</v>
      </c>
      <c r="G2198" t="str">
        <f>"201406003755"</f>
        <v>201406003755</v>
      </c>
      <c r="H2198" t="s">
        <v>1838</v>
      </c>
      <c r="I2198">
        <v>0</v>
      </c>
      <c r="J2198">
        <v>0</v>
      </c>
      <c r="K2198">
        <v>0</v>
      </c>
      <c r="L2198">
        <v>0</v>
      </c>
      <c r="M2198">
        <v>0</v>
      </c>
      <c r="N2198">
        <v>70</v>
      </c>
      <c r="O2198">
        <v>0</v>
      </c>
      <c r="P2198">
        <v>0</v>
      </c>
      <c r="Q2198">
        <v>0</v>
      </c>
      <c r="R2198">
        <v>0</v>
      </c>
      <c r="S2198">
        <v>0</v>
      </c>
      <c r="T2198">
        <v>0</v>
      </c>
      <c r="U2198">
        <v>0</v>
      </c>
      <c r="V2198">
        <v>15</v>
      </c>
      <c r="W2198">
        <v>105</v>
      </c>
      <c r="X2198">
        <v>0</v>
      </c>
      <c r="Z2198">
        <v>0</v>
      </c>
      <c r="AA2198">
        <v>0</v>
      </c>
      <c r="AB2198">
        <v>0</v>
      </c>
      <c r="AC2198">
        <v>0</v>
      </c>
      <c r="AD2198" t="s">
        <v>4391</v>
      </c>
    </row>
    <row r="2199" spans="1:30" x14ac:dyDescent="0.25">
      <c r="H2199" t="s">
        <v>4392</v>
      </c>
    </row>
    <row r="2200" spans="1:30" x14ac:dyDescent="0.25">
      <c r="A2200">
        <v>1097</v>
      </c>
      <c r="B2200">
        <v>509</v>
      </c>
      <c r="C2200" t="s">
        <v>4393</v>
      </c>
      <c r="D2200" t="s">
        <v>236</v>
      </c>
      <c r="E2200" t="s">
        <v>4394</v>
      </c>
      <c r="F2200" t="s">
        <v>4395</v>
      </c>
      <c r="G2200" t="str">
        <f>"201406012175"</f>
        <v>201406012175</v>
      </c>
      <c r="H2200" t="s">
        <v>1884</v>
      </c>
      <c r="I2200">
        <v>0</v>
      </c>
      <c r="J2200">
        <v>0</v>
      </c>
      <c r="K2200">
        <v>0</v>
      </c>
      <c r="L2200">
        <v>0</v>
      </c>
      <c r="M2200">
        <v>0</v>
      </c>
      <c r="N2200">
        <v>70</v>
      </c>
      <c r="O2200">
        <v>0</v>
      </c>
      <c r="P2200">
        <v>0</v>
      </c>
      <c r="Q2200">
        <v>0</v>
      </c>
      <c r="R2200">
        <v>0</v>
      </c>
      <c r="S2200">
        <v>0</v>
      </c>
      <c r="T2200">
        <v>0</v>
      </c>
      <c r="U2200">
        <v>0</v>
      </c>
      <c r="V2200">
        <v>16</v>
      </c>
      <c r="W2200">
        <v>112</v>
      </c>
      <c r="X2200">
        <v>0</v>
      </c>
      <c r="Z2200">
        <v>0</v>
      </c>
      <c r="AA2200">
        <v>0</v>
      </c>
      <c r="AB2200">
        <v>0</v>
      </c>
      <c r="AC2200">
        <v>0</v>
      </c>
      <c r="AD2200" t="s">
        <v>4396</v>
      </c>
    </row>
    <row r="2201" spans="1:30" x14ac:dyDescent="0.25">
      <c r="H2201" t="s">
        <v>4397</v>
      </c>
    </row>
    <row r="2202" spans="1:30" x14ac:dyDescent="0.25">
      <c r="A2202">
        <v>1098</v>
      </c>
      <c r="B2202">
        <v>3742</v>
      </c>
      <c r="C2202" t="s">
        <v>4398</v>
      </c>
      <c r="D2202" t="s">
        <v>393</v>
      </c>
      <c r="E2202" t="s">
        <v>309</v>
      </c>
      <c r="F2202" t="s">
        <v>4399</v>
      </c>
      <c r="G2202" t="str">
        <f>"00361521"</f>
        <v>00361521</v>
      </c>
      <c r="H2202" t="s">
        <v>4053</v>
      </c>
      <c r="I2202">
        <v>0</v>
      </c>
      <c r="J2202">
        <v>0</v>
      </c>
      <c r="K2202">
        <v>0</v>
      </c>
      <c r="L2202">
        <v>0</v>
      </c>
      <c r="M2202">
        <v>0</v>
      </c>
      <c r="N2202">
        <v>30</v>
      </c>
      <c r="O2202">
        <v>0</v>
      </c>
      <c r="P2202">
        <v>0</v>
      </c>
      <c r="Q2202">
        <v>0</v>
      </c>
      <c r="R2202">
        <v>0</v>
      </c>
      <c r="S2202">
        <v>0</v>
      </c>
      <c r="T2202">
        <v>0</v>
      </c>
      <c r="U2202">
        <v>0</v>
      </c>
      <c r="V2202">
        <v>39</v>
      </c>
      <c r="W2202">
        <v>273</v>
      </c>
      <c r="X2202">
        <v>0</v>
      </c>
      <c r="Z2202">
        <v>0</v>
      </c>
      <c r="AA2202">
        <v>0</v>
      </c>
      <c r="AB2202">
        <v>0</v>
      </c>
      <c r="AC2202">
        <v>0</v>
      </c>
      <c r="AD2202" t="s">
        <v>4396</v>
      </c>
    </row>
    <row r="2203" spans="1:30" x14ac:dyDescent="0.25">
      <c r="H2203" t="s">
        <v>4400</v>
      </c>
    </row>
    <row r="2204" spans="1:30" x14ac:dyDescent="0.25">
      <c r="A2204">
        <v>1099</v>
      </c>
      <c r="B2204">
        <v>2647</v>
      </c>
      <c r="C2204" t="s">
        <v>1348</v>
      </c>
      <c r="D2204" t="s">
        <v>2646</v>
      </c>
      <c r="E2204" t="s">
        <v>32</v>
      </c>
      <c r="F2204" t="s">
        <v>4401</v>
      </c>
      <c r="G2204" t="str">
        <f>"00323545"</f>
        <v>00323545</v>
      </c>
      <c r="H2204" t="s">
        <v>4402</v>
      </c>
      <c r="I2204">
        <v>0</v>
      </c>
      <c r="J2204">
        <v>0</v>
      </c>
      <c r="K2204">
        <v>0</v>
      </c>
      <c r="L2204">
        <v>0</v>
      </c>
      <c r="M2204">
        <v>0</v>
      </c>
      <c r="N2204">
        <v>30</v>
      </c>
      <c r="O2204">
        <v>0</v>
      </c>
      <c r="P2204">
        <v>0</v>
      </c>
      <c r="Q2204">
        <v>0</v>
      </c>
      <c r="R2204">
        <v>0</v>
      </c>
      <c r="S2204">
        <v>0</v>
      </c>
      <c r="T2204">
        <v>0</v>
      </c>
      <c r="U2204">
        <v>0</v>
      </c>
      <c r="V2204">
        <v>24</v>
      </c>
      <c r="W2204">
        <v>168</v>
      </c>
      <c r="X2204">
        <v>0</v>
      </c>
      <c r="Z2204">
        <v>2</v>
      </c>
      <c r="AA2204">
        <v>0</v>
      </c>
      <c r="AB2204">
        <v>0</v>
      </c>
      <c r="AC2204">
        <v>0</v>
      </c>
      <c r="AD2204" t="s">
        <v>3306</v>
      </c>
    </row>
    <row r="2205" spans="1:30" x14ac:dyDescent="0.25">
      <c r="H2205" t="s">
        <v>4403</v>
      </c>
    </row>
    <row r="2206" spans="1:30" x14ac:dyDescent="0.25">
      <c r="A2206">
        <v>1100</v>
      </c>
      <c r="B2206">
        <v>853</v>
      </c>
      <c r="C2206" t="s">
        <v>4404</v>
      </c>
      <c r="D2206" t="s">
        <v>4405</v>
      </c>
      <c r="E2206" t="s">
        <v>102</v>
      </c>
      <c r="F2206" t="s">
        <v>4406</v>
      </c>
      <c r="G2206" t="str">
        <f>"00278105"</f>
        <v>00278105</v>
      </c>
      <c r="H2206">
        <v>704</v>
      </c>
      <c r="I2206">
        <v>0</v>
      </c>
      <c r="J2206">
        <v>0</v>
      </c>
      <c r="K2206">
        <v>0</v>
      </c>
      <c r="L2206">
        <v>0</v>
      </c>
      <c r="M2206">
        <v>0</v>
      </c>
      <c r="N2206">
        <v>0</v>
      </c>
      <c r="O2206">
        <v>0</v>
      </c>
      <c r="P2206">
        <v>0</v>
      </c>
      <c r="Q2206">
        <v>0</v>
      </c>
      <c r="R2206">
        <v>0</v>
      </c>
      <c r="S2206">
        <v>0</v>
      </c>
      <c r="T2206">
        <v>0</v>
      </c>
      <c r="U2206">
        <v>0</v>
      </c>
      <c r="V2206">
        <v>0</v>
      </c>
      <c r="W2206">
        <v>0</v>
      </c>
      <c r="X2206">
        <v>0</v>
      </c>
      <c r="Z2206">
        <v>2</v>
      </c>
      <c r="AA2206">
        <v>0</v>
      </c>
      <c r="AB2206">
        <v>13</v>
      </c>
      <c r="AC2206">
        <v>221</v>
      </c>
      <c r="AD2206">
        <v>925</v>
      </c>
    </row>
    <row r="2207" spans="1:30" x14ac:dyDescent="0.25">
      <c r="H2207" t="s">
        <v>4407</v>
      </c>
    </row>
    <row r="2208" spans="1:30" x14ac:dyDescent="0.25">
      <c r="A2208">
        <v>1101</v>
      </c>
      <c r="B2208">
        <v>4407</v>
      </c>
      <c r="C2208" t="s">
        <v>4408</v>
      </c>
      <c r="D2208" t="s">
        <v>106</v>
      </c>
      <c r="E2208" t="s">
        <v>368</v>
      </c>
      <c r="F2208" t="s">
        <v>4409</v>
      </c>
      <c r="G2208" t="str">
        <f>"00151841"</f>
        <v>00151841</v>
      </c>
      <c r="H2208" t="s">
        <v>900</v>
      </c>
      <c r="I2208">
        <v>0</v>
      </c>
      <c r="J2208">
        <v>0</v>
      </c>
      <c r="K2208">
        <v>0</v>
      </c>
      <c r="L2208">
        <v>0</v>
      </c>
      <c r="M2208">
        <v>0</v>
      </c>
      <c r="N2208">
        <v>30</v>
      </c>
      <c r="O2208">
        <v>0</v>
      </c>
      <c r="P2208">
        <v>0</v>
      </c>
      <c r="Q2208">
        <v>0</v>
      </c>
      <c r="R2208">
        <v>0</v>
      </c>
      <c r="S2208">
        <v>0</v>
      </c>
      <c r="T2208">
        <v>0</v>
      </c>
      <c r="U2208">
        <v>0</v>
      </c>
      <c r="V2208">
        <v>28</v>
      </c>
      <c r="W2208">
        <v>196</v>
      </c>
      <c r="X2208">
        <v>0</v>
      </c>
      <c r="Z2208">
        <v>0</v>
      </c>
      <c r="AA2208">
        <v>0</v>
      </c>
      <c r="AB2208">
        <v>0</v>
      </c>
      <c r="AC2208">
        <v>0</v>
      </c>
      <c r="AD2208" t="s">
        <v>4410</v>
      </c>
    </row>
    <row r="2209" spans="1:30" x14ac:dyDescent="0.25">
      <c r="H2209" t="s">
        <v>4411</v>
      </c>
    </row>
    <row r="2210" spans="1:30" x14ac:dyDescent="0.25">
      <c r="A2210">
        <v>1102</v>
      </c>
      <c r="B2210">
        <v>6134</v>
      </c>
      <c r="C2210" t="s">
        <v>4412</v>
      </c>
      <c r="D2210" t="s">
        <v>225</v>
      </c>
      <c r="E2210" t="s">
        <v>254</v>
      </c>
      <c r="F2210" t="s">
        <v>4413</v>
      </c>
      <c r="G2210" t="str">
        <f>"00368936"</f>
        <v>00368936</v>
      </c>
      <c r="H2210" t="s">
        <v>3023</v>
      </c>
      <c r="I2210">
        <v>0</v>
      </c>
      <c r="J2210">
        <v>0</v>
      </c>
      <c r="K2210">
        <v>0</v>
      </c>
      <c r="L2210">
        <v>0</v>
      </c>
      <c r="M2210">
        <v>0</v>
      </c>
      <c r="N2210">
        <v>30</v>
      </c>
      <c r="O2210">
        <v>0</v>
      </c>
      <c r="P2210">
        <v>0</v>
      </c>
      <c r="Q2210">
        <v>0</v>
      </c>
      <c r="R2210">
        <v>0</v>
      </c>
      <c r="S2210">
        <v>0</v>
      </c>
      <c r="T2210">
        <v>0</v>
      </c>
      <c r="U2210">
        <v>0</v>
      </c>
      <c r="V2210">
        <v>0</v>
      </c>
      <c r="W2210">
        <v>0</v>
      </c>
      <c r="X2210">
        <v>0</v>
      </c>
      <c r="Z2210">
        <v>0</v>
      </c>
      <c r="AA2210">
        <v>0</v>
      </c>
      <c r="AB2210">
        <v>0</v>
      </c>
      <c r="AC2210">
        <v>0</v>
      </c>
      <c r="AD2210" t="s">
        <v>4414</v>
      </c>
    </row>
    <row r="2211" spans="1:30" x14ac:dyDescent="0.25">
      <c r="H2211" t="s">
        <v>4415</v>
      </c>
    </row>
    <row r="2212" spans="1:30" x14ac:dyDescent="0.25">
      <c r="A2212">
        <v>1103</v>
      </c>
      <c r="B2212">
        <v>4546</v>
      </c>
      <c r="C2212" t="s">
        <v>4416</v>
      </c>
      <c r="D2212" t="s">
        <v>4417</v>
      </c>
      <c r="E2212" t="s">
        <v>107</v>
      </c>
      <c r="F2212" t="s">
        <v>4418</v>
      </c>
      <c r="G2212" t="str">
        <f>"201402006922"</f>
        <v>201402006922</v>
      </c>
      <c r="H2212" t="s">
        <v>1244</v>
      </c>
      <c r="I2212">
        <v>0</v>
      </c>
      <c r="J2212">
        <v>0</v>
      </c>
      <c r="K2212">
        <v>0</v>
      </c>
      <c r="L2212">
        <v>0</v>
      </c>
      <c r="M2212">
        <v>0</v>
      </c>
      <c r="N2212">
        <v>70</v>
      </c>
      <c r="O2212">
        <v>30</v>
      </c>
      <c r="P2212">
        <v>0</v>
      </c>
      <c r="Q2212">
        <v>0</v>
      </c>
      <c r="R2212">
        <v>0</v>
      </c>
      <c r="S2212">
        <v>0</v>
      </c>
      <c r="T2212">
        <v>0</v>
      </c>
      <c r="U2212">
        <v>0</v>
      </c>
      <c r="V2212">
        <v>0</v>
      </c>
      <c r="W2212">
        <v>0</v>
      </c>
      <c r="X2212">
        <v>0</v>
      </c>
      <c r="Z2212">
        <v>0</v>
      </c>
      <c r="AA2212">
        <v>0</v>
      </c>
      <c r="AB2212">
        <v>0</v>
      </c>
      <c r="AC2212">
        <v>0</v>
      </c>
      <c r="AD2212" t="s">
        <v>4419</v>
      </c>
    </row>
    <row r="2213" spans="1:30" x14ac:dyDescent="0.25">
      <c r="H2213" t="s">
        <v>4420</v>
      </c>
    </row>
    <row r="2214" spans="1:30" x14ac:dyDescent="0.25">
      <c r="A2214">
        <v>1104</v>
      </c>
      <c r="B2214">
        <v>5147</v>
      </c>
      <c r="C2214" t="s">
        <v>4421</v>
      </c>
      <c r="D2214" t="s">
        <v>49</v>
      </c>
      <c r="E2214" t="s">
        <v>254</v>
      </c>
      <c r="F2214" t="s">
        <v>4422</v>
      </c>
      <c r="G2214" t="str">
        <f>"201511007446"</f>
        <v>201511007446</v>
      </c>
      <c r="H2214" t="s">
        <v>586</v>
      </c>
      <c r="I2214">
        <v>0</v>
      </c>
      <c r="J2214">
        <v>0</v>
      </c>
      <c r="K2214">
        <v>0</v>
      </c>
      <c r="L2214">
        <v>0</v>
      </c>
      <c r="M2214">
        <v>0</v>
      </c>
      <c r="N2214">
        <v>0</v>
      </c>
      <c r="O2214">
        <v>0</v>
      </c>
      <c r="P2214">
        <v>0</v>
      </c>
      <c r="Q2214">
        <v>0</v>
      </c>
      <c r="R2214">
        <v>0</v>
      </c>
      <c r="S2214">
        <v>0</v>
      </c>
      <c r="T2214">
        <v>0</v>
      </c>
      <c r="U2214">
        <v>0</v>
      </c>
      <c r="V2214">
        <v>37</v>
      </c>
      <c r="W2214">
        <v>259</v>
      </c>
      <c r="X2214">
        <v>0</v>
      </c>
      <c r="Z2214">
        <v>0</v>
      </c>
      <c r="AA2214">
        <v>0</v>
      </c>
      <c r="AB2214">
        <v>0</v>
      </c>
      <c r="AC2214">
        <v>0</v>
      </c>
      <c r="AD2214" t="s">
        <v>4423</v>
      </c>
    </row>
    <row r="2215" spans="1:30" x14ac:dyDescent="0.25">
      <c r="H2215" t="s">
        <v>4424</v>
      </c>
    </row>
    <row r="2216" spans="1:30" x14ac:dyDescent="0.25">
      <c r="A2216">
        <v>1105</v>
      </c>
      <c r="B2216">
        <v>2699</v>
      </c>
      <c r="C2216" t="s">
        <v>4425</v>
      </c>
      <c r="D2216" t="s">
        <v>102</v>
      </c>
      <c r="E2216" t="s">
        <v>368</v>
      </c>
      <c r="F2216" t="s">
        <v>4426</v>
      </c>
      <c r="G2216" t="str">
        <f>"201511032994"</f>
        <v>201511032994</v>
      </c>
      <c r="H2216" t="s">
        <v>4427</v>
      </c>
      <c r="I2216">
        <v>0</v>
      </c>
      <c r="J2216">
        <v>0</v>
      </c>
      <c r="K2216">
        <v>0</v>
      </c>
      <c r="L2216">
        <v>0</v>
      </c>
      <c r="M2216">
        <v>0</v>
      </c>
      <c r="N2216">
        <v>0</v>
      </c>
      <c r="O2216">
        <v>0</v>
      </c>
      <c r="P2216">
        <v>0</v>
      </c>
      <c r="Q2216">
        <v>0</v>
      </c>
      <c r="R2216">
        <v>0</v>
      </c>
      <c r="S2216">
        <v>0</v>
      </c>
      <c r="T2216">
        <v>0</v>
      </c>
      <c r="U2216">
        <v>0</v>
      </c>
      <c r="V2216">
        <v>0</v>
      </c>
      <c r="W2216">
        <v>0</v>
      </c>
      <c r="X2216">
        <v>0</v>
      </c>
      <c r="Z2216">
        <v>0</v>
      </c>
      <c r="AA2216">
        <v>0</v>
      </c>
      <c r="AB2216">
        <v>0</v>
      </c>
      <c r="AC2216">
        <v>0</v>
      </c>
      <c r="AD2216" t="s">
        <v>4427</v>
      </c>
    </row>
    <row r="2217" spans="1:30" x14ac:dyDescent="0.25">
      <c r="H2217" t="s">
        <v>483</v>
      </c>
    </row>
    <row r="2218" spans="1:30" x14ac:dyDescent="0.25">
      <c r="A2218">
        <v>1106</v>
      </c>
      <c r="B2218">
        <v>2199</v>
      </c>
      <c r="C2218" t="s">
        <v>4428</v>
      </c>
      <c r="D2218" t="s">
        <v>218</v>
      </c>
      <c r="E2218" t="s">
        <v>141</v>
      </c>
      <c r="F2218" t="s">
        <v>4429</v>
      </c>
      <c r="G2218" t="str">
        <f>"00311152"</f>
        <v>00311152</v>
      </c>
      <c r="H2218" t="s">
        <v>3510</v>
      </c>
      <c r="I2218">
        <v>0</v>
      </c>
      <c r="J2218">
        <v>0</v>
      </c>
      <c r="K2218">
        <v>0</v>
      </c>
      <c r="L2218">
        <v>0</v>
      </c>
      <c r="M2218">
        <v>0</v>
      </c>
      <c r="N2218">
        <v>30</v>
      </c>
      <c r="O2218">
        <v>0</v>
      </c>
      <c r="P2218">
        <v>0</v>
      </c>
      <c r="Q2218">
        <v>0</v>
      </c>
      <c r="R2218">
        <v>0</v>
      </c>
      <c r="S2218">
        <v>0</v>
      </c>
      <c r="T2218">
        <v>0</v>
      </c>
      <c r="U2218">
        <v>0</v>
      </c>
      <c r="V2218">
        <v>26</v>
      </c>
      <c r="W2218">
        <v>182</v>
      </c>
      <c r="X2218">
        <v>0</v>
      </c>
      <c r="Z2218">
        <v>1</v>
      </c>
      <c r="AA2218">
        <v>0</v>
      </c>
      <c r="AB2218">
        <v>0</v>
      </c>
      <c r="AC2218">
        <v>0</v>
      </c>
      <c r="AD2218" t="s">
        <v>4430</v>
      </c>
    </row>
    <row r="2219" spans="1:30" x14ac:dyDescent="0.25">
      <c r="H2219" t="s">
        <v>1327</v>
      </c>
    </row>
    <row r="2220" spans="1:30" x14ac:dyDescent="0.25">
      <c r="A2220">
        <v>1107</v>
      </c>
      <c r="B2220">
        <v>118</v>
      </c>
      <c r="C2220" t="s">
        <v>4431</v>
      </c>
      <c r="D2220" t="s">
        <v>283</v>
      </c>
      <c r="E2220" t="s">
        <v>32</v>
      </c>
      <c r="F2220" t="s">
        <v>4432</v>
      </c>
      <c r="G2220" t="str">
        <f>"200904000149"</f>
        <v>200904000149</v>
      </c>
      <c r="H2220" t="s">
        <v>35</v>
      </c>
      <c r="I2220">
        <v>0</v>
      </c>
      <c r="J2220">
        <v>0</v>
      </c>
      <c r="K2220">
        <v>0</v>
      </c>
      <c r="L2220">
        <v>0</v>
      </c>
      <c r="M2220">
        <v>0</v>
      </c>
      <c r="N2220">
        <v>30</v>
      </c>
      <c r="O2220">
        <v>0</v>
      </c>
      <c r="P2220">
        <v>0</v>
      </c>
      <c r="Q2220">
        <v>0</v>
      </c>
      <c r="R2220">
        <v>0</v>
      </c>
      <c r="S2220">
        <v>0</v>
      </c>
      <c r="T2220">
        <v>0</v>
      </c>
      <c r="U2220">
        <v>0</v>
      </c>
      <c r="V2220">
        <v>9</v>
      </c>
      <c r="W2220">
        <v>63</v>
      </c>
      <c r="X2220">
        <v>0</v>
      </c>
      <c r="Z2220">
        <v>0</v>
      </c>
      <c r="AA2220">
        <v>0</v>
      </c>
      <c r="AB2220">
        <v>0</v>
      </c>
      <c r="AC2220">
        <v>0</v>
      </c>
      <c r="AD2220" t="s">
        <v>4433</v>
      </c>
    </row>
    <row r="2221" spans="1:30" x14ac:dyDescent="0.25">
      <c r="H2221" t="s">
        <v>4434</v>
      </c>
    </row>
    <row r="2222" spans="1:30" x14ac:dyDescent="0.25">
      <c r="A2222">
        <v>1108</v>
      </c>
      <c r="B2222">
        <v>3030</v>
      </c>
      <c r="C2222" t="s">
        <v>4435</v>
      </c>
      <c r="D2222" t="s">
        <v>49</v>
      </c>
      <c r="E2222" t="s">
        <v>107</v>
      </c>
      <c r="F2222" t="s">
        <v>4436</v>
      </c>
      <c r="G2222" t="str">
        <f>"00346798"</f>
        <v>00346798</v>
      </c>
      <c r="H2222" t="s">
        <v>3051</v>
      </c>
      <c r="I2222">
        <v>0</v>
      </c>
      <c r="J2222">
        <v>0</v>
      </c>
      <c r="K2222">
        <v>0</v>
      </c>
      <c r="L2222">
        <v>0</v>
      </c>
      <c r="M2222">
        <v>0</v>
      </c>
      <c r="N2222">
        <v>70</v>
      </c>
      <c r="O2222">
        <v>0</v>
      </c>
      <c r="P2222">
        <v>0</v>
      </c>
      <c r="Q2222">
        <v>0</v>
      </c>
      <c r="R2222">
        <v>0</v>
      </c>
      <c r="S2222">
        <v>0</v>
      </c>
      <c r="T2222">
        <v>0</v>
      </c>
      <c r="U2222">
        <v>0</v>
      </c>
      <c r="V2222">
        <v>12</v>
      </c>
      <c r="W2222">
        <v>84</v>
      </c>
      <c r="X2222">
        <v>0</v>
      </c>
      <c r="Z2222">
        <v>0</v>
      </c>
      <c r="AA2222">
        <v>0</v>
      </c>
      <c r="AB2222">
        <v>0</v>
      </c>
      <c r="AC2222">
        <v>0</v>
      </c>
      <c r="AD2222" t="s">
        <v>4437</v>
      </c>
    </row>
    <row r="2223" spans="1:30" x14ac:dyDescent="0.25">
      <c r="H2223" t="s">
        <v>4438</v>
      </c>
    </row>
    <row r="2224" spans="1:30" x14ac:dyDescent="0.25">
      <c r="A2224">
        <v>1109</v>
      </c>
      <c r="B2224">
        <v>5905</v>
      </c>
      <c r="C2224" t="s">
        <v>3274</v>
      </c>
      <c r="D2224" t="s">
        <v>166</v>
      </c>
      <c r="E2224" t="s">
        <v>49</v>
      </c>
      <c r="F2224" t="s">
        <v>4439</v>
      </c>
      <c r="G2224" t="str">
        <f>"00108357"</f>
        <v>00108357</v>
      </c>
      <c r="H2224" t="s">
        <v>238</v>
      </c>
      <c r="I2224">
        <v>0</v>
      </c>
      <c r="J2224">
        <v>0</v>
      </c>
      <c r="K2224">
        <v>0</v>
      </c>
      <c r="L2224">
        <v>0</v>
      </c>
      <c r="M2224">
        <v>0</v>
      </c>
      <c r="N2224">
        <v>30</v>
      </c>
      <c r="O2224">
        <v>0</v>
      </c>
      <c r="P2224">
        <v>0</v>
      </c>
      <c r="Q2224">
        <v>0</v>
      </c>
      <c r="R2224">
        <v>0</v>
      </c>
      <c r="S2224">
        <v>0</v>
      </c>
      <c r="T2224">
        <v>0</v>
      </c>
      <c r="U2224">
        <v>0</v>
      </c>
      <c r="V2224">
        <v>4</v>
      </c>
      <c r="W2224">
        <v>28</v>
      </c>
      <c r="X2224">
        <v>0</v>
      </c>
      <c r="Z2224">
        <v>2</v>
      </c>
      <c r="AA2224">
        <v>0</v>
      </c>
      <c r="AB2224">
        <v>0</v>
      </c>
      <c r="AC2224">
        <v>0</v>
      </c>
      <c r="AD2224" t="s">
        <v>4440</v>
      </c>
    </row>
    <row r="2225" spans="1:30" x14ac:dyDescent="0.25">
      <c r="H2225" t="s">
        <v>4441</v>
      </c>
    </row>
    <row r="2226" spans="1:30" x14ac:dyDescent="0.25">
      <c r="A2226">
        <v>1110</v>
      </c>
      <c r="B2226">
        <v>5816</v>
      </c>
      <c r="C2226" t="s">
        <v>4442</v>
      </c>
      <c r="D2226" t="s">
        <v>32</v>
      </c>
      <c r="E2226" t="s">
        <v>40</v>
      </c>
      <c r="F2226" t="s">
        <v>4443</v>
      </c>
      <c r="G2226" t="str">
        <f>"201603000504"</f>
        <v>201603000504</v>
      </c>
      <c r="H2226" t="s">
        <v>1223</v>
      </c>
      <c r="I2226">
        <v>0</v>
      </c>
      <c r="J2226">
        <v>0</v>
      </c>
      <c r="K2226">
        <v>0</v>
      </c>
      <c r="L2226">
        <v>0</v>
      </c>
      <c r="M2226">
        <v>0</v>
      </c>
      <c r="N2226">
        <v>70</v>
      </c>
      <c r="O2226">
        <v>0</v>
      </c>
      <c r="P2226">
        <v>0</v>
      </c>
      <c r="Q2226">
        <v>0</v>
      </c>
      <c r="R2226">
        <v>0</v>
      </c>
      <c r="S2226">
        <v>0</v>
      </c>
      <c r="T2226">
        <v>0</v>
      </c>
      <c r="U2226">
        <v>0</v>
      </c>
      <c r="V2226">
        <v>0</v>
      </c>
      <c r="W2226">
        <v>0</v>
      </c>
      <c r="X2226">
        <v>0</v>
      </c>
      <c r="Z2226">
        <v>0</v>
      </c>
      <c r="AA2226">
        <v>100</v>
      </c>
      <c r="AB2226">
        <v>0</v>
      </c>
      <c r="AC2226">
        <v>0</v>
      </c>
      <c r="AD2226" t="s">
        <v>4444</v>
      </c>
    </row>
    <row r="2227" spans="1:30" x14ac:dyDescent="0.25">
      <c r="H2227" t="s">
        <v>4445</v>
      </c>
    </row>
    <row r="2228" spans="1:30" x14ac:dyDescent="0.25">
      <c r="A2228">
        <v>1111</v>
      </c>
      <c r="B2228">
        <v>223</v>
      </c>
      <c r="C2228" t="s">
        <v>4446</v>
      </c>
      <c r="D2228" t="s">
        <v>151</v>
      </c>
      <c r="E2228" t="s">
        <v>64</v>
      </c>
      <c r="F2228" t="s">
        <v>4447</v>
      </c>
      <c r="G2228" t="str">
        <f>"00191105"</f>
        <v>00191105</v>
      </c>
      <c r="H2228">
        <v>792</v>
      </c>
      <c r="I2228">
        <v>0</v>
      </c>
      <c r="J2228">
        <v>0</v>
      </c>
      <c r="K2228">
        <v>0</v>
      </c>
      <c r="L2228">
        <v>0</v>
      </c>
      <c r="M2228">
        <v>0</v>
      </c>
      <c r="N2228">
        <v>30</v>
      </c>
      <c r="O2228">
        <v>0</v>
      </c>
      <c r="P2228">
        <v>0</v>
      </c>
      <c r="Q2228">
        <v>0</v>
      </c>
      <c r="R2228">
        <v>0</v>
      </c>
      <c r="S2228">
        <v>0</v>
      </c>
      <c r="T2228">
        <v>0</v>
      </c>
      <c r="U2228">
        <v>0</v>
      </c>
      <c r="V2228">
        <v>14</v>
      </c>
      <c r="W2228">
        <v>98</v>
      </c>
      <c r="X2228">
        <v>0</v>
      </c>
      <c r="Z2228">
        <v>1</v>
      </c>
      <c r="AA2228">
        <v>0</v>
      </c>
      <c r="AB2228">
        <v>0</v>
      </c>
      <c r="AC2228">
        <v>0</v>
      </c>
      <c r="AD2228">
        <v>920</v>
      </c>
    </row>
    <row r="2229" spans="1:30" x14ac:dyDescent="0.25">
      <c r="H2229" t="s">
        <v>4448</v>
      </c>
    </row>
    <row r="2230" spans="1:30" x14ac:dyDescent="0.25">
      <c r="A2230">
        <v>1112</v>
      </c>
      <c r="B2230">
        <v>4836</v>
      </c>
      <c r="C2230" t="s">
        <v>4449</v>
      </c>
      <c r="D2230" t="s">
        <v>4450</v>
      </c>
      <c r="E2230" t="s">
        <v>1850</v>
      </c>
      <c r="F2230" t="s">
        <v>4451</v>
      </c>
      <c r="G2230" t="str">
        <f>"00303845"</f>
        <v>00303845</v>
      </c>
      <c r="H2230">
        <v>682</v>
      </c>
      <c r="I2230">
        <v>0</v>
      </c>
      <c r="J2230">
        <v>0</v>
      </c>
      <c r="K2230">
        <v>0</v>
      </c>
      <c r="L2230">
        <v>0</v>
      </c>
      <c r="M2230">
        <v>0</v>
      </c>
      <c r="N2230">
        <v>0</v>
      </c>
      <c r="O2230">
        <v>0</v>
      </c>
      <c r="P2230">
        <v>0</v>
      </c>
      <c r="Q2230">
        <v>0</v>
      </c>
      <c r="R2230">
        <v>0</v>
      </c>
      <c r="S2230">
        <v>0</v>
      </c>
      <c r="T2230">
        <v>0</v>
      </c>
      <c r="U2230">
        <v>0</v>
      </c>
      <c r="V2230">
        <v>0</v>
      </c>
      <c r="W2230">
        <v>0</v>
      </c>
      <c r="X2230">
        <v>0</v>
      </c>
      <c r="Z2230">
        <v>0</v>
      </c>
      <c r="AA2230">
        <v>0</v>
      </c>
      <c r="AB2230">
        <v>14</v>
      </c>
      <c r="AC2230">
        <v>238</v>
      </c>
      <c r="AD2230">
        <v>920</v>
      </c>
    </row>
    <row r="2231" spans="1:30" x14ac:dyDescent="0.25">
      <c r="H2231" t="s">
        <v>2131</v>
      </c>
    </row>
    <row r="2232" spans="1:30" x14ac:dyDescent="0.25">
      <c r="A2232">
        <v>1113</v>
      </c>
      <c r="B2232">
        <v>1908</v>
      </c>
      <c r="C2232" t="s">
        <v>4452</v>
      </c>
      <c r="D2232" t="s">
        <v>95</v>
      </c>
      <c r="E2232" t="s">
        <v>309</v>
      </c>
      <c r="F2232" t="s">
        <v>4453</v>
      </c>
      <c r="G2232" t="str">
        <f>"201406001204"</f>
        <v>201406001204</v>
      </c>
      <c r="H2232" t="s">
        <v>4454</v>
      </c>
      <c r="I2232">
        <v>0</v>
      </c>
      <c r="J2232">
        <v>0</v>
      </c>
      <c r="K2232">
        <v>0</v>
      </c>
      <c r="L2232">
        <v>0</v>
      </c>
      <c r="M2232">
        <v>0</v>
      </c>
      <c r="N2232">
        <v>30</v>
      </c>
      <c r="O2232">
        <v>0</v>
      </c>
      <c r="P2232">
        <v>0</v>
      </c>
      <c r="Q2232">
        <v>0</v>
      </c>
      <c r="R2232">
        <v>0</v>
      </c>
      <c r="S2232">
        <v>0</v>
      </c>
      <c r="T2232">
        <v>0</v>
      </c>
      <c r="U2232">
        <v>0</v>
      </c>
      <c r="V2232">
        <v>10</v>
      </c>
      <c r="W2232">
        <v>70</v>
      </c>
      <c r="X2232">
        <v>0</v>
      </c>
      <c r="Z2232">
        <v>0</v>
      </c>
      <c r="AA2232">
        <v>0</v>
      </c>
      <c r="AB2232">
        <v>0</v>
      </c>
      <c r="AC2232">
        <v>0</v>
      </c>
      <c r="AD2232" t="s">
        <v>4455</v>
      </c>
    </row>
    <row r="2233" spans="1:30" x14ac:dyDescent="0.25">
      <c r="H2233" t="s">
        <v>4456</v>
      </c>
    </row>
    <row r="2234" spans="1:30" x14ac:dyDescent="0.25">
      <c r="A2234">
        <v>1114</v>
      </c>
      <c r="B2234">
        <v>2956</v>
      </c>
      <c r="C2234" t="s">
        <v>4457</v>
      </c>
      <c r="D2234" t="s">
        <v>4458</v>
      </c>
      <c r="E2234" t="s">
        <v>4459</v>
      </c>
      <c r="F2234" t="s">
        <v>4460</v>
      </c>
      <c r="G2234" t="str">
        <f>"00228802"</f>
        <v>00228802</v>
      </c>
      <c r="H2234">
        <v>869</v>
      </c>
      <c r="I2234">
        <v>0</v>
      </c>
      <c r="J2234">
        <v>0</v>
      </c>
      <c r="K2234">
        <v>0</v>
      </c>
      <c r="L2234">
        <v>0</v>
      </c>
      <c r="M2234">
        <v>0</v>
      </c>
      <c r="N2234">
        <v>50</v>
      </c>
      <c r="O2234">
        <v>0</v>
      </c>
      <c r="P2234">
        <v>0</v>
      </c>
      <c r="Q2234">
        <v>0</v>
      </c>
      <c r="R2234">
        <v>0</v>
      </c>
      <c r="S2234">
        <v>0</v>
      </c>
      <c r="T2234">
        <v>0</v>
      </c>
      <c r="U2234">
        <v>0</v>
      </c>
      <c r="V2234">
        <v>0</v>
      </c>
      <c r="W2234">
        <v>0</v>
      </c>
      <c r="X2234">
        <v>0</v>
      </c>
      <c r="Z2234">
        <v>0</v>
      </c>
      <c r="AA2234">
        <v>0</v>
      </c>
      <c r="AB2234">
        <v>0</v>
      </c>
      <c r="AC2234">
        <v>0</v>
      </c>
      <c r="AD2234">
        <v>919</v>
      </c>
    </row>
    <row r="2235" spans="1:30" x14ac:dyDescent="0.25">
      <c r="H2235" t="s">
        <v>4461</v>
      </c>
    </row>
    <row r="2236" spans="1:30" x14ac:dyDescent="0.25">
      <c r="A2236">
        <v>1115</v>
      </c>
      <c r="B2236">
        <v>2376</v>
      </c>
      <c r="C2236" t="s">
        <v>4462</v>
      </c>
      <c r="D2236" t="s">
        <v>1317</v>
      </c>
      <c r="E2236" t="s">
        <v>40</v>
      </c>
      <c r="F2236" t="s">
        <v>4463</v>
      </c>
      <c r="G2236" t="str">
        <f>"201412005028"</f>
        <v>201412005028</v>
      </c>
      <c r="H2236" t="s">
        <v>1066</v>
      </c>
      <c r="I2236">
        <v>0</v>
      </c>
      <c r="J2236">
        <v>0</v>
      </c>
      <c r="K2236">
        <v>0</v>
      </c>
      <c r="L2236">
        <v>0</v>
      </c>
      <c r="M2236">
        <v>0</v>
      </c>
      <c r="N2236">
        <v>50</v>
      </c>
      <c r="O2236">
        <v>0</v>
      </c>
      <c r="P2236">
        <v>0</v>
      </c>
      <c r="Q2236">
        <v>0</v>
      </c>
      <c r="R2236">
        <v>0</v>
      </c>
      <c r="S2236">
        <v>0</v>
      </c>
      <c r="T2236">
        <v>0</v>
      </c>
      <c r="U2236">
        <v>0</v>
      </c>
      <c r="V2236">
        <v>35</v>
      </c>
      <c r="W2236">
        <v>245</v>
      </c>
      <c r="X2236">
        <v>0</v>
      </c>
      <c r="Z2236">
        <v>0</v>
      </c>
      <c r="AA2236">
        <v>0</v>
      </c>
      <c r="AB2236">
        <v>0</v>
      </c>
      <c r="AC2236">
        <v>0</v>
      </c>
      <c r="AD2236" t="s">
        <v>4464</v>
      </c>
    </row>
    <row r="2237" spans="1:30" x14ac:dyDescent="0.25">
      <c r="H2237" t="s">
        <v>4465</v>
      </c>
    </row>
    <row r="2238" spans="1:30" x14ac:dyDescent="0.25">
      <c r="A2238">
        <v>1116</v>
      </c>
      <c r="B2238">
        <v>5302</v>
      </c>
      <c r="C2238" t="s">
        <v>4466</v>
      </c>
      <c r="D2238" t="s">
        <v>218</v>
      </c>
      <c r="E2238" t="s">
        <v>142</v>
      </c>
      <c r="F2238" t="s">
        <v>4467</v>
      </c>
      <c r="G2238" t="str">
        <f>"00333899"</f>
        <v>00333899</v>
      </c>
      <c r="H2238" t="s">
        <v>476</v>
      </c>
      <c r="I2238">
        <v>0</v>
      </c>
      <c r="J2238">
        <v>0</v>
      </c>
      <c r="K2238">
        <v>0</v>
      </c>
      <c r="L2238">
        <v>0</v>
      </c>
      <c r="M2238">
        <v>0</v>
      </c>
      <c r="N2238">
        <v>30</v>
      </c>
      <c r="O2238">
        <v>0</v>
      </c>
      <c r="P2238">
        <v>0</v>
      </c>
      <c r="Q2238">
        <v>0</v>
      </c>
      <c r="R2238">
        <v>0</v>
      </c>
      <c r="S2238">
        <v>0</v>
      </c>
      <c r="T2238">
        <v>0</v>
      </c>
      <c r="U2238">
        <v>0</v>
      </c>
      <c r="V2238">
        <v>22</v>
      </c>
      <c r="W2238">
        <v>154</v>
      </c>
      <c r="X2238">
        <v>0</v>
      </c>
      <c r="Z2238">
        <v>0</v>
      </c>
      <c r="AA2238">
        <v>0</v>
      </c>
      <c r="AB2238">
        <v>0</v>
      </c>
      <c r="AC2238">
        <v>0</v>
      </c>
      <c r="AD2238" t="s">
        <v>4468</v>
      </c>
    </row>
    <row r="2239" spans="1:30" x14ac:dyDescent="0.25">
      <c r="H2239" t="s">
        <v>2739</v>
      </c>
    </row>
    <row r="2240" spans="1:30" x14ac:dyDescent="0.25">
      <c r="A2240">
        <v>1117</v>
      </c>
      <c r="B2240">
        <v>3237</v>
      </c>
      <c r="C2240" t="s">
        <v>4469</v>
      </c>
      <c r="D2240" t="s">
        <v>1480</v>
      </c>
      <c r="E2240" t="s">
        <v>76</v>
      </c>
      <c r="F2240" t="s">
        <v>4470</v>
      </c>
      <c r="G2240" t="str">
        <f>"201604002994"</f>
        <v>201604002994</v>
      </c>
      <c r="H2240" t="s">
        <v>976</v>
      </c>
      <c r="I2240">
        <v>0</v>
      </c>
      <c r="J2240">
        <v>0</v>
      </c>
      <c r="K2240">
        <v>0</v>
      </c>
      <c r="L2240">
        <v>0</v>
      </c>
      <c r="M2240">
        <v>0</v>
      </c>
      <c r="N2240">
        <v>30</v>
      </c>
      <c r="O2240">
        <v>0</v>
      </c>
      <c r="P2240">
        <v>70</v>
      </c>
      <c r="Q2240">
        <v>0</v>
      </c>
      <c r="R2240">
        <v>0</v>
      </c>
      <c r="S2240">
        <v>0</v>
      </c>
      <c r="T2240">
        <v>0</v>
      </c>
      <c r="U2240">
        <v>0</v>
      </c>
      <c r="V2240">
        <v>0</v>
      </c>
      <c r="W2240">
        <v>0</v>
      </c>
      <c r="X2240">
        <v>0</v>
      </c>
      <c r="Z2240">
        <v>0</v>
      </c>
      <c r="AA2240">
        <v>0</v>
      </c>
      <c r="AB2240">
        <v>0</v>
      </c>
      <c r="AC2240">
        <v>0</v>
      </c>
      <c r="AD2240" t="s">
        <v>4471</v>
      </c>
    </row>
    <row r="2241" spans="1:30" x14ac:dyDescent="0.25">
      <c r="H2241" t="s">
        <v>4472</v>
      </c>
    </row>
    <row r="2242" spans="1:30" x14ac:dyDescent="0.25">
      <c r="A2242">
        <v>1118</v>
      </c>
      <c r="B2242">
        <v>3926</v>
      </c>
      <c r="C2242" t="s">
        <v>4473</v>
      </c>
      <c r="D2242" t="s">
        <v>28</v>
      </c>
      <c r="E2242" t="s">
        <v>325</v>
      </c>
      <c r="F2242" t="s">
        <v>4474</v>
      </c>
      <c r="G2242" t="str">
        <f>"00128083"</f>
        <v>00128083</v>
      </c>
      <c r="H2242" t="s">
        <v>2821</v>
      </c>
      <c r="I2242">
        <v>0</v>
      </c>
      <c r="J2242">
        <v>0</v>
      </c>
      <c r="K2242">
        <v>0</v>
      </c>
      <c r="L2242">
        <v>0</v>
      </c>
      <c r="M2242">
        <v>0</v>
      </c>
      <c r="N2242">
        <v>70</v>
      </c>
      <c r="O2242">
        <v>0</v>
      </c>
      <c r="P2242">
        <v>0</v>
      </c>
      <c r="Q2242">
        <v>0</v>
      </c>
      <c r="R2242">
        <v>0</v>
      </c>
      <c r="S2242">
        <v>0</v>
      </c>
      <c r="T2242">
        <v>0</v>
      </c>
      <c r="U2242">
        <v>0</v>
      </c>
      <c r="V2242">
        <v>0</v>
      </c>
      <c r="W2242">
        <v>0</v>
      </c>
      <c r="X2242">
        <v>0</v>
      </c>
      <c r="Z2242">
        <v>0</v>
      </c>
      <c r="AA2242">
        <v>0</v>
      </c>
      <c r="AB2242">
        <v>0</v>
      </c>
      <c r="AC2242">
        <v>0</v>
      </c>
      <c r="AD2242" t="s">
        <v>4475</v>
      </c>
    </row>
    <row r="2243" spans="1:30" x14ac:dyDescent="0.25">
      <c r="H2243" t="s">
        <v>4476</v>
      </c>
    </row>
    <row r="2244" spans="1:30" x14ac:dyDescent="0.25">
      <c r="A2244">
        <v>1119</v>
      </c>
      <c r="B2244">
        <v>4817</v>
      </c>
      <c r="C2244" t="s">
        <v>4477</v>
      </c>
      <c r="D2244" t="s">
        <v>83</v>
      </c>
      <c r="E2244" t="s">
        <v>64</v>
      </c>
      <c r="F2244" t="s">
        <v>4478</v>
      </c>
      <c r="G2244" t="str">
        <f>"00229424"</f>
        <v>00229424</v>
      </c>
      <c r="H2244" t="s">
        <v>4479</v>
      </c>
      <c r="I2244">
        <v>0</v>
      </c>
      <c r="J2244">
        <v>0</v>
      </c>
      <c r="K2244">
        <v>0</v>
      </c>
      <c r="L2244">
        <v>0</v>
      </c>
      <c r="M2244">
        <v>0</v>
      </c>
      <c r="N2244">
        <v>30</v>
      </c>
      <c r="O2244">
        <v>0</v>
      </c>
      <c r="P2244">
        <v>0</v>
      </c>
      <c r="Q2244">
        <v>0</v>
      </c>
      <c r="R2244">
        <v>0</v>
      </c>
      <c r="S2244">
        <v>0</v>
      </c>
      <c r="T2244">
        <v>0</v>
      </c>
      <c r="U2244">
        <v>0</v>
      </c>
      <c r="V2244">
        <v>0</v>
      </c>
      <c r="W2244">
        <v>0</v>
      </c>
      <c r="X2244">
        <v>0</v>
      </c>
      <c r="Z2244">
        <v>0</v>
      </c>
      <c r="AA2244">
        <v>0</v>
      </c>
      <c r="AB2244">
        <v>0</v>
      </c>
      <c r="AC2244">
        <v>0</v>
      </c>
      <c r="AD2244" t="s">
        <v>4480</v>
      </c>
    </row>
    <row r="2245" spans="1:30" x14ac:dyDescent="0.25">
      <c r="H2245" t="s">
        <v>4481</v>
      </c>
    </row>
    <row r="2246" spans="1:30" x14ac:dyDescent="0.25">
      <c r="A2246">
        <v>1120</v>
      </c>
      <c r="B2246">
        <v>1598</v>
      </c>
      <c r="C2246" t="s">
        <v>4482</v>
      </c>
      <c r="D2246" t="s">
        <v>815</v>
      </c>
      <c r="E2246" t="s">
        <v>32</v>
      </c>
      <c r="F2246" t="s">
        <v>4483</v>
      </c>
      <c r="G2246" t="str">
        <f>"00310578"</f>
        <v>00310578</v>
      </c>
      <c r="H2246" t="s">
        <v>198</v>
      </c>
      <c r="I2246">
        <v>0</v>
      </c>
      <c r="J2246">
        <v>0</v>
      </c>
      <c r="K2246">
        <v>0</v>
      </c>
      <c r="L2246">
        <v>0</v>
      </c>
      <c r="M2246">
        <v>0</v>
      </c>
      <c r="N2246">
        <v>30</v>
      </c>
      <c r="O2246">
        <v>0</v>
      </c>
      <c r="P2246">
        <v>0</v>
      </c>
      <c r="Q2246">
        <v>0</v>
      </c>
      <c r="R2246">
        <v>0</v>
      </c>
      <c r="S2246">
        <v>0</v>
      </c>
      <c r="T2246">
        <v>0</v>
      </c>
      <c r="U2246">
        <v>0</v>
      </c>
      <c r="V2246">
        <v>22</v>
      </c>
      <c r="W2246">
        <v>154</v>
      </c>
      <c r="X2246">
        <v>0</v>
      </c>
      <c r="Z2246">
        <v>0</v>
      </c>
      <c r="AA2246">
        <v>0</v>
      </c>
      <c r="AB2246">
        <v>0</v>
      </c>
      <c r="AC2246">
        <v>0</v>
      </c>
      <c r="AD2246" t="s">
        <v>4484</v>
      </c>
    </row>
    <row r="2247" spans="1:30" x14ac:dyDescent="0.25">
      <c r="H2247" t="s">
        <v>4485</v>
      </c>
    </row>
    <row r="2248" spans="1:30" x14ac:dyDescent="0.25">
      <c r="A2248">
        <v>1121</v>
      </c>
      <c r="B2248">
        <v>1454</v>
      </c>
      <c r="C2248" t="s">
        <v>4486</v>
      </c>
      <c r="D2248" t="s">
        <v>107</v>
      </c>
      <c r="E2248" t="s">
        <v>743</v>
      </c>
      <c r="F2248" t="s">
        <v>4487</v>
      </c>
      <c r="G2248" t="str">
        <f>"00215491"</f>
        <v>00215491</v>
      </c>
      <c r="H2248" t="s">
        <v>887</v>
      </c>
      <c r="I2248">
        <v>0</v>
      </c>
      <c r="J2248">
        <v>0</v>
      </c>
      <c r="K2248">
        <v>0</v>
      </c>
      <c r="L2248">
        <v>0</v>
      </c>
      <c r="M2248">
        <v>0</v>
      </c>
      <c r="N2248">
        <v>70</v>
      </c>
      <c r="O2248">
        <v>0</v>
      </c>
      <c r="P2248">
        <v>0</v>
      </c>
      <c r="Q2248">
        <v>0</v>
      </c>
      <c r="R2248">
        <v>0</v>
      </c>
      <c r="S2248">
        <v>0</v>
      </c>
      <c r="T2248">
        <v>0</v>
      </c>
      <c r="U2248">
        <v>0</v>
      </c>
      <c r="V2248">
        <v>5</v>
      </c>
      <c r="W2248">
        <v>35</v>
      </c>
      <c r="X2248">
        <v>0</v>
      </c>
      <c r="Z2248">
        <v>0</v>
      </c>
      <c r="AA2248">
        <v>0</v>
      </c>
      <c r="AB2248">
        <v>6</v>
      </c>
      <c r="AC2248">
        <v>102</v>
      </c>
      <c r="AD2248" t="s">
        <v>4488</v>
      </c>
    </row>
    <row r="2249" spans="1:30" x14ac:dyDescent="0.25">
      <c r="H2249" t="s">
        <v>4489</v>
      </c>
    </row>
    <row r="2250" spans="1:30" x14ac:dyDescent="0.25">
      <c r="A2250">
        <v>1122</v>
      </c>
      <c r="B2250">
        <v>5967</v>
      </c>
      <c r="C2250" t="s">
        <v>4490</v>
      </c>
      <c r="D2250" t="s">
        <v>218</v>
      </c>
      <c r="E2250" t="s">
        <v>45</v>
      </c>
      <c r="F2250" t="s">
        <v>4491</v>
      </c>
      <c r="G2250" t="str">
        <f>"201502000328"</f>
        <v>201502000328</v>
      </c>
      <c r="H2250" t="s">
        <v>1846</v>
      </c>
      <c r="I2250">
        <v>0</v>
      </c>
      <c r="J2250">
        <v>0</v>
      </c>
      <c r="K2250">
        <v>0</v>
      </c>
      <c r="L2250">
        <v>0</v>
      </c>
      <c r="M2250">
        <v>0</v>
      </c>
      <c r="N2250">
        <v>0</v>
      </c>
      <c r="O2250">
        <v>0</v>
      </c>
      <c r="P2250">
        <v>0</v>
      </c>
      <c r="Q2250">
        <v>0</v>
      </c>
      <c r="R2250">
        <v>0</v>
      </c>
      <c r="S2250">
        <v>0</v>
      </c>
      <c r="T2250">
        <v>0</v>
      </c>
      <c r="U2250">
        <v>0</v>
      </c>
      <c r="V2250">
        <v>37</v>
      </c>
      <c r="W2250">
        <v>259</v>
      </c>
      <c r="X2250">
        <v>0</v>
      </c>
      <c r="Z2250">
        <v>0</v>
      </c>
      <c r="AA2250">
        <v>0</v>
      </c>
      <c r="AB2250">
        <v>0</v>
      </c>
      <c r="AC2250">
        <v>0</v>
      </c>
      <c r="AD2250" t="s">
        <v>4492</v>
      </c>
    </row>
    <row r="2251" spans="1:30" x14ac:dyDescent="0.25">
      <c r="H2251" t="s">
        <v>4493</v>
      </c>
    </row>
    <row r="2252" spans="1:30" x14ac:dyDescent="0.25">
      <c r="A2252">
        <v>1123</v>
      </c>
      <c r="B2252">
        <v>551</v>
      </c>
      <c r="C2252" t="s">
        <v>4494</v>
      </c>
      <c r="D2252" t="s">
        <v>49</v>
      </c>
      <c r="E2252" t="s">
        <v>102</v>
      </c>
      <c r="F2252" t="s">
        <v>4495</v>
      </c>
      <c r="G2252" t="str">
        <f>"201604000693"</f>
        <v>201604000693</v>
      </c>
      <c r="H2252" t="s">
        <v>919</v>
      </c>
      <c r="I2252">
        <v>0</v>
      </c>
      <c r="J2252">
        <v>0</v>
      </c>
      <c r="K2252">
        <v>0</v>
      </c>
      <c r="L2252">
        <v>0</v>
      </c>
      <c r="M2252">
        <v>0</v>
      </c>
      <c r="N2252">
        <v>30</v>
      </c>
      <c r="O2252">
        <v>0</v>
      </c>
      <c r="P2252">
        <v>0</v>
      </c>
      <c r="Q2252">
        <v>0</v>
      </c>
      <c r="R2252">
        <v>0</v>
      </c>
      <c r="S2252">
        <v>0</v>
      </c>
      <c r="T2252">
        <v>0</v>
      </c>
      <c r="U2252">
        <v>0</v>
      </c>
      <c r="V2252">
        <v>0</v>
      </c>
      <c r="W2252">
        <v>0</v>
      </c>
      <c r="X2252">
        <v>0</v>
      </c>
      <c r="Z2252">
        <v>0</v>
      </c>
      <c r="AA2252">
        <v>0</v>
      </c>
      <c r="AB2252">
        <v>8</v>
      </c>
      <c r="AC2252">
        <v>136</v>
      </c>
      <c r="AD2252" t="s">
        <v>4496</v>
      </c>
    </row>
    <row r="2253" spans="1:30" x14ac:dyDescent="0.25">
      <c r="H2253" t="s">
        <v>4497</v>
      </c>
    </row>
    <row r="2254" spans="1:30" x14ac:dyDescent="0.25">
      <c r="A2254">
        <v>1124</v>
      </c>
      <c r="B2254">
        <v>4298</v>
      </c>
      <c r="C2254" t="s">
        <v>4498</v>
      </c>
      <c r="D2254" t="s">
        <v>45</v>
      </c>
      <c r="E2254" t="s">
        <v>107</v>
      </c>
      <c r="F2254" t="s">
        <v>4499</v>
      </c>
      <c r="G2254" t="str">
        <f>"201604005044"</f>
        <v>201604005044</v>
      </c>
      <c r="H2254" t="s">
        <v>4254</v>
      </c>
      <c r="I2254">
        <v>0</v>
      </c>
      <c r="J2254">
        <v>0</v>
      </c>
      <c r="K2254">
        <v>0</v>
      </c>
      <c r="L2254">
        <v>0</v>
      </c>
      <c r="M2254">
        <v>0</v>
      </c>
      <c r="N2254">
        <v>30</v>
      </c>
      <c r="O2254">
        <v>0</v>
      </c>
      <c r="P2254">
        <v>0</v>
      </c>
      <c r="Q2254">
        <v>0</v>
      </c>
      <c r="R2254">
        <v>0</v>
      </c>
      <c r="S2254">
        <v>0</v>
      </c>
      <c r="T2254">
        <v>0</v>
      </c>
      <c r="U2254">
        <v>0</v>
      </c>
      <c r="V2254">
        <v>36</v>
      </c>
      <c r="W2254">
        <v>252</v>
      </c>
      <c r="X2254">
        <v>0</v>
      </c>
      <c r="Z2254">
        <v>0</v>
      </c>
      <c r="AA2254">
        <v>0</v>
      </c>
      <c r="AB2254">
        <v>0</v>
      </c>
      <c r="AC2254">
        <v>0</v>
      </c>
      <c r="AD2254" t="s">
        <v>4500</v>
      </c>
    </row>
    <row r="2255" spans="1:30" x14ac:dyDescent="0.25">
      <c r="H2255" t="s">
        <v>4501</v>
      </c>
    </row>
    <row r="2256" spans="1:30" x14ac:dyDescent="0.25">
      <c r="A2256">
        <v>1125</v>
      </c>
      <c r="B2256">
        <v>3688</v>
      </c>
      <c r="C2256" t="s">
        <v>4502</v>
      </c>
      <c r="D2256" t="s">
        <v>1053</v>
      </c>
      <c r="E2256" t="s">
        <v>102</v>
      </c>
      <c r="F2256" t="s">
        <v>4503</v>
      </c>
      <c r="G2256" t="str">
        <f>"00366507"</f>
        <v>00366507</v>
      </c>
      <c r="H2256" t="s">
        <v>1734</v>
      </c>
      <c r="I2256">
        <v>0</v>
      </c>
      <c r="J2256">
        <v>0</v>
      </c>
      <c r="K2256">
        <v>0</v>
      </c>
      <c r="L2256">
        <v>0</v>
      </c>
      <c r="M2256">
        <v>0</v>
      </c>
      <c r="N2256">
        <v>0</v>
      </c>
      <c r="O2256">
        <v>0</v>
      </c>
      <c r="P2256">
        <v>0</v>
      </c>
      <c r="Q2256">
        <v>0</v>
      </c>
      <c r="R2256">
        <v>0</v>
      </c>
      <c r="S2256">
        <v>0</v>
      </c>
      <c r="T2256">
        <v>0</v>
      </c>
      <c r="U2256">
        <v>0</v>
      </c>
      <c r="V2256">
        <v>37</v>
      </c>
      <c r="W2256">
        <v>259</v>
      </c>
      <c r="X2256">
        <v>0</v>
      </c>
      <c r="Z2256">
        <v>0</v>
      </c>
      <c r="AA2256">
        <v>0</v>
      </c>
      <c r="AB2256">
        <v>0</v>
      </c>
      <c r="AC2256">
        <v>0</v>
      </c>
      <c r="AD2256" t="s">
        <v>4504</v>
      </c>
    </row>
    <row r="2257" spans="1:30" x14ac:dyDescent="0.25">
      <c r="H2257" t="s">
        <v>4505</v>
      </c>
    </row>
    <row r="2258" spans="1:30" x14ac:dyDescent="0.25">
      <c r="A2258">
        <v>1126</v>
      </c>
      <c r="B2258">
        <v>6179</v>
      </c>
      <c r="C2258" t="s">
        <v>4506</v>
      </c>
      <c r="D2258" t="s">
        <v>1237</v>
      </c>
      <c r="E2258" t="s">
        <v>439</v>
      </c>
      <c r="F2258" t="s">
        <v>4507</v>
      </c>
      <c r="G2258" t="str">
        <f>"201512000751"</f>
        <v>201512000751</v>
      </c>
      <c r="H2258">
        <v>649</v>
      </c>
      <c r="I2258">
        <v>0</v>
      </c>
      <c r="J2258">
        <v>0</v>
      </c>
      <c r="K2258">
        <v>0</v>
      </c>
      <c r="L2258">
        <v>0</v>
      </c>
      <c r="M2258">
        <v>0</v>
      </c>
      <c r="N2258">
        <v>30</v>
      </c>
      <c r="O2258">
        <v>0</v>
      </c>
      <c r="P2258">
        <v>0</v>
      </c>
      <c r="Q2258">
        <v>0</v>
      </c>
      <c r="R2258">
        <v>0</v>
      </c>
      <c r="S2258">
        <v>0</v>
      </c>
      <c r="T2258">
        <v>0</v>
      </c>
      <c r="U2258">
        <v>0</v>
      </c>
      <c r="V2258">
        <v>33</v>
      </c>
      <c r="W2258">
        <v>231</v>
      </c>
      <c r="X2258">
        <v>0</v>
      </c>
      <c r="Z2258">
        <v>1</v>
      </c>
      <c r="AA2258">
        <v>0</v>
      </c>
      <c r="AB2258">
        <v>0</v>
      </c>
      <c r="AC2258">
        <v>0</v>
      </c>
      <c r="AD2258">
        <v>910</v>
      </c>
    </row>
    <row r="2259" spans="1:30" x14ac:dyDescent="0.25">
      <c r="H2259" t="s">
        <v>4508</v>
      </c>
    </row>
    <row r="2260" spans="1:30" x14ac:dyDescent="0.25">
      <c r="A2260">
        <v>1127</v>
      </c>
      <c r="B2260">
        <v>4930</v>
      </c>
      <c r="C2260" t="s">
        <v>4509</v>
      </c>
      <c r="D2260" t="s">
        <v>815</v>
      </c>
      <c r="E2260" t="s">
        <v>368</v>
      </c>
      <c r="F2260" t="s">
        <v>4510</v>
      </c>
      <c r="G2260" t="str">
        <f>"200810000016"</f>
        <v>200810000016</v>
      </c>
      <c r="H2260" t="s">
        <v>2552</v>
      </c>
      <c r="I2260">
        <v>0</v>
      </c>
      <c r="J2260">
        <v>0</v>
      </c>
      <c r="K2260">
        <v>0</v>
      </c>
      <c r="L2260">
        <v>0</v>
      </c>
      <c r="M2260">
        <v>0</v>
      </c>
      <c r="N2260">
        <v>70</v>
      </c>
      <c r="O2260">
        <v>0</v>
      </c>
      <c r="P2260">
        <v>0</v>
      </c>
      <c r="Q2260">
        <v>0</v>
      </c>
      <c r="R2260">
        <v>0</v>
      </c>
      <c r="S2260">
        <v>0</v>
      </c>
      <c r="T2260">
        <v>0</v>
      </c>
      <c r="U2260">
        <v>0</v>
      </c>
      <c r="V2260">
        <v>23</v>
      </c>
      <c r="W2260">
        <v>161</v>
      </c>
      <c r="X2260">
        <v>0</v>
      </c>
      <c r="Z2260">
        <v>0</v>
      </c>
      <c r="AA2260">
        <v>0</v>
      </c>
      <c r="AB2260">
        <v>0</v>
      </c>
      <c r="AC2260">
        <v>0</v>
      </c>
      <c r="AD2260" t="s">
        <v>4224</v>
      </c>
    </row>
    <row r="2261" spans="1:30" x14ac:dyDescent="0.25">
      <c r="H2261" t="s">
        <v>4511</v>
      </c>
    </row>
    <row r="2262" spans="1:30" x14ac:dyDescent="0.25">
      <c r="A2262">
        <v>1128</v>
      </c>
      <c r="B2262">
        <v>3270</v>
      </c>
      <c r="C2262" t="s">
        <v>4512</v>
      </c>
      <c r="D2262" t="s">
        <v>444</v>
      </c>
      <c r="E2262" t="s">
        <v>254</v>
      </c>
      <c r="F2262" t="s">
        <v>4513</v>
      </c>
      <c r="G2262" t="str">
        <f>"201406012892"</f>
        <v>201406012892</v>
      </c>
      <c r="H2262" t="s">
        <v>2552</v>
      </c>
      <c r="I2262">
        <v>0</v>
      </c>
      <c r="J2262">
        <v>0</v>
      </c>
      <c r="K2262">
        <v>0</v>
      </c>
      <c r="L2262">
        <v>200</v>
      </c>
      <c r="M2262">
        <v>0</v>
      </c>
      <c r="N2262">
        <v>30</v>
      </c>
      <c r="O2262">
        <v>0</v>
      </c>
      <c r="P2262">
        <v>0</v>
      </c>
      <c r="Q2262">
        <v>0</v>
      </c>
      <c r="R2262">
        <v>0</v>
      </c>
      <c r="S2262">
        <v>0</v>
      </c>
      <c r="T2262">
        <v>0</v>
      </c>
      <c r="U2262">
        <v>0</v>
      </c>
      <c r="V2262">
        <v>0</v>
      </c>
      <c r="W2262">
        <v>0</v>
      </c>
      <c r="X2262">
        <v>0</v>
      </c>
      <c r="Z2262">
        <v>0</v>
      </c>
      <c r="AA2262">
        <v>0</v>
      </c>
      <c r="AB2262">
        <v>0</v>
      </c>
      <c r="AC2262">
        <v>0</v>
      </c>
      <c r="AD2262" t="s">
        <v>4514</v>
      </c>
    </row>
    <row r="2263" spans="1:30" x14ac:dyDescent="0.25">
      <c r="H2263" t="s">
        <v>4515</v>
      </c>
    </row>
    <row r="2264" spans="1:30" x14ac:dyDescent="0.25">
      <c r="A2264">
        <v>1129</v>
      </c>
      <c r="B2264">
        <v>417</v>
      </c>
      <c r="C2264" t="s">
        <v>4516</v>
      </c>
      <c r="D2264" t="s">
        <v>76</v>
      </c>
      <c r="E2264" t="s">
        <v>1723</v>
      </c>
      <c r="F2264" t="s">
        <v>4517</v>
      </c>
      <c r="G2264" t="str">
        <f>"00025019"</f>
        <v>00025019</v>
      </c>
      <c r="H2264" t="s">
        <v>1791</v>
      </c>
      <c r="I2264">
        <v>0</v>
      </c>
      <c r="J2264">
        <v>0</v>
      </c>
      <c r="K2264">
        <v>0</v>
      </c>
      <c r="L2264">
        <v>0</v>
      </c>
      <c r="M2264">
        <v>0</v>
      </c>
      <c r="N2264">
        <v>30</v>
      </c>
      <c r="O2264">
        <v>0</v>
      </c>
      <c r="P2264">
        <v>0</v>
      </c>
      <c r="Q2264">
        <v>0</v>
      </c>
      <c r="R2264">
        <v>0</v>
      </c>
      <c r="S2264">
        <v>0</v>
      </c>
      <c r="T2264">
        <v>0</v>
      </c>
      <c r="U2264">
        <v>0</v>
      </c>
      <c r="V2264">
        <v>0</v>
      </c>
      <c r="W2264">
        <v>0</v>
      </c>
      <c r="X2264">
        <v>0</v>
      </c>
      <c r="Z2264">
        <v>1</v>
      </c>
      <c r="AA2264">
        <v>0</v>
      </c>
      <c r="AB2264">
        <v>8</v>
      </c>
      <c r="AC2264">
        <v>136</v>
      </c>
      <c r="AD2264" t="s">
        <v>4518</v>
      </c>
    </row>
    <row r="2265" spans="1:30" x14ac:dyDescent="0.25">
      <c r="H2265" t="s">
        <v>4519</v>
      </c>
    </row>
    <row r="2266" spans="1:30" x14ac:dyDescent="0.25">
      <c r="A2266">
        <v>1130</v>
      </c>
      <c r="B2266">
        <v>5634</v>
      </c>
      <c r="C2266" t="s">
        <v>4520</v>
      </c>
      <c r="D2266" t="s">
        <v>83</v>
      </c>
      <c r="E2266" t="s">
        <v>120</v>
      </c>
      <c r="F2266" t="s">
        <v>4521</v>
      </c>
      <c r="G2266" t="str">
        <f>"201406010234"</f>
        <v>201406010234</v>
      </c>
      <c r="H2266" t="s">
        <v>1796</v>
      </c>
      <c r="I2266">
        <v>0</v>
      </c>
      <c r="J2266">
        <v>0</v>
      </c>
      <c r="K2266">
        <v>0</v>
      </c>
      <c r="L2266">
        <v>0</v>
      </c>
      <c r="M2266">
        <v>0</v>
      </c>
      <c r="N2266">
        <v>30</v>
      </c>
      <c r="O2266">
        <v>0</v>
      </c>
      <c r="P2266">
        <v>0</v>
      </c>
      <c r="Q2266">
        <v>0</v>
      </c>
      <c r="R2266">
        <v>0</v>
      </c>
      <c r="S2266">
        <v>0</v>
      </c>
      <c r="T2266">
        <v>0</v>
      </c>
      <c r="U2266">
        <v>0</v>
      </c>
      <c r="V2266">
        <v>27</v>
      </c>
      <c r="W2266">
        <v>189</v>
      </c>
      <c r="X2266">
        <v>0</v>
      </c>
      <c r="Z2266">
        <v>1</v>
      </c>
      <c r="AA2266">
        <v>0</v>
      </c>
      <c r="AB2266">
        <v>0</v>
      </c>
      <c r="AC2266">
        <v>0</v>
      </c>
      <c r="AD2266" t="s">
        <v>4522</v>
      </c>
    </row>
    <row r="2267" spans="1:30" x14ac:dyDescent="0.25">
      <c r="H2267" t="s">
        <v>4523</v>
      </c>
    </row>
    <row r="2268" spans="1:30" x14ac:dyDescent="0.25">
      <c r="A2268">
        <v>1131</v>
      </c>
      <c r="B2268">
        <v>4342</v>
      </c>
      <c r="C2268" t="s">
        <v>4524</v>
      </c>
      <c r="D2268" t="s">
        <v>102</v>
      </c>
      <c r="E2268" t="s">
        <v>254</v>
      </c>
      <c r="F2268" t="s">
        <v>4525</v>
      </c>
      <c r="G2268" t="str">
        <f>"00368281"</f>
        <v>00368281</v>
      </c>
      <c r="H2268">
        <v>682</v>
      </c>
      <c r="I2268">
        <v>0</v>
      </c>
      <c r="J2268">
        <v>0</v>
      </c>
      <c r="K2268">
        <v>0</v>
      </c>
      <c r="L2268">
        <v>0</v>
      </c>
      <c r="M2268">
        <v>0</v>
      </c>
      <c r="N2268">
        <v>0</v>
      </c>
      <c r="O2268">
        <v>0</v>
      </c>
      <c r="P2268">
        <v>0</v>
      </c>
      <c r="Q2268">
        <v>0</v>
      </c>
      <c r="R2268">
        <v>0</v>
      </c>
      <c r="S2268">
        <v>0</v>
      </c>
      <c r="T2268">
        <v>0</v>
      </c>
      <c r="U2268">
        <v>0</v>
      </c>
      <c r="V2268">
        <v>32</v>
      </c>
      <c r="W2268">
        <v>224</v>
      </c>
      <c r="X2268">
        <v>0</v>
      </c>
      <c r="Z2268">
        <v>0</v>
      </c>
      <c r="AA2268">
        <v>0</v>
      </c>
      <c r="AB2268">
        <v>0</v>
      </c>
      <c r="AC2268">
        <v>0</v>
      </c>
      <c r="AD2268">
        <v>906</v>
      </c>
    </row>
    <row r="2269" spans="1:30" x14ac:dyDescent="0.25">
      <c r="H2269" t="s">
        <v>4526</v>
      </c>
    </row>
    <row r="2270" spans="1:30" x14ac:dyDescent="0.25">
      <c r="A2270">
        <v>1132</v>
      </c>
      <c r="B2270">
        <v>6183</v>
      </c>
      <c r="C2270" t="s">
        <v>308</v>
      </c>
      <c r="D2270" t="s">
        <v>4527</v>
      </c>
      <c r="E2270" t="s">
        <v>254</v>
      </c>
      <c r="F2270" t="s">
        <v>4528</v>
      </c>
      <c r="G2270" t="str">
        <f>"201406002893"</f>
        <v>201406002893</v>
      </c>
      <c r="H2270" t="s">
        <v>781</v>
      </c>
      <c r="I2270">
        <v>0</v>
      </c>
      <c r="J2270">
        <v>0</v>
      </c>
      <c r="K2270">
        <v>0</v>
      </c>
      <c r="L2270">
        <v>0</v>
      </c>
      <c r="M2270">
        <v>0</v>
      </c>
      <c r="N2270">
        <v>70</v>
      </c>
      <c r="O2270">
        <v>0</v>
      </c>
      <c r="P2270">
        <v>0</v>
      </c>
      <c r="Q2270">
        <v>0</v>
      </c>
      <c r="R2270">
        <v>0</v>
      </c>
      <c r="S2270">
        <v>0</v>
      </c>
      <c r="T2270">
        <v>0</v>
      </c>
      <c r="U2270">
        <v>0</v>
      </c>
      <c r="V2270">
        <v>8</v>
      </c>
      <c r="W2270">
        <v>56</v>
      </c>
      <c r="X2270">
        <v>0</v>
      </c>
      <c r="Z2270">
        <v>3</v>
      </c>
      <c r="AA2270">
        <v>0</v>
      </c>
      <c r="AB2270">
        <v>0</v>
      </c>
      <c r="AC2270">
        <v>0</v>
      </c>
      <c r="AD2270" t="s">
        <v>4529</v>
      </c>
    </row>
    <row r="2271" spans="1:30" x14ac:dyDescent="0.25">
      <c r="H2271" t="s">
        <v>4530</v>
      </c>
    </row>
    <row r="2272" spans="1:30" x14ac:dyDescent="0.25">
      <c r="A2272">
        <v>1133</v>
      </c>
      <c r="B2272">
        <v>2950</v>
      </c>
      <c r="C2272" t="s">
        <v>337</v>
      </c>
      <c r="D2272" t="s">
        <v>571</v>
      </c>
      <c r="E2272" t="s">
        <v>102</v>
      </c>
      <c r="F2272" t="s">
        <v>4531</v>
      </c>
      <c r="G2272" t="str">
        <f>"00205500"</f>
        <v>00205500</v>
      </c>
      <c r="H2272" t="s">
        <v>4532</v>
      </c>
      <c r="I2272">
        <v>0</v>
      </c>
      <c r="J2272">
        <v>0</v>
      </c>
      <c r="K2272">
        <v>0</v>
      </c>
      <c r="L2272">
        <v>0</v>
      </c>
      <c r="M2272">
        <v>0</v>
      </c>
      <c r="N2272">
        <v>70</v>
      </c>
      <c r="O2272">
        <v>0</v>
      </c>
      <c r="P2272">
        <v>0</v>
      </c>
      <c r="Q2272">
        <v>0</v>
      </c>
      <c r="R2272">
        <v>0</v>
      </c>
      <c r="S2272">
        <v>0</v>
      </c>
      <c r="T2272">
        <v>0</v>
      </c>
      <c r="U2272">
        <v>0</v>
      </c>
      <c r="V2272">
        <v>0</v>
      </c>
      <c r="W2272">
        <v>0</v>
      </c>
      <c r="X2272">
        <v>0</v>
      </c>
      <c r="Z2272">
        <v>0</v>
      </c>
      <c r="AA2272">
        <v>0</v>
      </c>
      <c r="AB2272">
        <v>0</v>
      </c>
      <c r="AC2272">
        <v>0</v>
      </c>
      <c r="AD2272" t="s">
        <v>4533</v>
      </c>
    </row>
    <row r="2273" spans="1:30" x14ac:dyDescent="0.25">
      <c r="H2273" t="s">
        <v>4534</v>
      </c>
    </row>
    <row r="2274" spans="1:30" x14ac:dyDescent="0.25">
      <c r="A2274">
        <v>1134</v>
      </c>
      <c r="B2274">
        <v>292</v>
      </c>
      <c r="C2274" t="s">
        <v>4535</v>
      </c>
      <c r="D2274" t="s">
        <v>107</v>
      </c>
      <c r="E2274" t="s">
        <v>665</v>
      </c>
      <c r="F2274" t="s">
        <v>4536</v>
      </c>
      <c r="G2274" t="str">
        <f>"201406016170"</f>
        <v>201406016170</v>
      </c>
      <c r="H2274" t="s">
        <v>1080</v>
      </c>
      <c r="I2274">
        <v>0</v>
      </c>
      <c r="J2274">
        <v>0</v>
      </c>
      <c r="K2274">
        <v>0</v>
      </c>
      <c r="L2274">
        <v>0</v>
      </c>
      <c r="M2274">
        <v>0</v>
      </c>
      <c r="N2274">
        <v>30</v>
      </c>
      <c r="O2274">
        <v>0</v>
      </c>
      <c r="P2274">
        <v>0</v>
      </c>
      <c r="Q2274">
        <v>0</v>
      </c>
      <c r="R2274">
        <v>0</v>
      </c>
      <c r="S2274">
        <v>0</v>
      </c>
      <c r="T2274">
        <v>0</v>
      </c>
      <c r="U2274">
        <v>0</v>
      </c>
      <c r="V2274">
        <v>28</v>
      </c>
      <c r="W2274">
        <v>196</v>
      </c>
      <c r="X2274">
        <v>0</v>
      </c>
      <c r="Z2274">
        <v>0</v>
      </c>
      <c r="AA2274">
        <v>0</v>
      </c>
      <c r="AB2274">
        <v>0</v>
      </c>
      <c r="AC2274">
        <v>0</v>
      </c>
      <c r="AD2274" t="s">
        <v>4537</v>
      </c>
    </row>
    <row r="2275" spans="1:30" x14ac:dyDescent="0.25">
      <c r="H2275" t="s">
        <v>4538</v>
      </c>
    </row>
    <row r="2276" spans="1:30" x14ac:dyDescent="0.25">
      <c r="A2276">
        <v>1135</v>
      </c>
      <c r="B2276">
        <v>366</v>
      </c>
      <c r="C2276" t="s">
        <v>4539</v>
      </c>
      <c r="D2276" t="s">
        <v>180</v>
      </c>
      <c r="E2276" t="s">
        <v>28</v>
      </c>
      <c r="F2276" t="s">
        <v>4540</v>
      </c>
      <c r="G2276" t="str">
        <f>"00299365"</f>
        <v>00299365</v>
      </c>
      <c r="H2276">
        <v>693</v>
      </c>
      <c r="I2276">
        <v>0</v>
      </c>
      <c r="J2276">
        <v>0</v>
      </c>
      <c r="K2276">
        <v>0</v>
      </c>
      <c r="L2276">
        <v>0</v>
      </c>
      <c r="M2276">
        <v>0</v>
      </c>
      <c r="N2276">
        <v>0</v>
      </c>
      <c r="O2276">
        <v>0</v>
      </c>
      <c r="P2276">
        <v>0</v>
      </c>
      <c r="Q2276">
        <v>0</v>
      </c>
      <c r="R2276">
        <v>0</v>
      </c>
      <c r="S2276">
        <v>0</v>
      </c>
      <c r="T2276">
        <v>0</v>
      </c>
      <c r="U2276">
        <v>0</v>
      </c>
      <c r="V2276">
        <v>30</v>
      </c>
      <c r="W2276">
        <v>210</v>
      </c>
      <c r="X2276">
        <v>0</v>
      </c>
      <c r="Z2276">
        <v>0</v>
      </c>
      <c r="AA2276">
        <v>0</v>
      </c>
      <c r="AB2276">
        <v>0</v>
      </c>
      <c r="AC2276">
        <v>0</v>
      </c>
      <c r="AD2276">
        <v>903</v>
      </c>
    </row>
    <row r="2277" spans="1:30" x14ac:dyDescent="0.25">
      <c r="H2277" t="s">
        <v>4541</v>
      </c>
    </row>
    <row r="2278" spans="1:30" x14ac:dyDescent="0.25">
      <c r="A2278">
        <v>1136</v>
      </c>
      <c r="B2278">
        <v>5621</v>
      </c>
      <c r="C2278" t="s">
        <v>489</v>
      </c>
      <c r="D2278" t="s">
        <v>218</v>
      </c>
      <c r="E2278" t="s">
        <v>4542</v>
      </c>
      <c r="F2278" t="s">
        <v>4543</v>
      </c>
      <c r="G2278" t="str">
        <f>"00335601"</f>
        <v>00335601</v>
      </c>
      <c r="H2278" t="s">
        <v>2719</v>
      </c>
      <c r="I2278">
        <v>0</v>
      </c>
      <c r="J2278">
        <v>0</v>
      </c>
      <c r="K2278">
        <v>0</v>
      </c>
      <c r="L2278">
        <v>0</v>
      </c>
      <c r="M2278">
        <v>0</v>
      </c>
      <c r="N2278">
        <v>70</v>
      </c>
      <c r="O2278">
        <v>0</v>
      </c>
      <c r="P2278">
        <v>30</v>
      </c>
      <c r="Q2278">
        <v>0</v>
      </c>
      <c r="R2278">
        <v>0</v>
      </c>
      <c r="S2278">
        <v>0</v>
      </c>
      <c r="T2278">
        <v>0</v>
      </c>
      <c r="U2278">
        <v>0</v>
      </c>
      <c r="V2278">
        <v>0</v>
      </c>
      <c r="W2278">
        <v>0</v>
      </c>
      <c r="X2278">
        <v>0</v>
      </c>
      <c r="Z2278">
        <v>0</v>
      </c>
      <c r="AA2278">
        <v>0</v>
      </c>
      <c r="AB2278">
        <v>0</v>
      </c>
      <c r="AC2278">
        <v>0</v>
      </c>
      <c r="AD2278" t="s">
        <v>4544</v>
      </c>
    </row>
    <row r="2279" spans="1:30" x14ac:dyDescent="0.25">
      <c r="H2279" t="s">
        <v>4545</v>
      </c>
    </row>
    <row r="2280" spans="1:30" x14ac:dyDescent="0.25">
      <c r="A2280">
        <v>1137</v>
      </c>
      <c r="B2280">
        <v>5898</v>
      </c>
      <c r="C2280" t="s">
        <v>4546</v>
      </c>
      <c r="D2280" t="s">
        <v>218</v>
      </c>
      <c r="E2280" t="s">
        <v>32</v>
      </c>
      <c r="F2280" t="s">
        <v>4547</v>
      </c>
      <c r="G2280" t="str">
        <f>"00257507"</f>
        <v>00257507</v>
      </c>
      <c r="H2280" t="s">
        <v>895</v>
      </c>
      <c r="I2280">
        <v>0</v>
      </c>
      <c r="J2280">
        <v>0</v>
      </c>
      <c r="K2280">
        <v>0</v>
      </c>
      <c r="L2280">
        <v>0</v>
      </c>
      <c r="M2280">
        <v>0</v>
      </c>
      <c r="N2280">
        <v>0</v>
      </c>
      <c r="O2280">
        <v>0</v>
      </c>
      <c r="P2280">
        <v>0</v>
      </c>
      <c r="Q2280">
        <v>0</v>
      </c>
      <c r="R2280">
        <v>0</v>
      </c>
      <c r="S2280">
        <v>0</v>
      </c>
      <c r="T2280">
        <v>0</v>
      </c>
      <c r="U2280">
        <v>0</v>
      </c>
      <c r="V2280">
        <v>18</v>
      </c>
      <c r="W2280">
        <v>126</v>
      </c>
      <c r="X2280">
        <v>0</v>
      </c>
      <c r="Z2280">
        <v>0</v>
      </c>
      <c r="AA2280">
        <v>0</v>
      </c>
      <c r="AB2280">
        <v>0</v>
      </c>
      <c r="AC2280">
        <v>0</v>
      </c>
      <c r="AD2280" t="s">
        <v>4548</v>
      </c>
    </row>
    <row r="2281" spans="1:30" x14ac:dyDescent="0.25">
      <c r="H2281" t="s">
        <v>4549</v>
      </c>
    </row>
    <row r="2282" spans="1:30" x14ac:dyDescent="0.25">
      <c r="A2282">
        <v>1138</v>
      </c>
      <c r="B2282">
        <v>771</v>
      </c>
      <c r="C2282" t="s">
        <v>4550</v>
      </c>
      <c r="D2282" t="s">
        <v>598</v>
      </c>
      <c r="E2282" t="s">
        <v>167</v>
      </c>
      <c r="F2282" t="s">
        <v>4551</v>
      </c>
      <c r="G2282" t="str">
        <f>"201412000231"</f>
        <v>201412000231</v>
      </c>
      <c r="H2282" t="s">
        <v>260</v>
      </c>
      <c r="I2282">
        <v>0</v>
      </c>
      <c r="J2282">
        <v>0</v>
      </c>
      <c r="K2282">
        <v>0</v>
      </c>
      <c r="L2282">
        <v>0</v>
      </c>
      <c r="M2282">
        <v>0</v>
      </c>
      <c r="N2282">
        <v>50</v>
      </c>
      <c r="O2282">
        <v>0</v>
      </c>
      <c r="P2282">
        <v>0</v>
      </c>
      <c r="Q2282">
        <v>0</v>
      </c>
      <c r="R2282">
        <v>0</v>
      </c>
      <c r="S2282">
        <v>0</v>
      </c>
      <c r="T2282">
        <v>0</v>
      </c>
      <c r="U2282">
        <v>0</v>
      </c>
      <c r="V2282">
        <v>0</v>
      </c>
      <c r="W2282">
        <v>0</v>
      </c>
      <c r="X2282">
        <v>0</v>
      </c>
      <c r="Z2282">
        <v>0</v>
      </c>
      <c r="AA2282">
        <v>0</v>
      </c>
      <c r="AB2282">
        <v>0</v>
      </c>
      <c r="AC2282">
        <v>0</v>
      </c>
      <c r="AD2282" t="s">
        <v>4552</v>
      </c>
    </row>
    <row r="2283" spans="1:30" x14ac:dyDescent="0.25">
      <c r="H2283" t="s">
        <v>4553</v>
      </c>
    </row>
    <row r="2284" spans="1:30" x14ac:dyDescent="0.25">
      <c r="A2284">
        <v>1139</v>
      </c>
      <c r="B2284">
        <v>1030</v>
      </c>
      <c r="C2284" t="s">
        <v>4554</v>
      </c>
      <c r="D2284" t="s">
        <v>27</v>
      </c>
      <c r="E2284" t="s">
        <v>4555</v>
      </c>
      <c r="F2284" t="s">
        <v>4556</v>
      </c>
      <c r="G2284" t="str">
        <f>"201412003121"</f>
        <v>201412003121</v>
      </c>
      <c r="H2284" t="s">
        <v>872</v>
      </c>
      <c r="I2284">
        <v>0</v>
      </c>
      <c r="J2284">
        <v>0</v>
      </c>
      <c r="K2284">
        <v>0</v>
      </c>
      <c r="L2284">
        <v>0</v>
      </c>
      <c r="M2284">
        <v>0</v>
      </c>
      <c r="N2284">
        <v>30</v>
      </c>
      <c r="O2284">
        <v>0</v>
      </c>
      <c r="P2284">
        <v>0</v>
      </c>
      <c r="Q2284">
        <v>0</v>
      </c>
      <c r="R2284">
        <v>0</v>
      </c>
      <c r="S2284">
        <v>0</v>
      </c>
      <c r="T2284">
        <v>0</v>
      </c>
      <c r="U2284">
        <v>0</v>
      </c>
      <c r="V2284">
        <v>24</v>
      </c>
      <c r="W2284">
        <v>168</v>
      </c>
      <c r="X2284">
        <v>0</v>
      </c>
      <c r="Z2284">
        <v>1</v>
      </c>
      <c r="AA2284">
        <v>0</v>
      </c>
      <c r="AB2284">
        <v>0</v>
      </c>
      <c r="AC2284">
        <v>0</v>
      </c>
      <c r="AD2284" t="s">
        <v>3231</v>
      </c>
    </row>
    <row r="2285" spans="1:30" x14ac:dyDescent="0.25">
      <c r="H2285" t="s">
        <v>4557</v>
      </c>
    </row>
    <row r="2286" spans="1:30" x14ac:dyDescent="0.25">
      <c r="A2286">
        <v>1140</v>
      </c>
      <c r="B2286">
        <v>2079</v>
      </c>
      <c r="C2286" t="s">
        <v>4558</v>
      </c>
      <c r="D2286" t="s">
        <v>32</v>
      </c>
      <c r="E2286" t="s">
        <v>107</v>
      </c>
      <c r="F2286" t="s">
        <v>4559</v>
      </c>
      <c r="G2286" t="str">
        <f>"201512002246"</f>
        <v>201512002246</v>
      </c>
      <c r="H2286" t="s">
        <v>855</v>
      </c>
      <c r="I2286">
        <v>0</v>
      </c>
      <c r="J2286">
        <v>0</v>
      </c>
      <c r="K2286">
        <v>0</v>
      </c>
      <c r="L2286">
        <v>0</v>
      </c>
      <c r="M2286">
        <v>0</v>
      </c>
      <c r="N2286">
        <v>50</v>
      </c>
      <c r="O2286">
        <v>0</v>
      </c>
      <c r="P2286">
        <v>0</v>
      </c>
      <c r="Q2286">
        <v>0</v>
      </c>
      <c r="R2286">
        <v>0</v>
      </c>
      <c r="S2286">
        <v>0</v>
      </c>
      <c r="T2286">
        <v>0</v>
      </c>
      <c r="U2286">
        <v>0</v>
      </c>
      <c r="V2286">
        <v>22</v>
      </c>
      <c r="W2286">
        <v>154</v>
      </c>
      <c r="X2286">
        <v>0</v>
      </c>
      <c r="Z2286">
        <v>0</v>
      </c>
      <c r="AA2286">
        <v>0</v>
      </c>
      <c r="AB2286">
        <v>0</v>
      </c>
      <c r="AC2286">
        <v>0</v>
      </c>
      <c r="AD2286" t="s">
        <v>4560</v>
      </c>
    </row>
    <row r="2287" spans="1:30" x14ac:dyDescent="0.25">
      <c r="H2287" t="s">
        <v>4561</v>
      </c>
    </row>
    <row r="2288" spans="1:30" x14ac:dyDescent="0.25">
      <c r="A2288">
        <v>1141</v>
      </c>
      <c r="B2288">
        <v>5146</v>
      </c>
      <c r="C2288" t="s">
        <v>4562</v>
      </c>
      <c r="D2288" t="s">
        <v>191</v>
      </c>
      <c r="E2288" t="s">
        <v>76</v>
      </c>
      <c r="F2288" t="s">
        <v>4563</v>
      </c>
      <c r="G2288" t="str">
        <f>"201511042848"</f>
        <v>201511042848</v>
      </c>
      <c r="H2288" t="s">
        <v>4532</v>
      </c>
      <c r="I2288">
        <v>0</v>
      </c>
      <c r="J2288">
        <v>0</v>
      </c>
      <c r="K2288">
        <v>0</v>
      </c>
      <c r="L2288">
        <v>0</v>
      </c>
      <c r="M2288">
        <v>0</v>
      </c>
      <c r="N2288">
        <v>30</v>
      </c>
      <c r="O2288">
        <v>0</v>
      </c>
      <c r="P2288">
        <v>0</v>
      </c>
      <c r="Q2288">
        <v>0</v>
      </c>
      <c r="R2288">
        <v>0</v>
      </c>
      <c r="S2288">
        <v>0</v>
      </c>
      <c r="T2288">
        <v>0</v>
      </c>
      <c r="U2288">
        <v>0</v>
      </c>
      <c r="V2288">
        <v>5</v>
      </c>
      <c r="W2288">
        <v>35</v>
      </c>
      <c r="X2288">
        <v>0</v>
      </c>
      <c r="Z2288">
        <v>0</v>
      </c>
      <c r="AA2288">
        <v>0</v>
      </c>
      <c r="AB2288">
        <v>0</v>
      </c>
      <c r="AC2288">
        <v>0</v>
      </c>
      <c r="AD2288" t="s">
        <v>4564</v>
      </c>
    </row>
    <row r="2289" spans="1:30" x14ac:dyDescent="0.25">
      <c r="H2289" t="s">
        <v>4565</v>
      </c>
    </row>
    <row r="2290" spans="1:30" x14ac:dyDescent="0.25">
      <c r="A2290">
        <v>1142</v>
      </c>
      <c r="B2290">
        <v>4167</v>
      </c>
      <c r="C2290" t="s">
        <v>4566</v>
      </c>
      <c r="D2290" t="s">
        <v>425</v>
      </c>
      <c r="E2290" t="s">
        <v>1692</v>
      </c>
      <c r="F2290" t="s">
        <v>4567</v>
      </c>
      <c r="G2290" t="str">
        <f>"00360685"</f>
        <v>00360685</v>
      </c>
      <c r="H2290" t="s">
        <v>1368</v>
      </c>
      <c r="I2290">
        <v>0</v>
      </c>
      <c r="J2290">
        <v>0</v>
      </c>
      <c r="K2290">
        <v>0</v>
      </c>
      <c r="L2290">
        <v>0</v>
      </c>
      <c r="M2290">
        <v>0</v>
      </c>
      <c r="N2290">
        <v>30</v>
      </c>
      <c r="O2290">
        <v>0</v>
      </c>
      <c r="P2290">
        <v>0</v>
      </c>
      <c r="Q2290">
        <v>0</v>
      </c>
      <c r="R2290">
        <v>0</v>
      </c>
      <c r="S2290">
        <v>0</v>
      </c>
      <c r="T2290">
        <v>0</v>
      </c>
      <c r="U2290">
        <v>0</v>
      </c>
      <c r="V2290">
        <v>24</v>
      </c>
      <c r="W2290">
        <v>168</v>
      </c>
      <c r="X2290">
        <v>0</v>
      </c>
      <c r="Z2290">
        <v>0</v>
      </c>
      <c r="AA2290">
        <v>0</v>
      </c>
      <c r="AB2290">
        <v>0</v>
      </c>
      <c r="AC2290">
        <v>0</v>
      </c>
      <c r="AD2290" t="s">
        <v>4568</v>
      </c>
    </row>
    <row r="2291" spans="1:30" x14ac:dyDescent="0.25">
      <c r="H2291" t="s">
        <v>4569</v>
      </c>
    </row>
    <row r="2292" spans="1:30" x14ac:dyDescent="0.25">
      <c r="A2292">
        <v>1143</v>
      </c>
      <c r="B2292">
        <v>1048</v>
      </c>
      <c r="C2292" t="s">
        <v>4570</v>
      </c>
      <c r="D2292" t="s">
        <v>49</v>
      </c>
      <c r="E2292" t="s">
        <v>445</v>
      </c>
      <c r="F2292" t="s">
        <v>4571</v>
      </c>
      <c r="G2292" t="str">
        <f>"201412002181"</f>
        <v>201412002181</v>
      </c>
      <c r="H2292" t="s">
        <v>2924</v>
      </c>
      <c r="I2292">
        <v>0</v>
      </c>
      <c r="J2292">
        <v>0</v>
      </c>
      <c r="K2292">
        <v>0</v>
      </c>
      <c r="L2292">
        <v>0</v>
      </c>
      <c r="M2292">
        <v>0</v>
      </c>
      <c r="N2292">
        <v>30</v>
      </c>
      <c r="O2292">
        <v>0</v>
      </c>
      <c r="P2292">
        <v>0</v>
      </c>
      <c r="Q2292">
        <v>0</v>
      </c>
      <c r="R2292">
        <v>0</v>
      </c>
      <c r="S2292">
        <v>0</v>
      </c>
      <c r="T2292">
        <v>0</v>
      </c>
      <c r="U2292">
        <v>0</v>
      </c>
      <c r="V2292">
        <v>0</v>
      </c>
      <c r="W2292">
        <v>0</v>
      </c>
      <c r="X2292">
        <v>0</v>
      </c>
      <c r="Z2292">
        <v>2</v>
      </c>
      <c r="AA2292">
        <v>0</v>
      </c>
      <c r="AB2292">
        <v>14</v>
      </c>
      <c r="AC2292">
        <v>238</v>
      </c>
      <c r="AD2292" t="s">
        <v>4572</v>
      </c>
    </row>
    <row r="2293" spans="1:30" x14ac:dyDescent="0.25">
      <c r="H2293" t="s">
        <v>4573</v>
      </c>
    </row>
    <row r="2294" spans="1:30" x14ac:dyDescent="0.25">
      <c r="A2294">
        <v>1144</v>
      </c>
      <c r="B2294">
        <v>4842</v>
      </c>
      <c r="C2294" t="s">
        <v>4574</v>
      </c>
      <c r="D2294" t="s">
        <v>120</v>
      </c>
      <c r="E2294" t="s">
        <v>102</v>
      </c>
      <c r="F2294" t="s">
        <v>4575</v>
      </c>
      <c r="G2294" t="str">
        <f>"201510000083"</f>
        <v>201510000083</v>
      </c>
      <c r="H2294" t="s">
        <v>1119</v>
      </c>
      <c r="I2294">
        <v>0</v>
      </c>
      <c r="J2294">
        <v>0</v>
      </c>
      <c r="K2294">
        <v>0</v>
      </c>
      <c r="L2294">
        <v>0</v>
      </c>
      <c r="M2294">
        <v>0</v>
      </c>
      <c r="N2294">
        <v>30</v>
      </c>
      <c r="O2294">
        <v>0</v>
      </c>
      <c r="P2294">
        <v>0</v>
      </c>
      <c r="Q2294">
        <v>0</v>
      </c>
      <c r="R2294">
        <v>0</v>
      </c>
      <c r="S2294">
        <v>0</v>
      </c>
      <c r="T2294">
        <v>0</v>
      </c>
      <c r="U2294">
        <v>0</v>
      </c>
      <c r="V2294">
        <v>16</v>
      </c>
      <c r="W2294">
        <v>112</v>
      </c>
      <c r="X2294">
        <v>0</v>
      </c>
      <c r="Z2294">
        <v>0</v>
      </c>
      <c r="AA2294">
        <v>0</v>
      </c>
      <c r="AB2294">
        <v>8</v>
      </c>
      <c r="AC2294">
        <v>136</v>
      </c>
      <c r="AD2294" t="s">
        <v>4576</v>
      </c>
    </row>
    <row r="2295" spans="1:30" x14ac:dyDescent="0.25">
      <c r="H2295" t="s">
        <v>4577</v>
      </c>
    </row>
    <row r="2296" spans="1:30" x14ac:dyDescent="0.25">
      <c r="A2296">
        <v>1145</v>
      </c>
      <c r="B2296">
        <v>3297</v>
      </c>
      <c r="C2296" t="s">
        <v>4578</v>
      </c>
      <c r="D2296" t="s">
        <v>4579</v>
      </c>
      <c r="E2296" t="s">
        <v>28</v>
      </c>
      <c r="F2296" t="s">
        <v>4580</v>
      </c>
      <c r="G2296" t="str">
        <f>"00360241"</f>
        <v>00360241</v>
      </c>
      <c r="H2296" t="s">
        <v>620</v>
      </c>
      <c r="I2296">
        <v>0</v>
      </c>
      <c r="J2296">
        <v>0</v>
      </c>
      <c r="K2296">
        <v>0</v>
      </c>
      <c r="L2296">
        <v>0</v>
      </c>
      <c r="M2296">
        <v>0</v>
      </c>
      <c r="N2296">
        <v>70</v>
      </c>
      <c r="O2296">
        <v>0</v>
      </c>
      <c r="P2296">
        <v>0</v>
      </c>
      <c r="Q2296">
        <v>30</v>
      </c>
      <c r="R2296">
        <v>0</v>
      </c>
      <c r="S2296">
        <v>0</v>
      </c>
      <c r="T2296">
        <v>0</v>
      </c>
      <c r="U2296">
        <v>0</v>
      </c>
      <c r="V2296">
        <v>0</v>
      </c>
      <c r="W2296">
        <v>0</v>
      </c>
      <c r="X2296">
        <v>0</v>
      </c>
      <c r="Z2296">
        <v>0</v>
      </c>
      <c r="AA2296">
        <v>0</v>
      </c>
      <c r="AB2296">
        <v>0</v>
      </c>
      <c r="AC2296">
        <v>0</v>
      </c>
      <c r="AD2296" t="s">
        <v>4581</v>
      </c>
    </row>
    <row r="2297" spans="1:30" x14ac:dyDescent="0.25">
      <c r="H2297" t="s">
        <v>4582</v>
      </c>
    </row>
    <row r="2298" spans="1:30" x14ac:dyDescent="0.25">
      <c r="A2298">
        <v>1146</v>
      </c>
      <c r="B2298">
        <v>1015</v>
      </c>
      <c r="C2298" t="s">
        <v>4583</v>
      </c>
      <c r="D2298" t="s">
        <v>39</v>
      </c>
      <c r="E2298" t="s">
        <v>167</v>
      </c>
      <c r="F2298" t="s">
        <v>4584</v>
      </c>
      <c r="G2298" t="str">
        <f>"201604003548"</f>
        <v>201604003548</v>
      </c>
      <c r="H2298" t="s">
        <v>232</v>
      </c>
      <c r="I2298">
        <v>0</v>
      </c>
      <c r="J2298">
        <v>0</v>
      </c>
      <c r="K2298">
        <v>0</v>
      </c>
      <c r="L2298">
        <v>0</v>
      </c>
      <c r="M2298">
        <v>0</v>
      </c>
      <c r="N2298">
        <v>30</v>
      </c>
      <c r="O2298">
        <v>30</v>
      </c>
      <c r="P2298">
        <v>30</v>
      </c>
      <c r="Q2298">
        <v>30</v>
      </c>
      <c r="R2298">
        <v>0</v>
      </c>
      <c r="S2298">
        <v>0</v>
      </c>
      <c r="T2298">
        <v>0</v>
      </c>
      <c r="U2298">
        <v>0</v>
      </c>
      <c r="V2298">
        <v>0</v>
      </c>
      <c r="W2298">
        <v>0</v>
      </c>
      <c r="X2298">
        <v>0</v>
      </c>
      <c r="Z2298">
        <v>1</v>
      </c>
      <c r="AA2298">
        <v>0</v>
      </c>
      <c r="AB2298">
        <v>0</v>
      </c>
      <c r="AC2298">
        <v>0</v>
      </c>
      <c r="AD2298" t="s">
        <v>4585</v>
      </c>
    </row>
    <row r="2299" spans="1:30" x14ac:dyDescent="0.25">
      <c r="H2299" t="s">
        <v>4586</v>
      </c>
    </row>
    <row r="2300" spans="1:30" x14ac:dyDescent="0.25">
      <c r="A2300">
        <v>1147</v>
      </c>
      <c r="B2300">
        <v>6121</v>
      </c>
      <c r="C2300" t="s">
        <v>4587</v>
      </c>
      <c r="D2300" t="s">
        <v>2610</v>
      </c>
      <c r="E2300" t="s">
        <v>859</v>
      </c>
      <c r="F2300" t="s">
        <v>4588</v>
      </c>
      <c r="G2300" t="str">
        <f>"201507001510"</f>
        <v>201507001510</v>
      </c>
      <c r="H2300" t="s">
        <v>872</v>
      </c>
      <c r="I2300">
        <v>0</v>
      </c>
      <c r="J2300">
        <v>0</v>
      </c>
      <c r="K2300">
        <v>0</v>
      </c>
      <c r="L2300">
        <v>0</v>
      </c>
      <c r="M2300">
        <v>0</v>
      </c>
      <c r="N2300">
        <v>30</v>
      </c>
      <c r="O2300">
        <v>0</v>
      </c>
      <c r="P2300">
        <v>0</v>
      </c>
      <c r="Q2300">
        <v>0</v>
      </c>
      <c r="R2300">
        <v>0</v>
      </c>
      <c r="S2300">
        <v>0</v>
      </c>
      <c r="T2300">
        <v>0</v>
      </c>
      <c r="U2300">
        <v>0</v>
      </c>
      <c r="V2300">
        <v>23</v>
      </c>
      <c r="W2300">
        <v>161</v>
      </c>
      <c r="X2300">
        <v>0</v>
      </c>
      <c r="Z2300">
        <v>0</v>
      </c>
      <c r="AA2300">
        <v>0</v>
      </c>
      <c r="AB2300">
        <v>0</v>
      </c>
      <c r="AC2300">
        <v>0</v>
      </c>
      <c r="AD2300" t="s">
        <v>4589</v>
      </c>
    </row>
    <row r="2301" spans="1:30" x14ac:dyDescent="0.25">
      <c r="H2301" t="s">
        <v>4590</v>
      </c>
    </row>
    <row r="2302" spans="1:30" x14ac:dyDescent="0.25">
      <c r="A2302">
        <v>1148</v>
      </c>
      <c r="B2302">
        <v>3724</v>
      </c>
      <c r="C2302" t="s">
        <v>4591</v>
      </c>
      <c r="D2302" t="s">
        <v>4592</v>
      </c>
      <c r="E2302" t="s">
        <v>347</v>
      </c>
      <c r="F2302" t="s">
        <v>4593</v>
      </c>
      <c r="G2302" t="str">
        <f>"00344005"</f>
        <v>00344005</v>
      </c>
      <c r="H2302" t="s">
        <v>1884</v>
      </c>
      <c r="I2302">
        <v>0</v>
      </c>
      <c r="J2302">
        <v>0</v>
      </c>
      <c r="K2302">
        <v>0</v>
      </c>
      <c r="L2302">
        <v>0</v>
      </c>
      <c r="M2302">
        <v>0</v>
      </c>
      <c r="N2302">
        <v>30</v>
      </c>
      <c r="O2302">
        <v>0</v>
      </c>
      <c r="P2302">
        <v>0</v>
      </c>
      <c r="Q2302">
        <v>0</v>
      </c>
      <c r="R2302">
        <v>0</v>
      </c>
      <c r="S2302">
        <v>0</v>
      </c>
      <c r="T2302">
        <v>0</v>
      </c>
      <c r="U2302">
        <v>0</v>
      </c>
      <c r="V2302">
        <v>17</v>
      </c>
      <c r="W2302">
        <v>119</v>
      </c>
      <c r="X2302">
        <v>0</v>
      </c>
      <c r="Z2302">
        <v>0</v>
      </c>
      <c r="AA2302">
        <v>0</v>
      </c>
      <c r="AB2302">
        <v>0</v>
      </c>
      <c r="AC2302">
        <v>0</v>
      </c>
      <c r="AD2302" t="s">
        <v>4594</v>
      </c>
    </row>
    <row r="2303" spans="1:30" x14ac:dyDescent="0.25">
      <c r="H2303" t="s">
        <v>4595</v>
      </c>
    </row>
    <row r="2304" spans="1:30" x14ac:dyDescent="0.25">
      <c r="A2304">
        <v>1149</v>
      </c>
      <c r="B2304">
        <v>6160</v>
      </c>
      <c r="C2304" t="s">
        <v>4596</v>
      </c>
      <c r="D2304" t="s">
        <v>70</v>
      </c>
      <c r="E2304" t="s">
        <v>28</v>
      </c>
      <c r="F2304" t="s">
        <v>4597</v>
      </c>
      <c r="G2304" t="str">
        <f>"201406000778"</f>
        <v>201406000778</v>
      </c>
      <c r="H2304" t="s">
        <v>198</v>
      </c>
      <c r="I2304">
        <v>0</v>
      </c>
      <c r="J2304">
        <v>0</v>
      </c>
      <c r="K2304">
        <v>0</v>
      </c>
      <c r="L2304">
        <v>0</v>
      </c>
      <c r="M2304">
        <v>0</v>
      </c>
      <c r="N2304">
        <v>30</v>
      </c>
      <c r="O2304">
        <v>0</v>
      </c>
      <c r="P2304">
        <v>0</v>
      </c>
      <c r="Q2304">
        <v>0</v>
      </c>
      <c r="R2304">
        <v>0</v>
      </c>
      <c r="S2304">
        <v>0</v>
      </c>
      <c r="T2304">
        <v>0</v>
      </c>
      <c r="U2304">
        <v>0</v>
      </c>
      <c r="V2304">
        <v>19</v>
      </c>
      <c r="W2304">
        <v>133</v>
      </c>
      <c r="X2304">
        <v>0</v>
      </c>
      <c r="Z2304">
        <v>0</v>
      </c>
      <c r="AA2304">
        <v>0</v>
      </c>
      <c r="AB2304">
        <v>0</v>
      </c>
      <c r="AC2304">
        <v>0</v>
      </c>
      <c r="AD2304" t="s">
        <v>4598</v>
      </c>
    </row>
    <row r="2305" spans="1:30" x14ac:dyDescent="0.25">
      <c r="H2305" t="s">
        <v>4599</v>
      </c>
    </row>
    <row r="2306" spans="1:30" x14ac:dyDescent="0.25">
      <c r="A2306">
        <v>1150</v>
      </c>
      <c r="B2306">
        <v>2490</v>
      </c>
      <c r="C2306" t="s">
        <v>4600</v>
      </c>
      <c r="D2306" t="s">
        <v>615</v>
      </c>
      <c r="E2306" t="s">
        <v>120</v>
      </c>
      <c r="F2306" t="s">
        <v>4601</v>
      </c>
      <c r="G2306" t="str">
        <f>"00326989"</f>
        <v>00326989</v>
      </c>
      <c r="H2306" t="s">
        <v>2173</v>
      </c>
      <c r="I2306">
        <v>0</v>
      </c>
      <c r="J2306">
        <v>0</v>
      </c>
      <c r="K2306">
        <v>0</v>
      </c>
      <c r="L2306">
        <v>0</v>
      </c>
      <c r="M2306">
        <v>0</v>
      </c>
      <c r="N2306">
        <v>70</v>
      </c>
      <c r="O2306">
        <v>0</v>
      </c>
      <c r="P2306">
        <v>0</v>
      </c>
      <c r="Q2306">
        <v>0</v>
      </c>
      <c r="R2306">
        <v>0</v>
      </c>
      <c r="S2306">
        <v>0</v>
      </c>
      <c r="T2306">
        <v>0</v>
      </c>
      <c r="U2306">
        <v>0</v>
      </c>
      <c r="V2306">
        <v>0</v>
      </c>
      <c r="W2306">
        <v>0</v>
      </c>
      <c r="X2306">
        <v>0</v>
      </c>
      <c r="Z2306">
        <v>0</v>
      </c>
      <c r="AA2306">
        <v>0</v>
      </c>
      <c r="AB2306">
        <v>0</v>
      </c>
      <c r="AC2306">
        <v>0</v>
      </c>
      <c r="AD2306" t="s">
        <v>4602</v>
      </c>
    </row>
    <row r="2307" spans="1:30" x14ac:dyDescent="0.25">
      <c r="H2307" t="s">
        <v>4603</v>
      </c>
    </row>
    <row r="2308" spans="1:30" x14ac:dyDescent="0.25">
      <c r="A2308">
        <v>1151</v>
      </c>
      <c r="B2308">
        <v>1661</v>
      </c>
      <c r="C2308" t="s">
        <v>4604</v>
      </c>
      <c r="D2308" t="s">
        <v>2582</v>
      </c>
      <c r="E2308" t="s">
        <v>255</v>
      </c>
      <c r="F2308" t="s">
        <v>4605</v>
      </c>
      <c r="G2308" t="str">
        <f>"00308518"</f>
        <v>00308518</v>
      </c>
      <c r="H2308">
        <v>759</v>
      </c>
      <c r="I2308">
        <v>0</v>
      </c>
      <c r="J2308">
        <v>0</v>
      </c>
      <c r="K2308">
        <v>0</v>
      </c>
      <c r="L2308">
        <v>0</v>
      </c>
      <c r="M2308">
        <v>100</v>
      </c>
      <c r="N2308">
        <v>30</v>
      </c>
      <c r="O2308">
        <v>0</v>
      </c>
      <c r="P2308">
        <v>0</v>
      </c>
      <c r="Q2308">
        <v>0</v>
      </c>
      <c r="R2308">
        <v>0</v>
      </c>
      <c r="S2308">
        <v>0</v>
      </c>
      <c r="T2308">
        <v>0</v>
      </c>
      <c r="U2308">
        <v>0</v>
      </c>
      <c r="V2308">
        <v>0</v>
      </c>
      <c r="W2308">
        <v>0</v>
      </c>
      <c r="X2308">
        <v>0</v>
      </c>
      <c r="Z2308">
        <v>2</v>
      </c>
      <c r="AA2308">
        <v>0</v>
      </c>
      <c r="AB2308">
        <v>0</v>
      </c>
      <c r="AC2308">
        <v>0</v>
      </c>
      <c r="AD2308">
        <v>889</v>
      </c>
    </row>
    <row r="2309" spans="1:30" x14ac:dyDescent="0.25">
      <c r="H2309" t="s">
        <v>4606</v>
      </c>
    </row>
    <row r="2310" spans="1:30" x14ac:dyDescent="0.25">
      <c r="A2310">
        <v>1152</v>
      </c>
      <c r="B2310">
        <v>1398</v>
      </c>
      <c r="C2310" t="s">
        <v>4607</v>
      </c>
      <c r="D2310" t="s">
        <v>27</v>
      </c>
      <c r="E2310" t="s">
        <v>859</v>
      </c>
      <c r="F2310" t="s">
        <v>4608</v>
      </c>
      <c r="G2310" t="str">
        <f>"00305057"</f>
        <v>00305057</v>
      </c>
      <c r="H2310">
        <v>858</v>
      </c>
      <c r="I2310">
        <v>0</v>
      </c>
      <c r="J2310">
        <v>0</v>
      </c>
      <c r="K2310">
        <v>0</v>
      </c>
      <c r="L2310">
        <v>0</v>
      </c>
      <c r="M2310">
        <v>0</v>
      </c>
      <c r="N2310">
        <v>30</v>
      </c>
      <c r="O2310">
        <v>0</v>
      </c>
      <c r="P2310">
        <v>0</v>
      </c>
      <c r="Q2310">
        <v>0</v>
      </c>
      <c r="R2310">
        <v>0</v>
      </c>
      <c r="S2310">
        <v>0</v>
      </c>
      <c r="T2310">
        <v>0</v>
      </c>
      <c r="U2310">
        <v>0</v>
      </c>
      <c r="V2310">
        <v>0</v>
      </c>
      <c r="W2310">
        <v>0</v>
      </c>
      <c r="X2310">
        <v>0</v>
      </c>
      <c r="Z2310">
        <v>0</v>
      </c>
      <c r="AA2310">
        <v>0</v>
      </c>
      <c r="AB2310">
        <v>0</v>
      </c>
      <c r="AC2310">
        <v>0</v>
      </c>
      <c r="AD2310">
        <v>888</v>
      </c>
    </row>
    <row r="2311" spans="1:30" x14ac:dyDescent="0.25">
      <c r="H2311" t="s">
        <v>4609</v>
      </c>
    </row>
    <row r="2312" spans="1:30" x14ac:dyDescent="0.25">
      <c r="A2312">
        <v>1153</v>
      </c>
      <c r="B2312">
        <v>4663</v>
      </c>
      <c r="C2312" t="s">
        <v>4610</v>
      </c>
      <c r="D2312" t="s">
        <v>4611</v>
      </c>
      <c r="E2312" t="s">
        <v>167</v>
      </c>
      <c r="F2312" t="s">
        <v>4612</v>
      </c>
      <c r="G2312" t="str">
        <f>"00231043"</f>
        <v>00231043</v>
      </c>
      <c r="H2312" t="s">
        <v>1086</v>
      </c>
      <c r="I2312">
        <v>0</v>
      </c>
      <c r="J2312">
        <v>0</v>
      </c>
      <c r="K2312">
        <v>0</v>
      </c>
      <c r="L2312">
        <v>0</v>
      </c>
      <c r="M2312">
        <v>0</v>
      </c>
      <c r="N2312">
        <v>70</v>
      </c>
      <c r="O2312">
        <v>0</v>
      </c>
      <c r="P2312">
        <v>0</v>
      </c>
      <c r="Q2312">
        <v>0</v>
      </c>
      <c r="R2312">
        <v>0</v>
      </c>
      <c r="S2312">
        <v>0</v>
      </c>
      <c r="T2312">
        <v>0</v>
      </c>
      <c r="U2312">
        <v>0</v>
      </c>
      <c r="V2312">
        <v>6</v>
      </c>
      <c r="W2312">
        <v>42</v>
      </c>
      <c r="X2312">
        <v>0</v>
      </c>
      <c r="Z2312">
        <v>0</v>
      </c>
      <c r="AA2312">
        <v>0</v>
      </c>
      <c r="AB2312">
        <v>2</v>
      </c>
      <c r="AC2312">
        <v>34</v>
      </c>
      <c r="AD2312" t="s">
        <v>4613</v>
      </c>
    </row>
    <row r="2313" spans="1:30" x14ac:dyDescent="0.25">
      <c r="H2313" t="s">
        <v>4614</v>
      </c>
    </row>
    <row r="2314" spans="1:30" x14ac:dyDescent="0.25">
      <c r="A2314">
        <v>1154</v>
      </c>
      <c r="B2314">
        <v>5231</v>
      </c>
      <c r="C2314" t="s">
        <v>4615</v>
      </c>
      <c r="D2314" t="s">
        <v>107</v>
      </c>
      <c r="E2314" t="s">
        <v>176</v>
      </c>
      <c r="F2314" t="s">
        <v>4616</v>
      </c>
      <c r="G2314" t="str">
        <f>"201511029213"</f>
        <v>201511029213</v>
      </c>
      <c r="H2314" t="s">
        <v>2254</v>
      </c>
      <c r="I2314">
        <v>0</v>
      </c>
      <c r="J2314">
        <v>0</v>
      </c>
      <c r="K2314">
        <v>0</v>
      </c>
      <c r="L2314">
        <v>0</v>
      </c>
      <c r="M2314">
        <v>0</v>
      </c>
      <c r="N2314">
        <v>30</v>
      </c>
      <c r="O2314">
        <v>0</v>
      </c>
      <c r="P2314">
        <v>0</v>
      </c>
      <c r="Q2314">
        <v>0</v>
      </c>
      <c r="R2314">
        <v>0</v>
      </c>
      <c r="S2314">
        <v>0</v>
      </c>
      <c r="T2314">
        <v>0</v>
      </c>
      <c r="U2314">
        <v>0</v>
      </c>
      <c r="V2314">
        <v>14</v>
      </c>
      <c r="W2314">
        <v>98</v>
      </c>
      <c r="X2314">
        <v>0</v>
      </c>
      <c r="Z2314">
        <v>0</v>
      </c>
      <c r="AA2314">
        <v>0</v>
      </c>
      <c r="AB2314">
        <v>5</v>
      </c>
      <c r="AC2314">
        <v>85</v>
      </c>
      <c r="AD2314" t="s">
        <v>4617</v>
      </c>
    </row>
    <row r="2315" spans="1:30" x14ac:dyDescent="0.25">
      <c r="H2315" t="s">
        <v>2739</v>
      </c>
    </row>
    <row r="2316" spans="1:30" x14ac:dyDescent="0.25">
      <c r="A2316">
        <v>1155</v>
      </c>
      <c r="B2316">
        <v>1439</v>
      </c>
      <c r="C2316" t="s">
        <v>4618</v>
      </c>
      <c r="D2316" t="s">
        <v>4619</v>
      </c>
      <c r="E2316" t="s">
        <v>32</v>
      </c>
      <c r="F2316" t="s">
        <v>4620</v>
      </c>
      <c r="G2316" t="str">
        <f>"201405002221"</f>
        <v>201405002221</v>
      </c>
      <c r="H2316" t="s">
        <v>2719</v>
      </c>
      <c r="I2316">
        <v>0</v>
      </c>
      <c r="J2316">
        <v>0</v>
      </c>
      <c r="K2316">
        <v>0</v>
      </c>
      <c r="L2316">
        <v>0</v>
      </c>
      <c r="M2316">
        <v>0</v>
      </c>
      <c r="N2316">
        <v>70</v>
      </c>
      <c r="O2316">
        <v>0</v>
      </c>
      <c r="P2316">
        <v>0</v>
      </c>
      <c r="Q2316">
        <v>0</v>
      </c>
      <c r="R2316">
        <v>0</v>
      </c>
      <c r="S2316">
        <v>0</v>
      </c>
      <c r="T2316">
        <v>0</v>
      </c>
      <c r="U2316">
        <v>0</v>
      </c>
      <c r="V2316">
        <v>2</v>
      </c>
      <c r="W2316">
        <v>14</v>
      </c>
      <c r="X2316">
        <v>0</v>
      </c>
      <c r="Z2316">
        <v>0</v>
      </c>
      <c r="AA2316">
        <v>0</v>
      </c>
      <c r="AB2316">
        <v>0</v>
      </c>
      <c r="AC2316">
        <v>0</v>
      </c>
      <c r="AD2316" t="s">
        <v>4621</v>
      </c>
    </row>
    <row r="2317" spans="1:30" x14ac:dyDescent="0.25">
      <c r="H2317" t="s">
        <v>4622</v>
      </c>
    </row>
    <row r="2318" spans="1:30" x14ac:dyDescent="0.25">
      <c r="A2318">
        <v>1156</v>
      </c>
      <c r="B2318">
        <v>759</v>
      </c>
      <c r="C2318" t="s">
        <v>4623</v>
      </c>
      <c r="D2318" t="s">
        <v>225</v>
      </c>
      <c r="E2318" t="s">
        <v>309</v>
      </c>
      <c r="F2318" t="s">
        <v>4624</v>
      </c>
      <c r="G2318" t="str">
        <f>"00297387"</f>
        <v>00297387</v>
      </c>
      <c r="H2318" t="s">
        <v>2497</v>
      </c>
      <c r="I2318">
        <v>0</v>
      </c>
      <c r="J2318">
        <v>0</v>
      </c>
      <c r="K2318">
        <v>0</v>
      </c>
      <c r="L2318">
        <v>0</v>
      </c>
      <c r="M2318">
        <v>0</v>
      </c>
      <c r="N2318">
        <v>30</v>
      </c>
      <c r="O2318">
        <v>0</v>
      </c>
      <c r="P2318">
        <v>0</v>
      </c>
      <c r="Q2318">
        <v>0</v>
      </c>
      <c r="R2318">
        <v>0</v>
      </c>
      <c r="S2318">
        <v>0</v>
      </c>
      <c r="T2318">
        <v>0</v>
      </c>
      <c r="U2318">
        <v>0</v>
      </c>
      <c r="V2318">
        <v>25</v>
      </c>
      <c r="W2318">
        <v>175</v>
      </c>
      <c r="X2318">
        <v>0</v>
      </c>
      <c r="Z2318">
        <v>0</v>
      </c>
      <c r="AA2318">
        <v>0</v>
      </c>
      <c r="AB2318">
        <v>0</v>
      </c>
      <c r="AC2318">
        <v>0</v>
      </c>
      <c r="AD2318" t="s">
        <v>4621</v>
      </c>
    </row>
    <row r="2319" spans="1:30" x14ac:dyDescent="0.25">
      <c r="H2319" t="s">
        <v>4625</v>
      </c>
    </row>
    <row r="2320" spans="1:30" x14ac:dyDescent="0.25">
      <c r="A2320">
        <v>1157</v>
      </c>
      <c r="B2320">
        <v>1970</v>
      </c>
      <c r="C2320" t="s">
        <v>3738</v>
      </c>
      <c r="D2320" t="s">
        <v>425</v>
      </c>
      <c r="E2320" t="s">
        <v>32</v>
      </c>
      <c r="F2320" t="s">
        <v>4626</v>
      </c>
      <c r="G2320" t="str">
        <f>"00311449"</f>
        <v>00311449</v>
      </c>
      <c r="H2320" t="s">
        <v>1796</v>
      </c>
      <c r="I2320">
        <v>0</v>
      </c>
      <c r="J2320">
        <v>0</v>
      </c>
      <c r="K2320">
        <v>0</v>
      </c>
      <c r="L2320">
        <v>0</v>
      </c>
      <c r="M2320">
        <v>0</v>
      </c>
      <c r="N2320">
        <v>30</v>
      </c>
      <c r="O2320">
        <v>0</v>
      </c>
      <c r="P2320">
        <v>0</v>
      </c>
      <c r="Q2320">
        <v>0</v>
      </c>
      <c r="R2320">
        <v>0</v>
      </c>
      <c r="S2320">
        <v>0</v>
      </c>
      <c r="T2320">
        <v>0</v>
      </c>
      <c r="U2320">
        <v>0</v>
      </c>
      <c r="V2320">
        <v>24</v>
      </c>
      <c r="W2320">
        <v>168</v>
      </c>
      <c r="X2320">
        <v>0</v>
      </c>
      <c r="Z2320">
        <v>0</v>
      </c>
      <c r="AA2320">
        <v>0</v>
      </c>
      <c r="AB2320">
        <v>0</v>
      </c>
      <c r="AC2320">
        <v>0</v>
      </c>
      <c r="AD2320" t="s">
        <v>354</v>
      </c>
    </row>
    <row r="2321" spans="1:30" x14ac:dyDescent="0.25">
      <c r="H2321" t="s">
        <v>4627</v>
      </c>
    </row>
    <row r="2322" spans="1:30" x14ac:dyDescent="0.25">
      <c r="A2322">
        <v>1158</v>
      </c>
      <c r="B2322">
        <v>6120</v>
      </c>
      <c r="C2322" t="s">
        <v>3886</v>
      </c>
      <c r="D2322" t="s">
        <v>191</v>
      </c>
      <c r="E2322" t="s">
        <v>45</v>
      </c>
      <c r="F2322" t="s">
        <v>4628</v>
      </c>
      <c r="G2322" t="str">
        <f>"00364261"</f>
        <v>00364261</v>
      </c>
      <c r="H2322" t="s">
        <v>1356</v>
      </c>
      <c r="I2322">
        <v>0</v>
      </c>
      <c r="J2322">
        <v>0</v>
      </c>
      <c r="K2322">
        <v>0</v>
      </c>
      <c r="L2322">
        <v>0</v>
      </c>
      <c r="M2322">
        <v>0</v>
      </c>
      <c r="N2322">
        <v>70</v>
      </c>
      <c r="O2322">
        <v>0</v>
      </c>
      <c r="P2322">
        <v>0</v>
      </c>
      <c r="Q2322">
        <v>0</v>
      </c>
      <c r="R2322">
        <v>0</v>
      </c>
      <c r="S2322">
        <v>0</v>
      </c>
      <c r="T2322">
        <v>0</v>
      </c>
      <c r="U2322">
        <v>0</v>
      </c>
      <c r="V2322">
        <v>14</v>
      </c>
      <c r="W2322">
        <v>98</v>
      </c>
      <c r="X2322">
        <v>0</v>
      </c>
      <c r="Z2322">
        <v>0</v>
      </c>
      <c r="AA2322">
        <v>0</v>
      </c>
      <c r="AB2322">
        <v>0</v>
      </c>
      <c r="AC2322">
        <v>0</v>
      </c>
      <c r="AD2322" t="s">
        <v>4629</v>
      </c>
    </row>
    <row r="2323" spans="1:30" x14ac:dyDescent="0.25">
      <c r="H2323" t="s">
        <v>4534</v>
      </c>
    </row>
    <row r="2324" spans="1:30" x14ac:dyDescent="0.25">
      <c r="A2324">
        <v>1159</v>
      </c>
      <c r="B2324">
        <v>6175</v>
      </c>
      <c r="C2324" t="s">
        <v>4630</v>
      </c>
      <c r="D2324" t="s">
        <v>102</v>
      </c>
      <c r="E2324" t="s">
        <v>76</v>
      </c>
      <c r="F2324" t="s">
        <v>4631</v>
      </c>
      <c r="G2324" t="str">
        <f>"00156073"</f>
        <v>00156073</v>
      </c>
      <c r="H2324">
        <v>704</v>
      </c>
      <c r="I2324">
        <v>150</v>
      </c>
      <c r="J2324">
        <v>0</v>
      </c>
      <c r="K2324">
        <v>0</v>
      </c>
      <c r="L2324">
        <v>0</v>
      </c>
      <c r="M2324">
        <v>0</v>
      </c>
      <c r="N2324">
        <v>30</v>
      </c>
      <c r="O2324">
        <v>0</v>
      </c>
      <c r="P2324">
        <v>0</v>
      </c>
      <c r="Q2324">
        <v>0</v>
      </c>
      <c r="R2324">
        <v>0</v>
      </c>
      <c r="S2324">
        <v>0</v>
      </c>
      <c r="T2324">
        <v>0</v>
      </c>
      <c r="U2324">
        <v>0</v>
      </c>
      <c r="V2324">
        <v>0</v>
      </c>
      <c r="W2324">
        <v>0</v>
      </c>
      <c r="X2324">
        <v>0</v>
      </c>
      <c r="Z2324">
        <v>0</v>
      </c>
      <c r="AA2324">
        <v>0</v>
      </c>
      <c r="AB2324">
        <v>0</v>
      </c>
      <c r="AC2324">
        <v>0</v>
      </c>
      <c r="AD2324">
        <v>884</v>
      </c>
    </row>
    <row r="2325" spans="1:30" x14ac:dyDescent="0.25">
      <c r="H2325" t="s">
        <v>4632</v>
      </c>
    </row>
    <row r="2326" spans="1:30" x14ac:dyDescent="0.25">
      <c r="A2326">
        <v>1160</v>
      </c>
      <c r="B2326">
        <v>5150</v>
      </c>
      <c r="C2326" t="s">
        <v>4633</v>
      </c>
      <c r="D2326" t="s">
        <v>3087</v>
      </c>
      <c r="E2326" t="s">
        <v>120</v>
      </c>
      <c r="F2326" t="s">
        <v>4634</v>
      </c>
      <c r="G2326" t="str">
        <f>"201402005149"</f>
        <v>201402005149</v>
      </c>
      <c r="H2326" t="s">
        <v>2628</v>
      </c>
      <c r="I2326">
        <v>0</v>
      </c>
      <c r="J2326">
        <v>0</v>
      </c>
      <c r="K2326">
        <v>0</v>
      </c>
      <c r="L2326">
        <v>0</v>
      </c>
      <c r="M2326">
        <v>100</v>
      </c>
      <c r="N2326">
        <v>50</v>
      </c>
      <c r="O2326">
        <v>0</v>
      </c>
      <c r="P2326">
        <v>0</v>
      </c>
      <c r="Q2326">
        <v>0</v>
      </c>
      <c r="R2326">
        <v>30</v>
      </c>
      <c r="S2326">
        <v>0</v>
      </c>
      <c r="T2326">
        <v>0</v>
      </c>
      <c r="U2326">
        <v>0</v>
      </c>
      <c r="V2326">
        <v>5</v>
      </c>
      <c r="W2326">
        <v>35</v>
      </c>
      <c r="X2326">
        <v>0</v>
      </c>
      <c r="Z2326">
        <v>0</v>
      </c>
      <c r="AA2326">
        <v>0</v>
      </c>
      <c r="AB2326">
        <v>0</v>
      </c>
      <c r="AC2326">
        <v>0</v>
      </c>
      <c r="AD2326" t="s">
        <v>4635</v>
      </c>
    </row>
    <row r="2327" spans="1:30" x14ac:dyDescent="0.25">
      <c r="H2327" t="s">
        <v>4636</v>
      </c>
    </row>
    <row r="2328" spans="1:30" x14ac:dyDescent="0.25">
      <c r="A2328">
        <v>1161</v>
      </c>
      <c r="B2328">
        <v>4529</v>
      </c>
      <c r="C2328" t="s">
        <v>2190</v>
      </c>
      <c r="D2328" t="s">
        <v>319</v>
      </c>
      <c r="E2328" t="s">
        <v>45</v>
      </c>
      <c r="F2328" t="s">
        <v>4637</v>
      </c>
      <c r="G2328" t="str">
        <f>"00005054"</f>
        <v>00005054</v>
      </c>
      <c r="H2328" t="s">
        <v>1986</v>
      </c>
      <c r="I2328">
        <v>0</v>
      </c>
      <c r="J2328">
        <v>0</v>
      </c>
      <c r="K2328">
        <v>0</v>
      </c>
      <c r="L2328">
        <v>0</v>
      </c>
      <c r="M2328">
        <v>0</v>
      </c>
      <c r="N2328">
        <v>0</v>
      </c>
      <c r="O2328">
        <v>0</v>
      </c>
      <c r="P2328">
        <v>70</v>
      </c>
      <c r="Q2328">
        <v>0</v>
      </c>
      <c r="R2328">
        <v>0</v>
      </c>
      <c r="S2328">
        <v>0</v>
      </c>
      <c r="T2328">
        <v>0</v>
      </c>
      <c r="U2328">
        <v>0</v>
      </c>
      <c r="V2328">
        <v>23</v>
      </c>
      <c r="W2328">
        <v>161</v>
      </c>
      <c r="X2328">
        <v>0</v>
      </c>
      <c r="Z2328">
        <v>0</v>
      </c>
      <c r="AA2328">
        <v>0</v>
      </c>
      <c r="AB2328">
        <v>0</v>
      </c>
      <c r="AC2328">
        <v>0</v>
      </c>
      <c r="AD2328" t="s">
        <v>3984</v>
      </c>
    </row>
    <row r="2329" spans="1:30" x14ac:dyDescent="0.25">
      <c r="H2329" t="s">
        <v>4638</v>
      </c>
    </row>
    <row r="2330" spans="1:30" x14ac:dyDescent="0.25">
      <c r="A2330">
        <v>1162</v>
      </c>
      <c r="B2330">
        <v>5242</v>
      </c>
      <c r="C2330" t="s">
        <v>4639</v>
      </c>
      <c r="D2330" t="s">
        <v>3710</v>
      </c>
      <c r="E2330" t="s">
        <v>120</v>
      </c>
      <c r="F2330" t="s">
        <v>4640</v>
      </c>
      <c r="G2330" t="str">
        <f>"201511020563"</f>
        <v>201511020563</v>
      </c>
      <c r="H2330">
        <v>671</v>
      </c>
      <c r="I2330">
        <v>0</v>
      </c>
      <c r="J2330">
        <v>0</v>
      </c>
      <c r="K2330">
        <v>0</v>
      </c>
      <c r="L2330">
        <v>0</v>
      </c>
      <c r="M2330">
        <v>0</v>
      </c>
      <c r="N2330">
        <v>30</v>
      </c>
      <c r="O2330">
        <v>0</v>
      </c>
      <c r="P2330">
        <v>0</v>
      </c>
      <c r="Q2330">
        <v>0</v>
      </c>
      <c r="R2330">
        <v>0</v>
      </c>
      <c r="S2330">
        <v>0</v>
      </c>
      <c r="T2330">
        <v>0</v>
      </c>
      <c r="U2330">
        <v>0</v>
      </c>
      <c r="V2330">
        <v>26</v>
      </c>
      <c r="W2330">
        <v>182</v>
      </c>
      <c r="X2330">
        <v>0</v>
      </c>
      <c r="Z2330">
        <v>0</v>
      </c>
      <c r="AA2330">
        <v>0</v>
      </c>
      <c r="AB2330">
        <v>0</v>
      </c>
      <c r="AC2330">
        <v>0</v>
      </c>
      <c r="AD2330">
        <v>883</v>
      </c>
    </row>
    <row r="2331" spans="1:30" x14ac:dyDescent="0.25">
      <c r="H2331" t="s">
        <v>4641</v>
      </c>
    </row>
    <row r="2332" spans="1:30" x14ac:dyDescent="0.25">
      <c r="A2332">
        <v>1163</v>
      </c>
      <c r="B2332">
        <v>3830</v>
      </c>
      <c r="C2332" t="s">
        <v>4642</v>
      </c>
      <c r="D2332" t="s">
        <v>236</v>
      </c>
      <c r="E2332" t="s">
        <v>28</v>
      </c>
      <c r="F2332" t="s">
        <v>4643</v>
      </c>
      <c r="G2332" t="str">
        <f>"00154436"</f>
        <v>00154436</v>
      </c>
      <c r="H2332" t="s">
        <v>2937</v>
      </c>
      <c r="I2332">
        <v>0</v>
      </c>
      <c r="J2332">
        <v>0</v>
      </c>
      <c r="K2332">
        <v>0</v>
      </c>
      <c r="L2332">
        <v>0</v>
      </c>
      <c r="M2332">
        <v>0</v>
      </c>
      <c r="N2332">
        <v>30</v>
      </c>
      <c r="O2332">
        <v>0</v>
      </c>
      <c r="P2332">
        <v>0</v>
      </c>
      <c r="Q2332">
        <v>0</v>
      </c>
      <c r="R2332">
        <v>0</v>
      </c>
      <c r="S2332">
        <v>0</v>
      </c>
      <c r="T2332">
        <v>0</v>
      </c>
      <c r="U2332">
        <v>0</v>
      </c>
      <c r="V2332">
        <v>23</v>
      </c>
      <c r="W2332">
        <v>161</v>
      </c>
      <c r="X2332">
        <v>0</v>
      </c>
      <c r="Z2332">
        <v>0</v>
      </c>
      <c r="AA2332">
        <v>0</v>
      </c>
      <c r="AB2332">
        <v>0</v>
      </c>
      <c r="AC2332">
        <v>0</v>
      </c>
      <c r="AD2332" t="s">
        <v>4644</v>
      </c>
    </row>
    <row r="2333" spans="1:30" x14ac:dyDescent="0.25">
      <c r="H2333" t="s">
        <v>4645</v>
      </c>
    </row>
    <row r="2334" spans="1:30" x14ac:dyDescent="0.25">
      <c r="A2334">
        <v>1164</v>
      </c>
      <c r="B2334">
        <v>5016</v>
      </c>
      <c r="C2334" t="s">
        <v>4646</v>
      </c>
      <c r="D2334" t="s">
        <v>444</v>
      </c>
      <c r="E2334" t="s">
        <v>120</v>
      </c>
      <c r="F2334" t="s">
        <v>4647</v>
      </c>
      <c r="G2334" t="str">
        <f>"00363666"</f>
        <v>00363666</v>
      </c>
      <c r="H2334" t="s">
        <v>1086</v>
      </c>
      <c r="I2334">
        <v>0</v>
      </c>
      <c r="J2334">
        <v>0</v>
      </c>
      <c r="K2334">
        <v>0</v>
      </c>
      <c r="L2334">
        <v>0</v>
      </c>
      <c r="M2334">
        <v>0</v>
      </c>
      <c r="N2334">
        <v>0</v>
      </c>
      <c r="O2334">
        <v>0</v>
      </c>
      <c r="P2334">
        <v>0</v>
      </c>
      <c r="Q2334">
        <v>0</v>
      </c>
      <c r="R2334">
        <v>0</v>
      </c>
      <c r="S2334">
        <v>0</v>
      </c>
      <c r="T2334">
        <v>0</v>
      </c>
      <c r="U2334">
        <v>0</v>
      </c>
      <c r="V2334">
        <v>20</v>
      </c>
      <c r="W2334">
        <v>140</v>
      </c>
      <c r="X2334">
        <v>0</v>
      </c>
      <c r="Z2334">
        <v>2</v>
      </c>
      <c r="AA2334">
        <v>0</v>
      </c>
      <c r="AB2334">
        <v>0</v>
      </c>
      <c r="AC2334">
        <v>0</v>
      </c>
      <c r="AD2334" t="s">
        <v>4648</v>
      </c>
    </row>
    <row r="2335" spans="1:30" x14ac:dyDescent="0.25">
      <c r="H2335" t="s">
        <v>4649</v>
      </c>
    </row>
    <row r="2336" spans="1:30" x14ac:dyDescent="0.25">
      <c r="A2336">
        <v>1165</v>
      </c>
      <c r="B2336">
        <v>891</v>
      </c>
      <c r="C2336" t="s">
        <v>421</v>
      </c>
      <c r="D2336" t="s">
        <v>185</v>
      </c>
      <c r="E2336" t="s">
        <v>389</v>
      </c>
      <c r="F2336" t="s">
        <v>4650</v>
      </c>
      <c r="G2336" t="str">
        <f>"201409002391"</f>
        <v>201409002391</v>
      </c>
      <c r="H2336" t="s">
        <v>573</v>
      </c>
      <c r="I2336">
        <v>0</v>
      </c>
      <c r="J2336">
        <v>0</v>
      </c>
      <c r="K2336">
        <v>0</v>
      </c>
      <c r="L2336">
        <v>0</v>
      </c>
      <c r="M2336">
        <v>0</v>
      </c>
      <c r="N2336">
        <v>30</v>
      </c>
      <c r="O2336">
        <v>0</v>
      </c>
      <c r="P2336">
        <v>0</v>
      </c>
      <c r="Q2336">
        <v>0</v>
      </c>
      <c r="R2336">
        <v>0</v>
      </c>
      <c r="S2336">
        <v>0</v>
      </c>
      <c r="T2336">
        <v>0</v>
      </c>
      <c r="U2336">
        <v>0</v>
      </c>
      <c r="V2336">
        <v>12</v>
      </c>
      <c r="W2336">
        <v>84</v>
      </c>
      <c r="X2336">
        <v>0</v>
      </c>
      <c r="Z2336">
        <v>0</v>
      </c>
      <c r="AA2336">
        <v>0</v>
      </c>
      <c r="AB2336">
        <v>0</v>
      </c>
      <c r="AC2336">
        <v>0</v>
      </c>
      <c r="AD2336" t="s">
        <v>4651</v>
      </c>
    </row>
    <row r="2337" spans="1:30" x14ac:dyDescent="0.25">
      <c r="H2337" t="s">
        <v>4652</v>
      </c>
    </row>
    <row r="2338" spans="1:30" x14ac:dyDescent="0.25">
      <c r="A2338">
        <v>1166</v>
      </c>
      <c r="B2338">
        <v>3285</v>
      </c>
      <c r="C2338" t="s">
        <v>4653</v>
      </c>
      <c r="D2338" t="s">
        <v>598</v>
      </c>
      <c r="E2338" t="s">
        <v>102</v>
      </c>
      <c r="F2338" t="s">
        <v>4654</v>
      </c>
      <c r="G2338" t="str">
        <f>"00281402"</f>
        <v>00281402</v>
      </c>
      <c r="H2338" t="s">
        <v>730</v>
      </c>
      <c r="I2338">
        <v>0</v>
      </c>
      <c r="J2338">
        <v>0</v>
      </c>
      <c r="K2338">
        <v>0</v>
      </c>
      <c r="L2338">
        <v>0</v>
      </c>
      <c r="M2338">
        <v>0</v>
      </c>
      <c r="N2338">
        <v>0</v>
      </c>
      <c r="O2338">
        <v>0</v>
      </c>
      <c r="P2338">
        <v>0</v>
      </c>
      <c r="Q2338">
        <v>0</v>
      </c>
      <c r="R2338">
        <v>0</v>
      </c>
      <c r="S2338">
        <v>0</v>
      </c>
      <c r="T2338">
        <v>0</v>
      </c>
      <c r="U2338">
        <v>0</v>
      </c>
      <c r="V2338">
        <v>17</v>
      </c>
      <c r="W2338">
        <v>119</v>
      </c>
      <c r="X2338">
        <v>0</v>
      </c>
      <c r="Z2338">
        <v>0</v>
      </c>
      <c r="AA2338">
        <v>0</v>
      </c>
      <c r="AB2338">
        <v>0</v>
      </c>
      <c r="AC2338">
        <v>0</v>
      </c>
      <c r="AD2338" t="s">
        <v>4655</v>
      </c>
    </row>
    <row r="2339" spans="1:30" x14ac:dyDescent="0.25">
      <c r="H2339" t="s">
        <v>4656</v>
      </c>
    </row>
    <row r="2340" spans="1:30" x14ac:dyDescent="0.25">
      <c r="A2340">
        <v>1167</v>
      </c>
      <c r="B2340">
        <v>4522</v>
      </c>
      <c r="C2340" t="s">
        <v>4657</v>
      </c>
      <c r="D2340" t="s">
        <v>4658</v>
      </c>
      <c r="E2340" t="s">
        <v>4659</v>
      </c>
      <c r="F2340" t="s">
        <v>4660</v>
      </c>
      <c r="G2340" t="str">
        <f>"00363258"</f>
        <v>00363258</v>
      </c>
      <c r="H2340" t="s">
        <v>1368</v>
      </c>
      <c r="I2340">
        <v>0</v>
      </c>
      <c r="J2340">
        <v>0</v>
      </c>
      <c r="K2340">
        <v>0</v>
      </c>
      <c r="L2340">
        <v>0</v>
      </c>
      <c r="M2340">
        <v>0</v>
      </c>
      <c r="N2340">
        <v>30</v>
      </c>
      <c r="O2340">
        <v>30</v>
      </c>
      <c r="P2340">
        <v>0</v>
      </c>
      <c r="Q2340">
        <v>0</v>
      </c>
      <c r="R2340">
        <v>0</v>
      </c>
      <c r="S2340">
        <v>0</v>
      </c>
      <c r="T2340">
        <v>0</v>
      </c>
      <c r="U2340">
        <v>0</v>
      </c>
      <c r="V2340">
        <v>17</v>
      </c>
      <c r="W2340">
        <v>119</v>
      </c>
      <c r="X2340">
        <v>0</v>
      </c>
      <c r="Z2340">
        <v>0</v>
      </c>
      <c r="AA2340">
        <v>0</v>
      </c>
      <c r="AB2340">
        <v>0</v>
      </c>
      <c r="AC2340">
        <v>0</v>
      </c>
      <c r="AD2340" t="s">
        <v>4661</v>
      </c>
    </row>
    <row r="2341" spans="1:30" x14ac:dyDescent="0.25">
      <c r="H2341" t="s">
        <v>4662</v>
      </c>
    </row>
    <row r="2342" spans="1:30" x14ac:dyDescent="0.25">
      <c r="A2342">
        <v>1168</v>
      </c>
      <c r="B2342">
        <v>4885</v>
      </c>
      <c r="C2342" t="s">
        <v>4663</v>
      </c>
      <c r="D2342" t="s">
        <v>598</v>
      </c>
      <c r="E2342" t="s">
        <v>76</v>
      </c>
      <c r="F2342" t="s">
        <v>4664</v>
      </c>
      <c r="G2342" t="str">
        <f>"201511010136"</f>
        <v>201511010136</v>
      </c>
      <c r="H2342" t="s">
        <v>1838</v>
      </c>
      <c r="I2342">
        <v>0</v>
      </c>
      <c r="J2342">
        <v>0</v>
      </c>
      <c r="K2342">
        <v>0</v>
      </c>
      <c r="L2342">
        <v>0</v>
      </c>
      <c r="M2342">
        <v>0</v>
      </c>
      <c r="N2342">
        <v>30</v>
      </c>
      <c r="O2342">
        <v>0</v>
      </c>
      <c r="P2342">
        <v>0</v>
      </c>
      <c r="Q2342">
        <v>0</v>
      </c>
      <c r="R2342">
        <v>0</v>
      </c>
      <c r="S2342">
        <v>0</v>
      </c>
      <c r="T2342">
        <v>0</v>
      </c>
      <c r="U2342">
        <v>0</v>
      </c>
      <c r="V2342">
        <v>14</v>
      </c>
      <c r="W2342">
        <v>98</v>
      </c>
      <c r="X2342">
        <v>0</v>
      </c>
      <c r="Z2342">
        <v>0</v>
      </c>
      <c r="AA2342">
        <v>0</v>
      </c>
      <c r="AB2342">
        <v>0</v>
      </c>
      <c r="AC2342">
        <v>0</v>
      </c>
      <c r="AD2342" t="s">
        <v>4665</v>
      </c>
    </row>
    <row r="2343" spans="1:30" x14ac:dyDescent="0.25">
      <c r="H2343" t="s">
        <v>4666</v>
      </c>
    </row>
    <row r="2344" spans="1:30" x14ac:dyDescent="0.25">
      <c r="A2344">
        <v>1169</v>
      </c>
      <c r="B2344">
        <v>2714</v>
      </c>
      <c r="C2344" t="s">
        <v>4667</v>
      </c>
      <c r="D2344" t="s">
        <v>28</v>
      </c>
      <c r="E2344" t="s">
        <v>102</v>
      </c>
      <c r="F2344" t="s">
        <v>4668</v>
      </c>
      <c r="G2344" t="str">
        <f>"201406011255"</f>
        <v>201406011255</v>
      </c>
      <c r="H2344" t="s">
        <v>131</v>
      </c>
      <c r="I2344">
        <v>0</v>
      </c>
      <c r="J2344">
        <v>0</v>
      </c>
      <c r="K2344">
        <v>0</v>
      </c>
      <c r="L2344">
        <v>0</v>
      </c>
      <c r="M2344">
        <v>0</v>
      </c>
      <c r="N2344">
        <v>30</v>
      </c>
      <c r="O2344">
        <v>0</v>
      </c>
      <c r="P2344">
        <v>0</v>
      </c>
      <c r="Q2344">
        <v>0</v>
      </c>
      <c r="R2344">
        <v>0</v>
      </c>
      <c r="S2344">
        <v>0</v>
      </c>
      <c r="T2344">
        <v>0</v>
      </c>
      <c r="U2344">
        <v>0</v>
      </c>
      <c r="V2344">
        <v>11</v>
      </c>
      <c r="W2344">
        <v>77</v>
      </c>
      <c r="X2344">
        <v>0</v>
      </c>
      <c r="Z2344">
        <v>0</v>
      </c>
      <c r="AA2344">
        <v>0</v>
      </c>
      <c r="AB2344">
        <v>0</v>
      </c>
      <c r="AC2344">
        <v>0</v>
      </c>
      <c r="AD2344" t="s">
        <v>4669</v>
      </c>
    </row>
    <row r="2345" spans="1:30" x14ac:dyDescent="0.25">
      <c r="H2345" t="s">
        <v>4670</v>
      </c>
    </row>
    <row r="2346" spans="1:30" x14ac:dyDescent="0.25">
      <c r="A2346">
        <v>1170</v>
      </c>
      <c r="B2346">
        <v>3078</v>
      </c>
      <c r="C2346" t="s">
        <v>4671</v>
      </c>
      <c r="D2346" t="s">
        <v>815</v>
      </c>
      <c r="E2346" t="s">
        <v>49</v>
      </c>
      <c r="F2346" t="s">
        <v>4672</v>
      </c>
      <c r="G2346" t="str">
        <f>"00191592"</f>
        <v>00191592</v>
      </c>
      <c r="H2346">
        <v>704</v>
      </c>
      <c r="I2346">
        <v>0</v>
      </c>
      <c r="J2346">
        <v>0</v>
      </c>
      <c r="K2346">
        <v>0</v>
      </c>
      <c r="L2346">
        <v>0</v>
      </c>
      <c r="M2346">
        <v>0</v>
      </c>
      <c r="N2346">
        <v>70</v>
      </c>
      <c r="O2346">
        <v>0</v>
      </c>
      <c r="P2346">
        <v>0</v>
      </c>
      <c r="Q2346">
        <v>0</v>
      </c>
      <c r="R2346">
        <v>0</v>
      </c>
      <c r="S2346">
        <v>0</v>
      </c>
      <c r="T2346">
        <v>0</v>
      </c>
      <c r="U2346">
        <v>0</v>
      </c>
      <c r="V2346">
        <v>15</v>
      </c>
      <c r="W2346">
        <v>105</v>
      </c>
      <c r="X2346">
        <v>0</v>
      </c>
      <c r="Z2346">
        <v>0</v>
      </c>
      <c r="AA2346">
        <v>0</v>
      </c>
      <c r="AB2346">
        <v>0</v>
      </c>
      <c r="AC2346">
        <v>0</v>
      </c>
      <c r="AD2346">
        <v>879</v>
      </c>
    </row>
    <row r="2347" spans="1:30" x14ac:dyDescent="0.25">
      <c r="H2347" t="s">
        <v>4673</v>
      </c>
    </row>
    <row r="2348" spans="1:30" x14ac:dyDescent="0.25">
      <c r="A2348">
        <v>1171</v>
      </c>
      <c r="B2348">
        <v>5175</v>
      </c>
      <c r="C2348" t="s">
        <v>4674</v>
      </c>
      <c r="D2348" t="s">
        <v>76</v>
      </c>
      <c r="E2348" t="s">
        <v>120</v>
      </c>
      <c r="F2348" t="s">
        <v>4675</v>
      </c>
      <c r="G2348" t="str">
        <f>"201604000222"</f>
        <v>201604000222</v>
      </c>
      <c r="H2348" t="s">
        <v>2228</v>
      </c>
      <c r="I2348">
        <v>0</v>
      </c>
      <c r="J2348">
        <v>0</v>
      </c>
      <c r="K2348">
        <v>0</v>
      </c>
      <c r="L2348">
        <v>0</v>
      </c>
      <c r="M2348">
        <v>0</v>
      </c>
      <c r="N2348">
        <v>30</v>
      </c>
      <c r="O2348">
        <v>0</v>
      </c>
      <c r="P2348">
        <v>0</v>
      </c>
      <c r="Q2348">
        <v>0</v>
      </c>
      <c r="R2348">
        <v>0</v>
      </c>
      <c r="S2348">
        <v>0</v>
      </c>
      <c r="T2348">
        <v>0</v>
      </c>
      <c r="U2348">
        <v>0</v>
      </c>
      <c r="V2348">
        <v>20</v>
      </c>
      <c r="W2348">
        <v>140</v>
      </c>
      <c r="X2348">
        <v>0</v>
      </c>
      <c r="Z2348">
        <v>0</v>
      </c>
      <c r="AA2348">
        <v>0</v>
      </c>
      <c r="AB2348">
        <v>0</v>
      </c>
      <c r="AC2348">
        <v>0</v>
      </c>
      <c r="AD2348" t="s">
        <v>4676</v>
      </c>
    </row>
    <row r="2349" spans="1:30" x14ac:dyDescent="0.25">
      <c r="H2349" t="s">
        <v>4677</v>
      </c>
    </row>
    <row r="2350" spans="1:30" x14ac:dyDescent="0.25">
      <c r="A2350">
        <v>1172</v>
      </c>
      <c r="B2350">
        <v>1764</v>
      </c>
      <c r="C2350" t="s">
        <v>4678</v>
      </c>
      <c r="D2350" t="s">
        <v>191</v>
      </c>
      <c r="E2350" t="s">
        <v>32</v>
      </c>
      <c r="F2350" t="s">
        <v>4679</v>
      </c>
      <c r="G2350" t="str">
        <f>"200802004245"</f>
        <v>200802004245</v>
      </c>
      <c r="H2350" t="s">
        <v>1301</v>
      </c>
      <c r="I2350">
        <v>0</v>
      </c>
      <c r="J2350">
        <v>0</v>
      </c>
      <c r="K2350">
        <v>0</v>
      </c>
      <c r="L2350">
        <v>0</v>
      </c>
      <c r="M2350">
        <v>0</v>
      </c>
      <c r="N2350">
        <v>30</v>
      </c>
      <c r="O2350">
        <v>0</v>
      </c>
      <c r="P2350">
        <v>0</v>
      </c>
      <c r="Q2350">
        <v>0</v>
      </c>
      <c r="R2350">
        <v>0</v>
      </c>
      <c r="S2350">
        <v>0</v>
      </c>
      <c r="T2350">
        <v>0</v>
      </c>
      <c r="U2350">
        <v>0</v>
      </c>
      <c r="V2350">
        <v>3</v>
      </c>
      <c r="W2350">
        <v>21</v>
      </c>
      <c r="X2350">
        <v>0</v>
      </c>
      <c r="Z2350">
        <v>2</v>
      </c>
      <c r="AA2350">
        <v>0</v>
      </c>
      <c r="AB2350">
        <v>5</v>
      </c>
      <c r="AC2350">
        <v>85</v>
      </c>
      <c r="AD2350" t="s">
        <v>4680</v>
      </c>
    </row>
    <row r="2351" spans="1:30" x14ac:dyDescent="0.25">
      <c r="H2351" t="s">
        <v>4681</v>
      </c>
    </row>
    <row r="2352" spans="1:30" x14ac:dyDescent="0.25">
      <c r="A2352">
        <v>1173</v>
      </c>
      <c r="B2352">
        <v>3433</v>
      </c>
      <c r="C2352" t="s">
        <v>4682</v>
      </c>
      <c r="D2352" t="s">
        <v>3807</v>
      </c>
      <c r="E2352" t="s">
        <v>77</v>
      </c>
      <c r="F2352" t="s">
        <v>4683</v>
      </c>
      <c r="G2352" t="str">
        <f>"00223996"</f>
        <v>00223996</v>
      </c>
      <c r="H2352" t="s">
        <v>4684</v>
      </c>
      <c r="I2352">
        <v>0</v>
      </c>
      <c r="J2352">
        <v>0</v>
      </c>
      <c r="K2352">
        <v>0</v>
      </c>
      <c r="L2352">
        <v>0</v>
      </c>
      <c r="M2352">
        <v>0</v>
      </c>
      <c r="N2352">
        <v>30</v>
      </c>
      <c r="O2352">
        <v>0</v>
      </c>
      <c r="P2352">
        <v>0</v>
      </c>
      <c r="Q2352">
        <v>0</v>
      </c>
      <c r="R2352">
        <v>0</v>
      </c>
      <c r="S2352">
        <v>0</v>
      </c>
      <c r="T2352">
        <v>0</v>
      </c>
      <c r="U2352">
        <v>0</v>
      </c>
      <c r="V2352">
        <v>30</v>
      </c>
      <c r="W2352">
        <v>210</v>
      </c>
      <c r="X2352">
        <v>0</v>
      </c>
      <c r="Z2352">
        <v>0</v>
      </c>
      <c r="AA2352">
        <v>0</v>
      </c>
      <c r="AB2352">
        <v>0</v>
      </c>
      <c r="AC2352">
        <v>0</v>
      </c>
      <c r="AD2352" t="s">
        <v>4685</v>
      </c>
    </row>
    <row r="2353" spans="1:30" x14ac:dyDescent="0.25">
      <c r="H2353" t="s">
        <v>4686</v>
      </c>
    </row>
    <row r="2354" spans="1:30" x14ac:dyDescent="0.25">
      <c r="A2354">
        <v>1174</v>
      </c>
      <c r="B2354">
        <v>4124</v>
      </c>
      <c r="C2354" t="s">
        <v>4687</v>
      </c>
      <c r="D2354" t="s">
        <v>191</v>
      </c>
      <c r="E2354" t="s">
        <v>254</v>
      </c>
      <c r="F2354" t="s">
        <v>4688</v>
      </c>
      <c r="G2354" t="str">
        <f>"00184096"</f>
        <v>00184096</v>
      </c>
      <c r="H2354" t="s">
        <v>1080</v>
      </c>
      <c r="I2354">
        <v>0</v>
      </c>
      <c r="J2354">
        <v>0</v>
      </c>
      <c r="K2354">
        <v>0</v>
      </c>
      <c r="L2354">
        <v>0</v>
      </c>
      <c r="M2354">
        <v>0</v>
      </c>
      <c r="N2354">
        <v>30</v>
      </c>
      <c r="O2354">
        <v>0</v>
      </c>
      <c r="P2354">
        <v>0</v>
      </c>
      <c r="Q2354">
        <v>0</v>
      </c>
      <c r="R2354">
        <v>0</v>
      </c>
      <c r="S2354">
        <v>0</v>
      </c>
      <c r="T2354">
        <v>0</v>
      </c>
      <c r="U2354">
        <v>0</v>
      </c>
      <c r="V2354">
        <v>24</v>
      </c>
      <c r="W2354">
        <v>168</v>
      </c>
      <c r="X2354">
        <v>0</v>
      </c>
      <c r="Z2354">
        <v>0</v>
      </c>
      <c r="AA2354">
        <v>0</v>
      </c>
      <c r="AB2354">
        <v>0</v>
      </c>
      <c r="AC2354">
        <v>0</v>
      </c>
      <c r="AD2354" t="s">
        <v>4689</v>
      </c>
    </row>
    <row r="2355" spans="1:30" x14ac:dyDescent="0.25">
      <c r="H2355" t="s">
        <v>4690</v>
      </c>
    </row>
    <row r="2356" spans="1:30" x14ac:dyDescent="0.25">
      <c r="A2356">
        <v>1175</v>
      </c>
      <c r="B2356">
        <v>2319</v>
      </c>
      <c r="C2356" t="s">
        <v>1608</v>
      </c>
      <c r="D2356" t="s">
        <v>102</v>
      </c>
      <c r="E2356" t="s">
        <v>4691</v>
      </c>
      <c r="F2356" t="s">
        <v>4692</v>
      </c>
      <c r="G2356" t="str">
        <f>"00157918"</f>
        <v>00157918</v>
      </c>
      <c r="H2356" t="s">
        <v>739</v>
      </c>
      <c r="I2356">
        <v>0</v>
      </c>
      <c r="J2356">
        <v>0</v>
      </c>
      <c r="K2356">
        <v>0</v>
      </c>
      <c r="L2356">
        <v>0</v>
      </c>
      <c r="M2356">
        <v>100</v>
      </c>
      <c r="N2356">
        <v>30</v>
      </c>
      <c r="O2356">
        <v>0</v>
      </c>
      <c r="P2356">
        <v>0</v>
      </c>
      <c r="Q2356">
        <v>0</v>
      </c>
      <c r="R2356">
        <v>0</v>
      </c>
      <c r="S2356">
        <v>0</v>
      </c>
      <c r="T2356">
        <v>0</v>
      </c>
      <c r="U2356">
        <v>0</v>
      </c>
      <c r="V2356">
        <v>0</v>
      </c>
      <c r="W2356">
        <v>0</v>
      </c>
      <c r="X2356">
        <v>0</v>
      </c>
      <c r="Z2356">
        <v>0</v>
      </c>
      <c r="AA2356">
        <v>0</v>
      </c>
      <c r="AB2356">
        <v>0</v>
      </c>
      <c r="AC2356">
        <v>0</v>
      </c>
      <c r="AD2356" t="s">
        <v>4693</v>
      </c>
    </row>
    <row r="2357" spans="1:30" x14ac:dyDescent="0.25">
      <c r="H2357" t="s">
        <v>4694</v>
      </c>
    </row>
    <row r="2358" spans="1:30" x14ac:dyDescent="0.25">
      <c r="A2358">
        <v>1176</v>
      </c>
      <c r="B2358">
        <v>2834</v>
      </c>
      <c r="C2358" t="s">
        <v>4695</v>
      </c>
      <c r="D2358" t="s">
        <v>102</v>
      </c>
      <c r="E2358" t="s">
        <v>107</v>
      </c>
      <c r="F2358" t="s">
        <v>4696</v>
      </c>
      <c r="G2358" t="str">
        <f>"201406006382"</f>
        <v>201406006382</v>
      </c>
      <c r="H2358" t="s">
        <v>1559</v>
      </c>
      <c r="I2358">
        <v>0</v>
      </c>
      <c r="J2358">
        <v>0</v>
      </c>
      <c r="K2358">
        <v>0</v>
      </c>
      <c r="L2358">
        <v>0</v>
      </c>
      <c r="M2358">
        <v>0</v>
      </c>
      <c r="N2358">
        <v>30</v>
      </c>
      <c r="O2358">
        <v>0</v>
      </c>
      <c r="P2358">
        <v>0</v>
      </c>
      <c r="Q2358">
        <v>0</v>
      </c>
      <c r="R2358">
        <v>0</v>
      </c>
      <c r="S2358">
        <v>0</v>
      </c>
      <c r="T2358">
        <v>0</v>
      </c>
      <c r="U2358">
        <v>0</v>
      </c>
      <c r="V2358">
        <v>27</v>
      </c>
      <c r="W2358">
        <v>189</v>
      </c>
      <c r="X2358">
        <v>0</v>
      </c>
      <c r="Z2358">
        <v>0</v>
      </c>
      <c r="AA2358">
        <v>0</v>
      </c>
      <c r="AB2358">
        <v>0</v>
      </c>
      <c r="AC2358">
        <v>0</v>
      </c>
      <c r="AD2358" t="s">
        <v>4697</v>
      </c>
    </row>
    <row r="2359" spans="1:30" x14ac:dyDescent="0.25">
      <c r="H2359" t="s">
        <v>4698</v>
      </c>
    </row>
    <row r="2360" spans="1:30" x14ac:dyDescent="0.25">
      <c r="A2360">
        <v>1177</v>
      </c>
      <c r="B2360">
        <v>3663</v>
      </c>
      <c r="C2360" t="s">
        <v>4699</v>
      </c>
      <c r="D2360" t="s">
        <v>185</v>
      </c>
      <c r="E2360" t="s">
        <v>40</v>
      </c>
      <c r="F2360" t="s">
        <v>4700</v>
      </c>
      <c r="G2360" t="str">
        <f>"00158985"</f>
        <v>00158985</v>
      </c>
      <c r="H2360" t="s">
        <v>550</v>
      </c>
      <c r="I2360">
        <v>0</v>
      </c>
      <c r="J2360">
        <v>0</v>
      </c>
      <c r="K2360">
        <v>0</v>
      </c>
      <c r="L2360">
        <v>0</v>
      </c>
      <c r="M2360">
        <v>0</v>
      </c>
      <c r="N2360">
        <v>70</v>
      </c>
      <c r="O2360">
        <v>0</v>
      </c>
      <c r="P2360">
        <v>0</v>
      </c>
      <c r="Q2360">
        <v>0</v>
      </c>
      <c r="R2360">
        <v>0</v>
      </c>
      <c r="S2360">
        <v>0</v>
      </c>
      <c r="T2360">
        <v>0</v>
      </c>
      <c r="U2360">
        <v>0</v>
      </c>
      <c r="V2360">
        <v>0</v>
      </c>
      <c r="W2360">
        <v>0</v>
      </c>
      <c r="X2360">
        <v>0</v>
      </c>
      <c r="Z2360">
        <v>0</v>
      </c>
      <c r="AA2360">
        <v>0</v>
      </c>
      <c r="AB2360">
        <v>0</v>
      </c>
      <c r="AC2360">
        <v>0</v>
      </c>
      <c r="AD2360" t="s">
        <v>4701</v>
      </c>
    </row>
    <row r="2361" spans="1:30" x14ac:dyDescent="0.25">
      <c r="H2361" t="s">
        <v>4702</v>
      </c>
    </row>
    <row r="2362" spans="1:30" x14ac:dyDescent="0.25">
      <c r="A2362">
        <v>1178</v>
      </c>
      <c r="B2362">
        <v>4088</v>
      </c>
      <c r="C2362" t="s">
        <v>4703</v>
      </c>
      <c r="D2362" t="s">
        <v>44</v>
      </c>
      <c r="E2362" t="s">
        <v>32</v>
      </c>
      <c r="F2362" t="s">
        <v>4704</v>
      </c>
      <c r="G2362" t="str">
        <f>"201412007286"</f>
        <v>201412007286</v>
      </c>
      <c r="H2362">
        <v>671</v>
      </c>
      <c r="I2362">
        <v>0</v>
      </c>
      <c r="J2362">
        <v>0</v>
      </c>
      <c r="K2362">
        <v>0</v>
      </c>
      <c r="L2362">
        <v>0</v>
      </c>
      <c r="M2362">
        <v>0</v>
      </c>
      <c r="N2362">
        <v>0</v>
      </c>
      <c r="O2362">
        <v>0</v>
      </c>
      <c r="P2362">
        <v>0</v>
      </c>
      <c r="Q2362">
        <v>0</v>
      </c>
      <c r="R2362">
        <v>0</v>
      </c>
      <c r="S2362">
        <v>0</v>
      </c>
      <c r="T2362">
        <v>0</v>
      </c>
      <c r="U2362">
        <v>0</v>
      </c>
      <c r="V2362">
        <v>29</v>
      </c>
      <c r="W2362">
        <v>203</v>
      </c>
      <c r="X2362">
        <v>0</v>
      </c>
      <c r="Z2362">
        <v>0</v>
      </c>
      <c r="AA2362">
        <v>0</v>
      </c>
      <c r="AB2362">
        <v>0</v>
      </c>
      <c r="AC2362">
        <v>0</v>
      </c>
      <c r="AD2362">
        <v>874</v>
      </c>
    </row>
    <row r="2363" spans="1:30" x14ac:dyDescent="0.25">
      <c r="H2363" t="s">
        <v>4705</v>
      </c>
    </row>
    <row r="2364" spans="1:30" x14ac:dyDescent="0.25">
      <c r="A2364">
        <v>1179</v>
      </c>
      <c r="B2364">
        <v>4936</v>
      </c>
      <c r="C2364" t="s">
        <v>4706</v>
      </c>
      <c r="D2364" t="s">
        <v>283</v>
      </c>
      <c r="E2364" t="s">
        <v>107</v>
      </c>
      <c r="F2364" t="s">
        <v>4707</v>
      </c>
      <c r="G2364" t="str">
        <f>"00247444"</f>
        <v>00247444</v>
      </c>
      <c r="H2364" t="s">
        <v>919</v>
      </c>
      <c r="I2364">
        <v>0</v>
      </c>
      <c r="J2364">
        <v>0</v>
      </c>
      <c r="K2364">
        <v>0</v>
      </c>
      <c r="L2364">
        <v>0</v>
      </c>
      <c r="M2364">
        <v>0</v>
      </c>
      <c r="N2364">
        <v>30</v>
      </c>
      <c r="O2364">
        <v>0</v>
      </c>
      <c r="P2364">
        <v>0</v>
      </c>
      <c r="Q2364">
        <v>0</v>
      </c>
      <c r="R2364">
        <v>0</v>
      </c>
      <c r="S2364">
        <v>0</v>
      </c>
      <c r="T2364">
        <v>0</v>
      </c>
      <c r="U2364">
        <v>0</v>
      </c>
      <c r="V2364">
        <v>14</v>
      </c>
      <c r="W2364">
        <v>98</v>
      </c>
      <c r="X2364">
        <v>0</v>
      </c>
      <c r="Z2364">
        <v>0</v>
      </c>
      <c r="AA2364">
        <v>0</v>
      </c>
      <c r="AB2364">
        <v>0</v>
      </c>
      <c r="AC2364">
        <v>0</v>
      </c>
      <c r="AD2364" t="s">
        <v>4708</v>
      </c>
    </row>
    <row r="2365" spans="1:30" x14ac:dyDescent="0.25">
      <c r="H2365" t="s">
        <v>4709</v>
      </c>
    </row>
    <row r="2366" spans="1:30" x14ac:dyDescent="0.25">
      <c r="A2366">
        <v>1180</v>
      </c>
      <c r="B2366">
        <v>3911</v>
      </c>
      <c r="C2366" t="s">
        <v>4710</v>
      </c>
      <c r="D2366" t="s">
        <v>615</v>
      </c>
      <c r="E2366" t="s">
        <v>28</v>
      </c>
      <c r="F2366" t="s">
        <v>4711</v>
      </c>
      <c r="G2366" t="str">
        <f>"00201957"</f>
        <v>00201957</v>
      </c>
      <c r="H2366" t="s">
        <v>1465</v>
      </c>
      <c r="I2366">
        <v>0</v>
      </c>
      <c r="J2366">
        <v>0</v>
      </c>
      <c r="K2366">
        <v>0</v>
      </c>
      <c r="L2366">
        <v>0</v>
      </c>
      <c r="M2366">
        <v>0</v>
      </c>
      <c r="N2366">
        <v>30</v>
      </c>
      <c r="O2366">
        <v>0</v>
      </c>
      <c r="P2366">
        <v>0</v>
      </c>
      <c r="Q2366">
        <v>0</v>
      </c>
      <c r="R2366">
        <v>0</v>
      </c>
      <c r="S2366">
        <v>0</v>
      </c>
      <c r="T2366">
        <v>0</v>
      </c>
      <c r="U2366">
        <v>0</v>
      </c>
      <c r="V2366">
        <v>16</v>
      </c>
      <c r="W2366">
        <v>112</v>
      </c>
      <c r="X2366">
        <v>0</v>
      </c>
      <c r="Z2366">
        <v>0</v>
      </c>
      <c r="AA2366">
        <v>0</v>
      </c>
      <c r="AB2366">
        <v>0</v>
      </c>
      <c r="AC2366">
        <v>0</v>
      </c>
      <c r="AD2366" t="s">
        <v>4712</v>
      </c>
    </row>
    <row r="2367" spans="1:30" x14ac:dyDescent="0.25">
      <c r="H2367" t="s">
        <v>4713</v>
      </c>
    </row>
    <row r="2368" spans="1:30" x14ac:dyDescent="0.25">
      <c r="A2368">
        <v>1181</v>
      </c>
      <c r="B2368">
        <v>320</v>
      </c>
      <c r="C2368" t="s">
        <v>4714</v>
      </c>
      <c r="D2368" t="s">
        <v>218</v>
      </c>
      <c r="E2368" t="s">
        <v>77</v>
      </c>
      <c r="F2368" t="s">
        <v>4715</v>
      </c>
      <c r="G2368" t="str">
        <f>"00152036"</f>
        <v>00152036</v>
      </c>
      <c r="H2368" t="s">
        <v>505</v>
      </c>
      <c r="I2368">
        <v>0</v>
      </c>
      <c r="J2368">
        <v>0</v>
      </c>
      <c r="K2368">
        <v>0</v>
      </c>
      <c r="L2368">
        <v>0</v>
      </c>
      <c r="M2368">
        <v>0</v>
      </c>
      <c r="N2368">
        <v>0</v>
      </c>
      <c r="O2368">
        <v>0</v>
      </c>
      <c r="P2368">
        <v>0</v>
      </c>
      <c r="Q2368">
        <v>0</v>
      </c>
      <c r="R2368">
        <v>0</v>
      </c>
      <c r="S2368">
        <v>0</v>
      </c>
      <c r="T2368">
        <v>0</v>
      </c>
      <c r="U2368">
        <v>0</v>
      </c>
      <c r="V2368">
        <v>0</v>
      </c>
      <c r="W2368">
        <v>0</v>
      </c>
      <c r="X2368">
        <v>0</v>
      </c>
      <c r="Z2368">
        <v>2</v>
      </c>
      <c r="AA2368">
        <v>0</v>
      </c>
      <c r="AB2368">
        <v>11</v>
      </c>
      <c r="AC2368">
        <v>187</v>
      </c>
      <c r="AD2368" t="s">
        <v>4716</v>
      </c>
    </row>
    <row r="2369" spans="1:30" x14ac:dyDescent="0.25">
      <c r="H2369" t="s">
        <v>4717</v>
      </c>
    </row>
    <row r="2370" spans="1:30" x14ac:dyDescent="0.25">
      <c r="A2370">
        <v>1182</v>
      </c>
      <c r="B2370">
        <v>4692</v>
      </c>
      <c r="C2370" t="s">
        <v>4718</v>
      </c>
      <c r="D2370" t="s">
        <v>815</v>
      </c>
      <c r="E2370" t="s">
        <v>32</v>
      </c>
      <c r="F2370" t="s">
        <v>4719</v>
      </c>
      <c r="G2370" t="str">
        <f>"201406000672"</f>
        <v>201406000672</v>
      </c>
      <c r="H2370" t="s">
        <v>1310</v>
      </c>
      <c r="I2370">
        <v>0</v>
      </c>
      <c r="J2370">
        <v>0</v>
      </c>
      <c r="K2370">
        <v>0</v>
      </c>
      <c r="L2370">
        <v>0</v>
      </c>
      <c r="M2370">
        <v>0</v>
      </c>
      <c r="N2370">
        <v>30</v>
      </c>
      <c r="O2370">
        <v>0</v>
      </c>
      <c r="P2370">
        <v>0</v>
      </c>
      <c r="Q2370">
        <v>0</v>
      </c>
      <c r="R2370">
        <v>0</v>
      </c>
      <c r="S2370">
        <v>0</v>
      </c>
      <c r="T2370">
        <v>0</v>
      </c>
      <c r="U2370">
        <v>0</v>
      </c>
      <c r="V2370">
        <v>32</v>
      </c>
      <c r="W2370">
        <v>224</v>
      </c>
      <c r="X2370">
        <v>0</v>
      </c>
      <c r="Z2370">
        <v>2</v>
      </c>
      <c r="AA2370">
        <v>0</v>
      </c>
      <c r="AB2370">
        <v>0</v>
      </c>
      <c r="AC2370">
        <v>0</v>
      </c>
      <c r="AD2370" t="s">
        <v>4720</v>
      </c>
    </row>
    <row r="2371" spans="1:30" x14ac:dyDescent="0.25">
      <c r="H2371" t="s">
        <v>1298</v>
      </c>
    </row>
    <row r="2372" spans="1:30" x14ac:dyDescent="0.25">
      <c r="A2372">
        <v>1183</v>
      </c>
      <c r="B2372">
        <v>3461</v>
      </c>
      <c r="C2372" t="s">
        <v>4721</v>
      </c>
      <c r="D2372" t="s">
        <v>27</v>
      </c>
      <c r="E2372" t="s">
        <v>28</v>
      </c>
      <c r="F2372" t="s">
        <v>4722</v>
      </c>
      <c r="G2372" t="str">
        <f>"201510000866"</f>
        <v>201510000866</v>
      </c>
      <c r="H2372" t="s">
        <v>836</v>
      </c>
      <c r="I2372">
        <v>0</v>
      </c>
      <c r="J2372">
        <v>0</v>
      </c>
      <c r="K2372">
        <v>0</v>
      </c>
      <c r="L2372">
        <v>0</v>
      </c>
      <c r="M2372">
        <v>0</v>
      </c>
      <c r="N2372">
        <v>30</v>
      </c>
      <c r="O2372">
        <v>0</v>
      </c>
      <c r="P2372">
        <v>0</v>
      </c>
      <c r="Q2372">
        <v>0</v>
      </c>
      <c r="R2372">
        <v>0</v>
      </c>
      <c r="S2372">
        <v>0</v>
      </c>
      <c r="T2372">
        <v>0</v>
      </c>
      <c r="U2372">
        <v>0</v>
      </c>
      <c r="V2372">
        <v>10</v>
      </c>
      <c r="W2372">
        <v>70</v>
      </c>
      <c r="X2372">
        <v>0</v>
      </c>
      <c r="Z2372">
        <v>0</v>
      </c>
      <c r="AA2372">
        <v>0</v>
      </c>
      <c r="AB2372">
        <v>0</v>
      </c>
      <c r="AC2372">
        <v>0</v>
      </c>
      <c r="AD2372" t="s">
        <v>4723</v>
      </c>
    </row>
    <row r="2373" spans="1:30" x14ac:dyDescent="0.25">
      <c r="H2373" t="s">
        <v>4724</v>
      </c>
    </row>
    <row r="2374" spans="1:30" x14ac:dyDescent="0.25">
      <c r="A2374">
        <v>1184</v>
      </c>
      <c r="B2374">
        <v>4079</v>
      </c>
      <c r="C2374" t="s">
        <v>4725</v>
      </c>
      <c r="D2374" t="s">
        <v>859</v>
      </c>
      <c r="E2374" t="s">
        <v>102</v>
      </c>
      <c r="F2374" t="s">
        <v>4726</v>
      </c>
      <c r="G2374" t="str">
        <f>"201405000291"</f>
        <v>201405000291</v>
      </c>
      <c r="H2374" t="s">
        <v>652</v>
      </c>
      <c r="I2374">
        <v>0</v>
      </c>
      <c r="J2374">
        <v>0</v>
      </c>
      <c r="K2374">
        <v>0</v>
      </c>
      <c r="L2374">
        <v>0</v>
      </c>
      <c r="M2374">
        <v>0</v>
      </c>
      <c r="N2374">
        <v>70</v>
      </c>
      <c r="O2374">
        <v>0</v>
      </c>
      <c r="P2374">
        <v>0</v>
      </c>
      <c r="Q2374">
        <v>0</v>
      </c>
      <c r="R2374">
        <v>0</v>
      </c>
      <c r="S2374">
        <v>0</v>
      </c>
      <c r="T2374">
        <v>0</v>
      </c>
      <c r="U2374">
        <v>0</v>
      </c>
      <c r="V2374">
        <v>12</v>
      </c>
      <c r="W2374">
        <v>84</v>
      </c>
      <c r="X2374">
        <v>0</v>
      </c>
      <c r="Z2374">
        <v>0</v>
      </c>
      <c r="AA2374">
        <v>0</v>
      </c>
      <c r="AB2374">
        <v>0</v>
      </c>
      <c r="AC2374">
        <v>0</v>
      </c>
      <c r="AD2374" t="s">
        <v>4727</v>
      </c>
    </row>
    <row r="2375" spans="1:30" x14ac:dyDescent="0.25">
      <c r="H2375" t="s">
        <v>4728</v>
      </c>
    </row>
    <row r="2376" spans="1:30" x14ac:dyDescent="0.25">
      <c r="A2376">
        <v>1185</v>
      </c>
      <c r="B2376">
        <v>3933</v>
      </c>
      <c r="C2376" t="s">
        <v>4729</v>
      </c>
      <c r="D2376" t="s">
        <v>283</v>
      </c>
      <c r="E2376" t="s">
        <v>120</v>
      </c>
      <c r="F2376" t="s">
        <v>4730</v>
      </c>
      <c r="G2376" t="str">
        <f>"00365412"</f>
        <v>00365412</v>
      </c>
      <c r="H2376" t="s">
        <v>887</v>
      </c>
      <c r="I2376">
        <v>0</v>
      </c>
      <c r="J2376">
        <v>0</v>
      </c>
      <c r="K2376">
        <v>0</v>
      </c>
      <c r="L2376">
        <v>0</v>
      </c>
      <c r="M2376">
        <v>0</v>
      </c>
      <c r="N2376">
        <v>30</v>
      </c>
      <c r="O2376">
        <v>0</v>
      </c>
      <c r="P2376">
        <v>0</v>
      </c>
      <c r="Q2376">
        <v>0</v>
      </c>
      <c r="R2376">
        <v>0</v>
      </c>
      <c r="S2376">
        <v>0</v>
      </c>
      <c r="T2376">
        <v>0</v>
      </c>
      <c r="U2376">
        <v>0</v>
      </c>
      <c r="V2376">
        <v>19</v>
      </c>
      <c r="W2376">
        <v>133</v>
      </c>
      <c r="X2376">
        <v>0</v>
      </c>
      <c r="Z2376">
        <v>0</v>
      </c>
      <c r="AA2376">
        <v>0</v>
      </c>
      <c r="AB2376">
        <v>0</v>
      </c>
      <c r="AC2376">
        <v>0</v>
      </c>
      <c r="AD2376" t="s">
        <v>4731</v>
      </c>
    </row>
    <row r="2377" spans="1:30" x14ac:dyDescent="0.25">
      <c r="H2377" t="s">
        <v>4732</v>
      </c>
    </row>
    <row r="2378" spans="1:30" x14ac:dyDescent="0.25">
      <c r="A2378">
        <v>1186</v>
      </c>
      <c r="B2378">
        <v>49</v>
      </c>
      <c r="C2378" t="s">
        <v>4733</v>
      </c>
      <c r="D2378" t="s">
        <v>3632</v>
      </c>
      <c r="E2378" t="s">
        <v>57</v>
      </c>
      <c r="F2378" t="s">
        <v>4734</v>
      </c>
      <c r="G2378" t="str">
        <f>"00264726"</f>
        <v>00264726</v>
      </c>
      <c r="H2378" t="s">
        <v>1533</v>
      </c>
      <c r="I2378">
        <v>0</v>
      </c>
      <c r="J2378">
        <v>0</v>
      </c>
      <c r="K2378">
        <v>0</v>
      </c>
      <c r="L2378">
        <v>0</v>
      </c>
      <c r="M2378">
        <v>0</v>
      </c>
      <c r="N2378">
        <v>50</v>
      </c>
      <c r="O2378">
        <v>0</v>
      </c>
      <c r="P2378">
        <v>0</v>
      </c>
      <c r="Q2378">
        <v>0</v>
      </c>
      <c r="R2378">
        <v>0</v>
      </c>
      <c r="S2378">
        <v>0</v>
      </c>
      <c r="T2378">
        <v>0</v>
      </c>
      <c r="U2378">
        <v>0</v>
      </c>
      <c r="V2378">
        <v>10</v>
      </c>
      <c r="W2378">
        <v>70</v>
      </c>
      <c r="X2378">
        <v>0</v>
      </c>
      <c r="Z2378">
        <v>2</v>
      </c>
      <c r="AA2378">
        <v>0</v>
      </c>
      <c r="AB2378">
        <v>0</v>
      </c>
      <c r="AC2378">
        <v>0</v>
      </c>
      <c r="AD2378" t="s">
        <v>4735</v>
      </c>
    </row>
    <row r="2379" spans="1:30" x14ac:dyDescent="0.25">
      <c r="H2379" t="s">
        <v>4736</v>
      </c>
    </row>
    <row r="2380" spans="1:30" x14ac:dyDescent="0.25">
      <c r="A2380">
        <v>1187</v>
      </c>
      <c r="B2380">
        <v>4372</v>
      </c>
      <c r="C2380" t="s">
        <v>2760</v>
      </c>
      <c r="D2380" t="s">
        <v>218</v>
      </c>
      <c r="E2380" t="s">
        <v>181</v>
      </c>
      <c r="F2380" t="s">
        <v>4737</v>
      </c>
      <c r="G2380" t="str">
        <f>"00217530"</f>
        <v>00217530</v>
      </c>
      <c r="H2380" t="s">
        <v>1588</v>
      </c>
      <c r="I2380">
        <v>0</v>
      </c>
      <c r="J2380">
        <v>0</v>
      </c>
      <c r="K2380">
        <v>0</v>
      </c>
      <c r="L2380">
        <v>0</v>
      </c>
      <c r="M2380">
        <v>0</v>
      </c>
      <c r="N2380">
        <v>30</v>
      </c>
      <c r="O2380">
        <v>0</v>
      </c>
      <c r="P2380">
        <v>0</v>
      </c>
      <c r="Q2380">
        <v>0</v>
      </c>
      <c r="R2380">
        <v>0</v>
      </c>
      <c r="S2380">
        <v>0</v>
      </c>
      <c r="T2380">
        <v>0</v>
      </c>
      <c r="U2380">
        <v>0</v>
      </c>
      <c r="V2380">
        <v>18</v>
      </c>
      <c r="W2380">
        <v>126</v>
      </c>
      <c r="X2380">
        <v>0</v>
      </c>
      <c r="Z2380">
        <v>0</v>
      </c>
      <c r="AA2380">
        <v>0</v>
      </c>
      <c r="AB2380">
        <v>0</v>
      </c>
      <c r="AC2380">
        <v>0</v>
      </c>
      <c r="AD2380" t="s">
        <v>4738</v>
      </c>
    </row>
    <row r="2381" spans="1:30" x14ac:dyDescent="0.25">
      <c r="H2381" t="s">
        <v>4739</v>
      </c>
    </row>
    <row r="2382" spans="1:30" x14ac:dyDescent="0.25">
      <c r="A2382">
        <v>1188</v>
      </c>
      <c r="B2382">
        <v>5613</v>
      </c>
      <c r="C2382" t="s">
        <v>4740</v>
      </c>
      <c r="D2382" t="s">
        <v>142</v>
      </c>
      <c r="E2382" t="s">
        <v>120</v>
      </c>
      <c r="F2382" t="s">
        <v>4741</v>
      </c>
      <c r="G2382" t="str">
        <f>"201411003581"</f>
        <v>201411003581</v>
      </c>
      <c r="H2382" t="s">
        <v>1080</v>
      </c>
      <c r="I2382">
        <v>0</v>
      </c>
      <c r="J2382">
        <v>0</v>
      </c>
      <c r="K2382">
        <v>0</v>
      </c>
      <c r="L2382">
        <v>0</v>
      </c>
      <c r="M2382">
        <v>0</v>
      </c>
      <c r="N2382">
        <v>30</v>
      </c>
      <c r="O2382">
        <v>0</v>
      </c>
      <c r="P2382">
        <v>0</v>
      </c>
      <c r="Q2382">
        <v>0</v>
      </c>
      <c r="R2382">
        <v>0</v>
      </c>
      <c r="S2382">
        <v>0</v>
      </c>
      <c r="T2382">
        <v>0</v>
      </c>
      <c r="U2382">
        <v>0</v>
      </c>
      <c r="V2382">
        <v>23</v>
      </c>
      <c r="W2382">
        <v>161</v>
      </c>
      <c r="X2382">
        <v>0</v>
      </c>
      <c r="Z2382">
        <v>0</v>
      </c>
      <c r="AA2382">
        <v>0</v>
      </c>
      <c r="AB2382">
        <v>0</v>
      </c>
      <c r="AC2382">
        <v>0</v>
      </c>
      <c r="AD2382" t="s">
        <v>4742</v>
      </c>
    </row>
    <row r="2383" spans="1:30" x14ac:dyDescent="0.25">
      <c r="H2383" t="s">
        <v>4743</v>
      </c>
    </row>
    <row r="2384" spans="1:30" x14ac:dyDescent="0.25">
      <c r="A2384">
        <v>1189</v>
      </c>
      <c r="B2384">
        <v>1054</v>
      </c>
      <c r="C2384" t="s">
        <v>4744</v>
      </c>
      <c r="D2384" t="s">
        <v>598</v>
      </c>
      <c r="E2384" t="s">
        <v>32</v>
      </c>
      <c r="F2384" t="s">
        <v>4745</v>
      </c>
      <c r="G2384" t="str">
        <f>"200801003441"</f>
        <v>200801003441</v>
      </c>
      <c r="H2384">
        <v>803</v>
      </c>
      <c r="I2384">
        <v>0</v>
      </c>
      <c r="J2384">
        <v>0</v>
      </c>
      <c r="K2384">
        <v>0</v>
      </c>
      <c r="L2384">
        <v>0</v>
      </c>
      <c r="M2384">
        <v>0</v>
      </c>
      <c r="N2384">
        <v>30</v>
      </c>
      <c r="O2384">
        <v>0</v>
      </c>
      <c r="P2384">
        <v>0</v>
      </c>
      <c r="Q2384">
        <v>0</v>
      </c>
      <c r="R2384">
        <v>0</v>
      </c>
      <c r="S2384">
        <v>0</v>
      </c>
      <c r="T2384">
        <v>0</v>
      </c>
      <c r="U2384">
        <v>0</v>
      </c>
      <c r="V2384">
        <v>5</v>
      </c>
      <c r="W2384">
        <v>35</v>
      </c>
      <c r="X2384">
        <v>0</v>
      </c>
      <c r="Z2384">
        <v>0</v>
      </c>
      <c r="AA2384">
        <v>0</v>
      </c>
      <c r="AB2384">
        <v>0</v>
      </c>
      <c r="AC2384">
        <v>0</v>
      </c>
      <c r="AD2384">
        <v>868</v>
      </c>
    </row>
    <row r="2385" spans="1:30" x14ac:dyDescent="0.25">
      <c r="H2385" t="s">
        <v>1235</v>
      </c>
    </row>
    <row r="2386" spans="1:30" x14ac:dyDescent="0.25">
      <c r="A2386">
        <v>1190</v>
      </c>
      <c r="B2386">
        <v>5161</v>
      </c>
      <c r="C2386" t="s">
        <v>112</v>
      </c>
      <c r="D2386" t="s">
        <v>449</v>
      </c>
      <c r="E2386" t="s">
        <v>254</v>
      </c>
      <c r="F2386" t="s">
        <v>4746</v>
      </c>
      <c r="G2386" t="str">
        <f>"00189020"</f>
        <v>00189020</v>
      </c>
      <c r="H2386" t="s">
        <v>586</v>
      </c>
      <c r="I2386">
        <v>0</v>
      </c>
      <c r="J2386">
        <v>0</v>
      </c>
      <c r="K2386">
        <v>0</v>
      </c>
      <c r="L2386">
        <v>0</v>
      </c>
      <c r="M2386">
        <v>0</v>
      </c>
      <c r="N2386">
        <v>0</v>
      </c>
      <c r="O2386">
        <v>0</v>
      </c>
      <c r="P2386">
        <v>0</v>
      </c>
      <c r="Q2386">
        <v>0</v>
      </c>
      <c r="R2386">
        <v>0</v>
      </c>
      <c r="S2386">
        <v>0</v>
      </c>
      <c r="T2386">
        <v>0</v>
      </c>
      <c r="U2386">
        <v>0</v>
      </c>
      <c r="V2386">
        <v>29</v>
      </c>
      <c r="W2386">
        <v>203</v>
      </c>
      <c r="X2386">
        <v>0</v>
      </c>
      <c r="Z2386">
        <v>0</v>
      </c>
      <c r="AA2386">
        <v>0</v>
      </c>
      <c r="AB2386">
        <v>0</v>
      </c>
      <c r="AC2386">
        <v>0</v>
      </c>
      <c r="AD2386" t="s">
        <v>4747</v>
      </c>
    </row>
    <row r="2387" spans="1:30" x14ac:dyDescent="0.25">
      <c r="H2387" t="s">
        <v>4748</v>
      </c>
    </row>
    <row r="2388" spans="1:30" x14ac:dyDescent="0.25">
      <c r="A2388">
        <v>1191</v>
      </c>
      <c r="B2388">
        <v>4</v>
      </c>
      <c r="C2388" t="s">
        <v>777</v>
      </c>
      <c r="D2388" t="s">
        <v>166</v>
      </c>
      <c r="E2388" t="s">
        <v>389</v>
      </c>
      <c r="F2388" t="s">
        <v>4749</v>
      </c>
      <c r="G2388" t="str">
        <f>"201511018649"</f>
        <v>201511018649</v>
      </c>
      <c r="H2388" t="s">
        <v>620</v>
      </c>
      <c r="I2388">
        <v>0</v>
      </c>
      <c r="J2388">
        <v>0</v>
      </c>
      <c r="K2388">
        <v>0</v>
      </c>
      <c r="L2388">
        <v>0</v>
      </c>
      <c r="M2388">
        <v>0</v>
      </c>
      <c r="N2388">
        <v>30</v>
      </c>
      <c r="O2388">
        <v>0</v>
      </c>
      <c r="P2388">
        <v>0</v>
      </c>
      <c r="Q2388">
        <v>0</v>
      </c>
      <c r="R2388">
        <v>0</v>
      </c>
      <c r="S2388">
        <v>0</v>
      </c>
      <c r="T2388">
        <v>0</v>
      </c>
      <c r="U2388">
        <v>0</v>
      </c>
      <c r="V2388">
        <v>6</v>
      </c>
      <c r="W2388">
        <v>42</v>
      </c>
      <c r="X2388">
        <v>0</v>
      </c>
      <c r="Z2388">
        <v>0</v>
      </c>
      <c r="AA2388">
        <v>0</v>
      </c>
      <c r="AB2388">
        <v>0</v>
      </c>
      <c r="AC2388">
        <v>0</v>
      </c>
      <c r="AD2388" t="s">
        <v>4750</v>
      </c>
    </row>
    <row r="2389" spans="1:30" x14ac:dyDescent="0.25">
      <c r="H2389" t="s">
        <v>4751</v>
      </c>
    </row>
    <row r="2390" spans="1:30" x14ac:dyDescent="0.25">
      <c r="A2390">
        <v>1192</v>
      </c>
      <c r="B2390">
        <v>6070</v>
      </c>
      <c r="C2390" t="s">
        <v>4752</v>
      </c>
      <c r="D2390" t="s">
        <v>56</v>
      </c>
      <c r="E2390" t="s">
        <v>1016</v>
      </c>
      <c r="F2390" t="s">
        <v>4753</v>
      </c>
      <c r="G2390" t="str">
        <f>"00369000"</f>
        <v>00369000</v>
      </c>
      <c r="H2390">
        <v>836</v>
      </c>
      <c r="I2390">
        <v>0</v>
      </c>
      <c r="J2390">
        <v>0</v>
      </c>
      <c r="K2390">
        <v>0</v>
      </c>
      <c r="L2390">
        <v>0</v>
      </c>
      <c r="M2390">
        <v>0</v>
      </c>
      <c r="N2390">
        <v>30</v>
      </c>
      <c r="O2390">
        <v>0</v>
      </c>
      <c r="P2390">
        <v>0</v>
      </c>
      <c r="Q2390">
        <v>0</v>
      </c>
      <c r="R2390">
        <v>0</v>
      </c>
      <c r="S2390">
        <v>0</v>
      </c>
      <c r="T2390">
        <v>0</v>
      </c>
      <c r="U2390">
        <v>0</v>
      </c>
      <c r="V2390">
        <v>0</v>
      </c>
      <c r="W2390">
        <v>0</v>
      </c>
      <c r="X2390">
        <v>0</v>
      </c>
      <c r="Z2390">
        <v>0</v>
      </c>
      <c r="AA2390">
        <v>0</v>
      </c>
      <c r="AB2390">
        <v>0</v>
      </c>
      <c r="AC2390">
        <v>0</v>
      </c>
      <c r="AD2390">
        <v>866</v>
      </c>
    </row>
    <row r="2391" spans="1:30" x14ac:dyDescent="0.25">
      <c r="H2391" t="s">
        <v>4754</v>
      </c>
    </row>
    <row r="2392" spans="1:30" x14ac:dyDescent="0.25">
      <c r="A2392">
        <v>1193</v>
      </c>
      <c r="B2392">
        <v>4253</v>
      </c>
      <c r="C2392" t="s">
        <v>686</v>
      </c>
      <c r="D2392" t="s">
        <v>1098</v>
      </c>
      <c r="E2392" t="s">
        <v>337</v>
      </c>
      <c r="F2392" t="s">
        <v>4755</v>
      </c>
      <c r="G2392" t="str">
        <f>"00361633"</f>
        <v>00361633</v>
      </c>
      <c r="H2392" t="s">
        <v>2026</v>
      </c>
      <c r="I2392">
        <v>0</v>
      </c>
      <c r="J2392">
        <v>0</v>
      </c>
      <c r="K2392">
        <v>0</v>
      </c>
      <c r="L2392">
        <v>0</v>
      </c>
      <c r="M2392">
        <v>0</v>
      </c>
      <c r="N2392">
        <v>30</v>
      </c>
      <c r="O2392">
        <v>0</v>
      </c>
      <c r="P2392">
        <v>0</v>
      </c>
      <c r="Q2392">
        <v>0</v>
      </c>
      <c r="R2392">
        <v>0</v>
      </c>
      <c r="S2392">
        <v>0</v>
      </c>
      <c r="T2392">
        <v>0</v>
      </c>
      <c r="U2392">
        <v>0</v>
      </c>
      <c r="V2392">
        <v>11</v>
      </c>
      <c r="W2392">
        <v>77</v>
      </c>
      <c r="X2392">
        <v>0</v>
      </c>
      <c r="Z2392">
        <v>0</v>
      </c>
      <c r="AA2392">
        <v>0</v>
      </c>
      <c r="AB2392">
        <v>0</v>
      </c>
      <c r="AC2392">
        <v>0</v>
      </c>
      <c r="AD2392" t="s">
        <v>4756</v>
      </c>
    </row>
    <row r="2393" spans="1:30" x14ac:dyDescent="0.25">
      <c r="H2393" t="s">
        <v>4757</v>
      </c>
    </row>
    <row r="2394" spans="1:30" x14ac:dyDescent="0.25">
      <c r="A2394">
        <v>1194</v>
      </c>
      <c r="B2394">
        <v>5786</v>
      </c>
      <c r="C2394" t="s">
        <v>4758</v>
      </c>
      <c r="D2394" t="s">
        <v>107</v>
      </c>
      <c r="E2394" t="s">
        <v>358</v>
      </c>
      <c r="F2394" t="s">
        <v>4759</v>
      </c>
      <c r="G2394" t="str">
        <f>"00152393"</f>
        <v>00152393</v>
      </c>
      <c r="H2394" t="s">
        <v>66</v>
      </c>
      <c r="I2394">
        <v>0</v>
      </c>
      <c r="J2394">
        <v>0</v>
      </c>
      <c r="K2394">
        <v>0</v>
      </c>
      <c r="L2394">
        <v>0</v>
      </c>
      <c r="M2394">
        <v>0</v>
      </c>
      <c r="N2394">
        <v>30</v>
      </c>
      <c r="O2394">
        <v>0</v>
      </c>
      <c r="P2394">
        <v>0</v>
      </c>
      <c r="Q2394">
        <v>0</v>
      </c>
      <c r="R2394">
        <v>0</v>
      </c>
      <c r="S2394">
        <v>0</v>
      </c>
      <c r="T2394">
        <v>0</v>
      </c>
      <c r="U2394">
        <v>0</v>
      </c>
      <c r="V2394">
        <v>14</v>
      </c>
      <c r="W2394">
        <v>98</v>
      </c>
      <c r="X2394">
        <v>0</v>
      </c>
      <c r="Z2394">
        <v>0</v>
      </c>
      <c r="AA2394">
        <v>0</v>
      </c>
      <c r="AB2394">
        <v>0</v>
      </c>
      <c r="AC2394">
        <v>0</v>
      </c>
      <c r="AD2394" t="s">
        <v>4760</v>
      </c>
    </row>
    <row r="2395" spans="1:30" x14ac:dyDescent="0.25">
      <c r="H2395" t="s">
        <v>4761</v>
      </c>
    </row>
    <row r="2396" spans="1:30" x14ac:dyDescent="0.25">
      <c r="A2396">
        <v>1195</v>
      </c>
      <c r="B2396">
        <v>3376</v>
      </c>
      <c r="C2396" t="s">
        <v>4762</v>
      </c>
      <c r="D2396" t="s">
        <v>64</v>
      </c>
      <c r="E2396" t="s">
        <v>32</v>
      </c>
      <c r="F2396" t="s">
        <v>4763</v>
      </c>
      <c r="G2396" t="str">
        <f>"00342082"</f>
        <v>00342082</v>
      </c>
      <c r="H2396" t="s">
        <v>1986</v>
      </c>
      <c r="I2396">
        <v>0</v>
      </c>
      <c r="J2396">
        <v>0</v>
      </c>
      <c r="K2396">
        <v>0</v>
      </c>
      <c r="L2396">
        <v>0</v>
      </c>
      <c r="M2396">
        <v>0</v>
      </c>
      <c r="N2396">
        <v>0</v>
      </c>
      <c r="O2396">
        <v>0</v>
      </c>
      <c r="P2396">
        <v>0</v>
      </c>
      <c r="Q2396">
        <v>0</v>
      </c>
      <c r="R2396">
        <v>0</v>
      </c>
      <c r="S2396">
        <v>0</v>
      </c>
      <c r="T2396">
        <v>0</v>
      </c>
      <c r="U2396">
        <v>0</v>
      </c>
      <c r="V2396">
        <v>30</v>
      </c>
      <c r="W2396">
        <v>210</v>
      </c>
      <c r="X2396">
        <v>0</v>
      </c>
      <c r="Z2396">
        <v>0</v>
      </c>
      <c r="AA2396">
        <v>0</v>
      </c>
      <c r="AB2396">
        <v>0</v>
      </c>
      <c r="AC2396">
        <v>0</v>
      </c>
      <c r="AD2396" t="s">
        <v>4764</v>
      </c>
    </row>
    <row r="2397" spans="1:30" x14ac:dyDescent="0.25">
      <c r="H2397" t="s">
        <v>4765</v>
      </c>
    </row>
    <row r="2398" spans="1:30" x14ac:dyDescent="0.25">
      <c r="A2398">
        <v>1196</v>
      </c>
      <c r="B2398">
        <v>5126</v>
      </c>
      <c r="C2398" t="s">
        <v>328</v>
      </c>
      <c r="D2398" t="s">
        <v>494</v>
      </c>
      <c r="E2398" t="s">
        <v>445</v>
      </c>
      <c r="F2398" t="s">
        <v>4766</v>
      </c>
      <c r="G2398" t="str">
        <f>"00345083"</f>
        <v>00345083</v>
      </c>
      <c r="H2398" t="s">
        <v>1030</v>
      </c>
      <c r="I2398">
        <v>0</v>
      </c>
      <c r="J2398">
        <v>0</v>
      </c>
      <c r="K2398">
        <v>0</v>
      </c>
      <c r="L2398">
        <v>0</v>
      </c>
      <c r="M2398">
        <v>0</v>
      </c>
      <c r="N2398">
        <v>30</v>
      </c>
      <c r="O2398">
        <v>0</v>
      </c>
      <c r="P2398">
        <v>0</v>
      </c>
      <c r="Q2398">
        <v>0</v>
      </c>
      <c r="R2398">
        <v>0</v>
      </c>
      <c r="S2398">
        <v>0</v>
      </c>
      <c r="T2398">
        <v>0</v>
      </c>
      <c r="U2398">
        <v>0</v>
      </c>
      <c r="V2398">
        <v>0</v>
      </c>
      <c r="W2398">
        <v>0</v>
      </c>
      <c r="X2398">
        <v>0</v>
      </c>
      <c r="Z2398">
        <v>0</v>
      </c>
      <c r="AA2398">
        <v>0</v>
      </c>
      <c r="AB2398">
        <v>0</v>
      </c>
      <c r="AC2398">
        <v>0</v>
      </c>
      <c r="AD2398" t="s">
        <v>4767</v>
      </c>
    </row>
    <row r="2399" spans="1:30" x14ac:dyDescent="0.25">
      <c r="H2399" t="s">
        <v>4768</v>
      </c>
    </row>
    <row r="2400" spans="1:30" x14ac:dyDescent="0.25">
      <c r="A2400">
        <v>1197</v>
      </c>
      <c r="B2400">
        <v>1257</v>
      </c>
      <c r="C2400" t="s">
        <v>4769</v>
      </c>
      <c r="D2400" t="s">
        <v>167</v>
      </c>
      <c r="E2400" t="s">
        <v>21</v>
      </c>
      <c r="F2400" t="s">
        <v>4770</v>
      </c>
      <c r="G2400" t="str">
        <f>"00154422"</f>
        <v>00154422</v>
      </c>
      <c r="H2400" t="s">
        <v>4454</v>
      </c>
      <c r="I2400">
        <v>0</v>
      </c>
      <c r="J2400">
        <v>0</v>
      </c>
      <c r="K2400">
        <v>0</v>
      </c>
      <c r="L2400">
        <v>0</v>
      </c>
      <c r="M2400">
        <v>0</v>
      </c>
      <c r="N2400">
        <v>0</v>
      </c>
      <c r="O2400">
        <v>0</v>
      </c>
      <c r="P2400">
        <v>0</v>
      </c>
      <c r="Q2400">
        <v>0</v>
      </c>
      <c r="R2400">
        <v>0</v>
      </c>
      <c r="S2400">
        <v>0</v>
      </c>
      <c r="T2400">
        <v>0</v>
      </c>
      <c r="U2400">
        <v>0</v>
      </c>
      <c r="V2400">
        <v>6</v>
      </c>
      <c r="W2400">
        <v>42</v>
      </c>
      <c r="X2400">
        <v>0</v>
      </c>
      <c r="Z2400">
        <v>0</v>
      </c>
      <c r="AA2400">
        <v>0</v>
      </c>
      <c r="AB2400">
        <v>0</v>
      </c>
      <c r="AC2400">
        <v>0</v>
      </c>
      <c r="AD2400" t="s">
        <v>4771</v>
      </c>
    </row>
    <row r="2401" spans="1:30" x14ac:dyDescent="0.25">
      <c r="H2401" t="s">
        <v>4772</v>
      </c>
    </row>
    <row r="2402" spans="1:30" x14ac:dyDescent="0.25">
      <c r="A2402">
        <v>1198</v>
      </c>
      <c r="B2402">
        <v>1899</v>
      </c>
      <c r="C2402" t="s">
        <v>2306</v>
      </c>
      <c r="D2402" t="s">
        <v>4773</v>
      </c>
      <c r="E2402" t="s">
        <v>32</v>
      </c>
      <c r="F2402" t="s">
        <v>4774</v>
      </c>
      <c r="G2402" t="str">
        <f>"00209219"</f>
        <v>00209219</v>
      </c>
      <c r="H2402">
        <v>693</v>
      </c>
      <c r="I2402">
        <v>0</v>
      </c>
      <c r="J2402">
        <v>0</v>
      </c>
      <c r="K2402">
        <v>0</v>
      </c>
      <c r="L2402">
        <v>0</v>
      </c>
      <c r="M2402">
        <v>0</v>
      </c>
      <c r="N2402">
        <v>0</v>
      </c>
      <c r="O2402">
        <v>0</v>
      </c>
      <c r="P2402">
        <v>0</v>
      </c>
      <c r="Q2402">
        <v>0</v>
      </c>
      <c r="R2402">
        <v>0</v>
      </c>
      <c r="S2402">
        <v>0</v>
      </c>
      <c r="T2402">
        <v>0</v>
      </c>
      <c r="U2402">
        <v>0</v>
      </c>
      <c r="V2402">
        <v>24</v>
      </c>
      <c r="W2402">
        <v>168</v>
      </c>
      <c r="X2402">
        <v>0</v>
      </c>
      <c r="Z2402">
        <v>1</v>
      </c>
      <c r="AA2402">
        <v>0</v>
      </c>
      <c r="AB2402">
        <v>0</v>
      </c>
      <c r="AC2402">
        <v>0</v>
      </c>
      <c r="AD2402">
        <v>861</v>
      </c>
    </row>
    <row r="2403" spans="1:30" x14ac:dyDescent="0.25">
      <c r="H2403" t="s">
        <v>4775</v>
      </c>
    </row>
    <row r="2404" spans="1:30" x14ac:dyDescent="0.25">
      <c r="A2404">
        <v>1199</v>
      </c>
      <c r="B2404">
        <v>5587</v>
      </c>
      <c r="C2404" t="s">
        <v>3038</v>
      </c>
      <c r="D2404" t="s">
        <v>1563</v>
      </c>
      <c r="E2404" t="s">
        <v>49</v>
      </c>
      <c r="F2404" t="s">
        <v>4776</v>
      </c>
      <c r="G2404" t="str">
        <f>"00338403"</f>
        <v>00338403</v>
      </c>
      <c r="H2404" t="s">
        <v>2006</v>
      </c>
      <c r="I2404">
        <v>0</v>
      </c>
      <c r="J2404">
        <v>0</v>
      </c>
      <c r="K2404">
        <v>0</v>
      </c>
      <c r="L2404">
        <v>0</v>
      </c>
      <c r="M2404">
        <v>0</v>
      </c>
      <c r="N2404">
        <v>50</v>
      </c>
      <c r="O2404">
        <v>0</v>
      </c>
      <c r="P2404">
        <v>0</v>
      </c>
      <c r="Q2404">
        <v>0</v>
      </c>
      <c r="R2404">
        <v>0</v>
      </c>
      <c r="S2404">
        <v>0</v>
      </c>
      <c r="T2404">
        <v>0</v>
      </c>
      <c r="U2404">
        <v>0</v>
      </c>
      <c r="V2404">
        <v>0</v>
      </c>
      <c r="W2404">
        <v>0</v>
      </c>
      <c r="X2404">
        <v>0</v>
      </c>
      <c r="Z2404">
        <v>1</v>
      </c>
      <c r="AA2404">
        <v>0</v>
      </c>
      <c r="AB2404">
        <v>0</v>
      </c>
      <c r="AC2404">
        <v>0</v>
      </c>
      <c r="AD2404" t="s">
        <v>4777</v>
      </c>
    </row>
    <row r="2405" spans="1:30" x14ac:dyDescent="0.25">
      <c r="H2405" t="s">
        <v>4778</v>
      </c>
    </row>
    <row r="2406" spans="1:30" x14ac:dyDescent="0.25">
      <c r="A2406">
        <v>1200</v>
      </c>
      <c r="B2406">
        <v>2547</v>
      </c>
      <c r="C2406" t="s">
        <v>4779</v>
      </c>
      <c r="D2406" t="s">
        <v>107</v>
      </c>
      <c r="E2406" t="s">
        <v>32</v>
      </c>
      <c r="F2406" t="s">
        <v>4780</v>
      </c>
      <c r="G2406" t="str">
        <f>"00316517"</f>
        <v>00316517</v>
      </c>
      <c r="H2406" t="s">
        <v>3510</v>
      </c>
      <c r="I2406">
        <v>0</v>
      </c>
      <c r="J2406">
        <v>0</v>
      </c>
      <c r="K2406">
        <v>0</v>
      </c>
      <c r="L2406">
        <v>0</v>
      </c>
      <c r="M2406">
        <v>0</v>
      </c>
      <c r="N2406">
        <v>30</v>
      </c>
      <c r="O2406">
        <v>0</v>
      </c>
      <c r="P2406">
        <v>0</v>
      </c>
      <c r="Q2406">
        <v>0</v>
      </c>
      <c r="R2406">
        <v>0</v>
      </c>
      <c r="S2406">
        <v>0</v>
      </c>
      <c r="T2406">
        <v>0</v>
      </c>
      <c r="U2406">
        <v>0</v>
      </c>
      <c r="V2406">
        <v>17</v>
      </c>
      <c r="W2406">
        <v>119</v>
      </c>
      <c r="X2406">
        <v>0</v>
      </c>
      <c r="Z2406">
        <v>0</v>
      </c>
      <c r="AA2406">
        <v>0</v>
      </c>
      <c r="AB2406">
        <v>0</v>
      </c>
      <c r="AC2406">
        <v>0</v>
      </c>
      <c r="AD2406" t="s">
        <v>4777</v>
      </c>
    </row>
    <row r="2407" spans="1:30" x14ac:dyDescent="0.25">
      <c r="H2407" t="s">
        <v>4781</v>
      </c>
    </row>
    <row r="2408" spans="1:30" x14ac:dyDescent="0.25">
      <c r="A2408">
        <v>1201</v>
      </c>
      <c r="B2408">
        <v>2817</v>
      </c>
      <c r="C2408" t="s">
        <v>4782</v>
      </c>
      <c r="D2408" t="s">
        <v>1480</v>
      </c>
      <c r="E2408" t="s">
        <v>120</v>
      </c>
      <c r="F2408" t="s">
        <v>4783</v>
      </c>
      <c r="G2408" t="str">
        <f>"00097632"</f>
        <v>00097632</v>
      </c>
      <c r="H2408" t="s">
        <v>1080</v>
      </c>
      <c r="I2408">
        <v>0</v>
      </c>
      <c r="J2408">
        <v>0</v>
      </c>
      <c r="K2408">
        <v>0</v>
      </c>
      <c r="L2408">
        <v>0</v>
      </c>
      <c r="M2408">
        <v>0</v>
      </c>
      <c r="N2408">
        <v>0</v>
      </c>
      <c r="O2408">
        <v>0</v>
      </c>
      <c r="P2408">
        <v>0</v>
      </c>
      <c r="Q2408">
        <v>0</v>
      </c>
      <c r="R2408">
        <v>0</v>
      </c>
      <c r="S2408">
        <v>0</v>
      </c>
      <c r="T2408">
        <v>0</v>
      </c>
      <c r="U2408">
        <v>0</v>
      </c>
      <c r="V2408">
        <v>26</v>
      </c>
      <c r="W2408">
        <v>182</v>
      </c>
      <c r="X2408">
        <v>0</v>
      </c>
      <c r="Z2408">
        <v>0</v>
      </c>
      <c r="AA2408">
        <v>0</v>
      </c>
      <c r="AB2408">
        <v>0</v>
      </c>
      <c r="AC2408">
        <v>0</v>
      </c>
      <c r="AD2408" t="s">
        <v>4777</v>
      </c>
    </row>
    <row r="2409" spans="1:30" x14ac:dyDescent="0.25">
      <c r="H2409" t="s">
        <v>4784</v>
      </c>
    </row>
    <row r="2410" spans="1:30" x14ac:dyDescent="0.25">
      <c r="A2410">
        <v>1202</v>
      </c>
      <c r="B2410">
        <v>1654</v>
      </c>
      <c r="C2410" t="s">
        <v>4785</v>
      </c>
      <c r="D2410" t="s">
        <v>28</v>
      </c>
      <c r="E2410" t="s">
        <v>50</v>
      </c>
      <c r="F2410" t="s">
        <v>4786</v>
      </c>
      <c r="G2410" t="str">
        <f>"00230178"</f>
        <v>00230178</v>
      </c>
      <c r="H2410" t="s">
        <v>1554</v>
      </c>
      <c r="I2410">
        <v>0</v>
      </c>
      <c r="J2410">
        <v>0</v>
      </c>
      <c r="K2410">
        <v>0</v>
      </c>
      <c r="L2410">
        <v>0</v>
      </c>
      <c r="M2410">
        <v>0</v>
      </c>
      <c r="N2410">
        <v>70</v>
      </c>
      <c r="O2410">
        <v>0</v>
      </c>
      <c r="P2410">
        <v>0</v>
      </c>
      <c r="Q2410">
        <v>0</v>
      </c>
      <c r="R2410">
        <v>0</v>
      </c>
      <c r="S2410">
        <v>0</v>
      </c>
      <c r="T2410">
        <v>0</v>
      </c>
      <c r="U2410">
        <v>0</v>
      </c>
      <c r="V2410">
        <v>0</v>
      </c>
      <c r="W2410">
        <v>0</v>
      </c>
      <c r="X2410">
        <v>0</v>
      </c>
      <c r="Z2410">
        <v>0</v>
      </c>
      <c r="AA2410">
        <v>0</v>
      </c>
      <c r="AB2410">
        <v>0</v>
      </c>
      <c r="AC2410">
        <v>0</v>
      </c>
      <c r="AD2410" t="s">
        <v>4787</v>
      </c>
    </row>
    <row r="2411" spans="1:30" x14ac:dyDescent="0.25">
      <c r="H2411" t="s">
        <v>4788</v>
      </c>
    </row>
    <row r="2412" spans="1:30" x14ac:dyDescent="0.25">
      <c r="A2412">
        <v>1203</v>
      </c>
      <c r="B2412">
        <v>4715</v>
      </c>
      <c r="C2412" t="s">
        <v>4789</v>
      </c>
      <c r="D2412" t="s">
        <v>218</v>
      </c>
      <c r="E2412" t="s">
        <v>84</v>
      </c>
      <c r="F2412" t="s">
        <v>4790</v>
      </c>
      <c r="G2412" t="str">
        <f>"201411003474"</f>
        <v>201411003474</v>
      </c>
      <c r="H2412" t="s">
        <v>1086</v>
      </c>
      <c r="I2412">
        <v>0</v>
      </c>
      <c r="J2412">
        <v>0</v>
      </c>
      <c r="K2412">
        <v>0</v>
      </c>
      <c r="L2412">
        <v>0</v>
      </c>
      <c r="M2412">
        <v>0</v>
      </c>
      <c r="N2412">
        <v>30</v>
      </c>
      <c r="O2412">
        <v>0</v>
      </c>
      <c r="P2412">
        <v>0</v>
      </c>
      <c r="Q2412">
        <v>0</v>
      </c>
      <c r="R2412">
        <v>0</v>
      </c>
      <c r="S2412">
        <v>0</v>
      </c>
      <c r="T2412">
        <v>0</v>
      </c>
      <c r="U2412">
        <v>0</v>
      </c>
      <c r="V2412">
        <v>0</v>
      </c>
      <c r="W2412">
        <v>0</v>
      </c>
      <c r="X2412">
        <v>0</v>
      </c>
      <c r="Z2412">
        <v>0</v>
      </c>
      <c r="AA2412">
        <v>0</v>
      </c>
      <c r="AB2412">
        <v>5</v>
      </c>
      <c r="AC2412">
        <v>85</v>
      </c>
      <c r="AD2412" t="s">
        <v>4791</v>
      </c>
    </row>
    <row r="2413" spans="1:30" x14ac:dyDescent="0.25">
      <c r="H2413" t="s">
        <v>4792</v>
      </c>
    </row>
    <row r="2414" spans="1:30" x14ac:dyDescent="0.25">
      <c r="A2414">
        <v>1204</v>
      </c>
      <c r="B2414">
        <v>1404</v>
      </c>
      <c r="C2414" t="s">
        <v>4793</v>
      </c>
      <c r="D2414" t="s">
        <v>1169</v>
      </c>
      <c r="E2414" t="s">
        <v>102</v>
      </c>
      <c r="F2414" t="s">
        <v>4794</v>
      </c>
      <c r="G2414" t="str">
        <f>"200902000240"</f>
        <v>200902000240</v>
      </c>
      <c r="H2414" t="s">
        <v>872</v>
      </c>
      <c r="I2414">
        <v>0</v>
      </c>
      <c r="J2414">
        <v>0</v>
      </c>
      <c r="K2414">
        <v>0</v>
      </c>
      <c r="L2414">
        <v>0</v>
      </c>
      <c r="M2414">
        <v>0</v>
      </c>
      <c r="N2414">
        <v>70</v>
      </c>
      <c r="O2414">
        <v>0</v>
      </c>
      <c r="P2414">
        <v>0</v>
      </c>
      <c r="Q2414">
        <v>0</v>
      </c>
      <c r="R2414">
        <v>0</v>
      </c>
      <c r="S2414">
        <v>0</v>
      </c>
      <c r="T2414">
        <v>0</v>
      </c>
      <c r="U2414">
        <v>0</v>
      </c>
      <c r="V2414">
        <v>12</v>
      </c>
      <c r="W2414">
        <v>84</v>
      </c>
      <c r="X2414">
        <v>0</v>
      </c>
      <c r="Z2414">
        <v>0</v>
      </c>
      <c r="AA2414">
        <v>0</v>
      </c>
      <c r="AB2414">
        <v>0</v>
      </c>
      <c r="AC2414">
        <v>0</v>
      </c>
      <c r="AD2414" t="s">
        <v>72</v>
      </c>
    </row>
    <row r="2415" spans="1:30" x14ac:dyDescent="0.25">
      <c r="H2415" t="s">
        <v>4795</v>
      </c>
    </row>
    <row r="2416" spans="1:30" x14ac:dyDescent="0.25">
      <c r="A2416">
        <v>1205</v>
      </c>
      <c r="B2416">
        <v>2874</v>
      </c>
      <c r="C2416" t="s">
        <v>4796</v>
      </c>
      <c r="D2416" t="s">
        <v>3064</v>
      </c>
      <c r="E2416" t="s">
        <v>77</v>
      </c>
      <c r="F2416" t="s">
        <v>4797</v>
      </c>
      <c r="G2416" t="str">
        <f>"00293638"</f>
        <v>00293638</v>
      </c>
      <c r="H2416" t="s">
        <v>4798</v>
      </c>
      <c r="I2416">
        <v>0</v>
      </c>
      <c r="J2416">
        <v>0</v>
      </c>
      <c r="K2416">
        <v>0</v>
      </c>
      <c r="L2416">
        <v>0</v>
      </c>
      <c r="M2416">
        <v>0</v>
      </c>
      <c r="N2416">
        <v>0</v>
      </c>
      <c r="O2416">
        <v>0</v>
      </c>
      <c r="P2416">
        <v>0</v>
      </c>
      <c r="Q2416">
        <v>0</v>
      </c>
      <c r="R2416">
        <v>0</v>
      </c>
      <c r="S2416">
        <v>0</v>
      </c>
      <c r="T2416">
        <v>0</v>
      </c>
      <c r="U2416">
        <v>0</v>
      </c>
      <c r="V2416">
        <v>0</v>
      </c>
      <c r="W2416">
        <v>0</v>
      </c>
      <c r="X2416">
        <v>0</v>
      </c>
      <c r="Z2416">
        <v>2</v>
      </c>
      <c r="AA2416">
        <v>0</v>
      </c>
      <c r="AB2416">
        <v>0</v>
      </c>
      <c r="AC2416">
        <v>0</v>
      </c>
      <c r="AD2416" t="s">
        <v>4798</v>
      </c>
    </row>
    <row r="2417" spans="1:30" x14ac:dyDescent="0.25">
      <c r="H2417" t="s">
        <v>4799</v>
      </c>
    </row>
    <row r="2418" spans="1:30" x14ac:dyDescent="0.25">
      <c r="A2418">
        <v>1206</v>
      </c>
      <c r="B2418">
        <v>2693</v>
      </c>
      <c r="C2418" t="s">
        <v>4800</v>
      </c>
      <c r="D2418" t="s">
        <v>283</v>
      </c>
      <c r="E2418" t="s">
        <v>299</v>
      </c>
      <c r="F2418" t="s">
        <v>4801</v>
      </c>
      <c r="G2418" t="str">
        <f>"200712005597"</f>
        <v>200712005597</v>
      </c>
      <c r="H2418" t="s">
        <v>339</v>
      </c>
      <c r="I2418">
        <v>0</v>
      </c>
      <c r="J2418">
        <v>0</v>
      </c>
      <c r="K2418">
        <v>0</v>
      </c>
      <c r="L2418">
        <v>0</v>
      </c>
      <c r="M2418">
        <v>0</v>
      </c>
      <c r="N2418">
        <v>70</v>
      </c>
      <c r="O2418">
        <v>0</v>
      </c>
      <c r="P2418">
        <v>0</v>
      </c>
      <c r="Q2418">
        <v>0</v>
      </c>
      <c r="R2418">
        <v>30</v>
      </c>
      <c r="S2418">
        <v>0</v>
      </c>
      <c r="T2418">
        <v>0</v>
      </c>
      <c r="U2418">
        <v>0</v>
      </c>
      <c r="V2418">
        <v>0</v>
      </c>
      <c r="W2418">
        <v>0</v>
      </c>
      <c r="X2418">
        <v>0</v>
      </c>
      <c r="Z2418">
        <v>2</v>
      </c>
      <c r="AA2418">
        <v>0</v>
      </c>
      <c r="AB2418">
        <v>0</v>
      </c>
      <c r="AC2418">
        <v>0</v>
      </c>
      <c r="AD2418" t="s">
        <v>4802</v>
      </c>
    </row>
    <row r="2419" spans="1:30" x14ac:dyDescent="0.25">
      <c r="H2419" t="s">
        <v>4803</v>
      </c>
    </row>
    <row r="2420" spans="1:30" x14ac:dyDescent="0.25">
      <c r="A2420">
        <v>1207</v>
      </c>
      <c r="B2420">
        <v>4831</v>
      </c>
      <c r="C2420" t="s">
        <v>4804</v>
      </c>
      <c r="D2420" t="s">
        <v>598</v>
      </c>
      <c r="E2420" t="s">
        <v>49</v>
      </c>
      <c r="F2420" t="s">
        <v>4805</v>
      </c>
      <c r="G2420" t="str">
        <f>"00268213"</f>
        <v>00268213</v>
      </c>
      <c r="H2420" t="s">
        <v>4454</v>
      </c>
      <c r="I2420">
        <v>0</v>
      </c>
      <c r="J2420">
        <v>0</v>
      </c>
      <c r="K2420">
        <v>0</v>
      </c>
      <c r="L2420">
        <v>0</v>
      </c>
      <c r="M2420">
        <v>0</v>
      </c>
      <c r="N2420">
        <v>0</v>
      </c>
      <c r="O2420">
        <v>0</v>
      </c>
      <c r="P2420">
        <v>0</v>
      </c>
      <c r="Q2420">
        <v>0</v>
      </c>
      <c r="R2420">
        <v>0</v>
      </c>
      <c r="S2420">
        <v>0</v>
      </c>
      <c r="T2420">
        <v>0</v>
      </c>
      <c r="U2420">
        <v>0</v>
      </c>
      <c r="V2420">
        <v>5</v>
      </c>
      <c r="W2420">
        <v>35</v>
      </c>
      <c r="X2420">
        <v>0</v>
      </c>
      <c r="Z2420">
        <v>0</v>
      </c>
      <c r="AA2420">
        <v>0</v>
      </c>
      <c r="AB2420">
        <v>0</v>
      </c>
      <c r="AC2420">
        <v>0</v>
      </c>
      <c r="AD2420" t="s">
        <v>4806</v>
      </c>
    </row>
    <row r="2421" spans="1:30" x14ac:dyDescent="0.25">
      <c r="H2421" t="s">
        <v>4807</v>
      </c>
    </row>
    <row r="2422" spans="1:30" x14ac:dyDescent="0.25">
      <c r="A2422">
        <v>1208</v>
      </c>
      <c r="B2422">
        <v>3233</v>
      </c>
      <c r="C2422" t="s">
        <v>4808</v>
      </c>
      <c r="D2422" t="s">
        <v>95</v>
      </c>
      <c r="E2422" t="s">
        <v>102</v>
      </c>
      <c r="F2422" t="s">
        <v>4809</v>
      </c>
      <c r="G2422" t="str">
        <f>"00366194"</f>
        <v>00366194</v>
      </c>
      <c r="H2422" t="s">
        <v>1868</v>
      </c>
      <c r="I2422">
        <v>0</v>
      </c>
      <c r="J2422">
        <v>0</v>
      </c>
      <c r="K2422">
        <v>0</v>
      </c>
      <c r="L2422">
        <v>0</v>
      </c>
      <c r="M2422">
        <v>0</v>
      </c>
      <c r="N2422">
        <v>30</v>
      </c>
      <c r="O2422">
        <v>0</v>
      </c>
      <c r="P2422">
        <v>0</v>
      </c>
      <c r="Q2422">
        <v>0</v>
      </c>
      <c r="R2422">
        <v>0</v>
      </c>
      <c r="S2422">
        <v>0</v>
      </c>
      <c r="T2422">
        <v>0</v>
      </c>
      <c r="U2422">
        <v>0</v>
      </c>
      <c r="V2422">
        <v>11</v>
      </c>
      <c r="W2422">
        <v>77</v>
      </c>
      <c r="X2422">
        <v>0</v>
      </c>
      <c r="Z2422">
        <v>0</v>
      </c>
      <c r="AA2422">
        <v>0</v>
      </c>
      <c r="AB2422">
        <v>0</v>
      </c>
      <c r="AC2422">
        <v>0</v>
      </c>
      <c r="AD2422" t="s">
        <v>4810</v>
      </c>
    </row>
    <row r="2423" spans="1:30" x14ac:dyDescent="0.25">
      <c r="H2423" t="s">
        <v>4811</v>
      </c>
    </row>
    <row r="2424" spans="1:30" x14ac:dyDescent="0.25">
      <c r="A2424">
        <v>1209</v>
      </c>
      <c r="B2424">
        <v>4125</v>
      </c>
      <c r="C2424" t="s">
        <v>4812</v>
      </c>
      <c r="D2424" t="s">
        <v>397</v>
      </c>
      <c r="E2424" t="s">
        <v>2455</v>
      </c>
      <c r="F2424" t="s">
        <v>4813</v>
      </c>
      <c r="G2424" t="str">
        <f>"00156993"</f>
        <v>00156993</v>
      </c>
      <c r="H2424" t="s">
        <v>855</v>
      </c>
      <c r="I2424">
        <v>0</v>
      </c>
      <c r="J2424">
        <v>0</v>
      </c>
      <c r="K2424">
        <v>0</v>
      </c>
      <c r="L2424">
        <v>0</v>
      </c>
      <c r="M2424">
        <v>0</v>
      </c>
      <c r="N2424">
        <v>30</v>
      </c>
      <c r="O2424">
        <v>0</v>
      </c>
      <c r="P2424">
        <v>0</v>
      </c>
      <c r="Q2424">
        <v>0</v>
      </c>
      <c r="R2424">
        <v>0</v>
      </c>
      <c r="S2424">
        <v>0</v>
      </c>
      <c r="T2424">
        <v>0</v>
      </c>
      <c r="U2424">
        <v>0</v>
      </c>
      <c r="V2424">
        <v>18</v>
      </c>
      <c r="W2424">
        <v>126</v>
      </c>
      <c r="X2424">
        <v>0</v>
      </c>
      <c r="Z2424">
        <v>1</v>
      </c>
      <c r="AA2424">
        <v>0</v>
      </c>
      <c r="AB2424">
        <v>0</v>
      </c>
      <c r="AC2424">
        <v>0</v>
      </c>
      <c r="AD2424" t="s">
        <v>4814</v>
      </c>
    </row>
    <row r="2425" spans="1:30" x14ac:dyDescent="0.25">
      <c r="H2425" t="s">
        <v>4815</v>
      </c>
    </row>
    <row r="2426" spans="1:30" x14ac:dyDescent="0.25">
      <c r="A2426">
        <v>1210</v>
      </c>
      <c r="B2426">
        <v>1280</v>
      </c>
      <c r="C2426" t="s">
        <v>4816</v>
      </c>
      <c r="D2426" t="s">
        <v>166</v>
      </c>
      <c r="E2426" t="s">
        <v>4817</v>
      </c>
      <c r="F2426" t="s">
        <v>4818</v>
      </c>
      <c r="G2426" t="str">
        <f>"00187343"</f>
        <v>00187343</v>
      </c>
      <c r="H2426" t="s">
        <v>1057</v>
      </c>
      <c r="I2426">
        <v>0</v>
      </c>
      <c r="J2426">
        <v>0</v>
      </c>
      <c r="K2426">
        <v>0</v>
      </c>
      <c r="L2426">
        <v>0</v>
      </c>
      <c r="M2426">
        <v>0</v>
      </c>
      <c r="N2426">
        <v>30</v>
      </c>
      <c r="O2426">
        <v>0</v>
      </c>
      <c r="P2426">
        <v>0</v>
      </c>
      <c r="Q2426">
        <v>0</v>
      </c>
      <c r="R2426">
        <v>0</v>
      </c>
      <c r="S2426">
        <v>0</v>
      </c>
      <c r="T2426">
        <v>0</v>
      </c>
      <c r="U2426">
        <v>0</v>
      </c>
      <c r="V2426">
        <v>18</v>
      </c>
      <c r="W2426">
        <v>126</v>
      </c>
      <c r="X2426">
        <v>0</v>
      </c>
      <c r="Z2426">
        <v>0</v>
      </c>
      <c r="AA2426">
        <v>0</v>
      </c>
      <c r="AB2426">
        <v>0</v>
      </c>
      <c r="AC2426">
        <v>0</v>
      </c>
      <c r="AD2426" t="s">
        <v>4819</v>
      </c>
    </row>
    <row r="2427" spans="1:30" x14ac:dyDescent="0.25">
      <c r="H2427" t="s">
        <v>4820</v>
      </c>
    </row>
    <row r="2428" spans="1:30" x14ac:dyDescent="0.25">
      <c r="A2428">
        <v>1211</v>
      </c>
      <c r="B2428">
        <v>4975</v>
      </c>
      <c r="C2428" t="s">
        <v>4821</v>
      </c>
      <c r="D2428" t="s">
        <v>76</v>
      </c>
      <c r="E2428" t="s">
        <v>84</v>
      </c>
      <c r="F2428" t="s">
        <v>4822</v>
      </c>
      <c r="G2428" t="str">
        <f>"00222722"</f>
        <v>00222722</v>
      </c>
      <c r="H2428" t="s">
        <v>1100</v>
      </c>
      <c r="I2428">
        <v>0</v>
      </c>
      <c r="J2428">
        <v>0</v>
      </c>
      <c r="K2428">
        <v>0</v>
      </c>
      <c r="L2428">
        <v>0</v>
      </c>
      <c r="M2428">
        <v>100</v>
      </c>
      <c r="N2428">
        <v>30</v>
      </c>
      <c r="O2428">
        <v>0</v>
      </c>
      <c r="P2428">
        <v>0</v>
      </c>
      <c r="Q2428">
        <v>0</v>
      </c>
      <c r="R2428">
        <v>0</v>
      </c>
      <c r="S2428">
        <v>0</v>
      </c>
      <c r="T2428">
        <v>0</v>
      </c>
      <c r="U2428">
        <v>0</v>
      </c>
      <c r="V2428">
        <v>0</v>
      </c>
      <c r="W2428">
        <v>0</v>
      </c>
      <c r="X2428">
        <v>0</v>
      </c>
      <c r="Z2428">
        <v>0</v>
      </c>
      <c r="AA2428">
        <v>0</v>
      </c>
      <c r="AB2428">
        <v>0</v>
      </c>
      <c r="AC2428">
        <v>0</v>
      </c>
      <c r="AD2428" t="s">
        <v>4823</v>
      </c>
    </row>
    <row r="2429" spans="1:30" x14ac:dyDescent="0.25">
      <c r="H2429" t="s">
        <v>4824</v>
      </c>
    </row>
    <row r="2430" spans="1:30" x14ac:dyDescent="0.25">
      <c r="A2430">
        <v>1212</v>
      </c>
      <c r="B2430">
        <v>6023</v>
      </c>
      <c r="C2430" t="s">
        <v>4825</v>
      </c>
      <c r="D2430" t="s">
        <v>185</v>
      </c>
      <c r="E2430" t="s">
        <v>49</v>
      </c>
      <c r="F2430" t="s">
        <v>4826</v>
      </c>
      <c r="G2430" t="str">
        <f>"00087081"</f>
        <v>00087081</v>
      </c>
      <c r="H2430" t="s">
        <v>2598</v>
      </c>
      <c r="I2430">
        <v>0</v>
      </c>
      <c r="J2430">
        <v>0</v>
      </c>
      <c r="K2430">
        <v>0</v>
      </c>
      <c r="L2430">
        <v>0</v>
      </c>
      <c r="M2430">
        <v>0</v>
      </c>
      <c r="N2430">
        <v>0</v>
      </c>
      <c r="O2430">
        <v>0</v>
      </c>
      <c r="P2430">
        <v>0</v>
      </c>
      <c r="Q2430">
        <v>0</v>
      </c>
      <c r="R2430">
        <v>0</v>
      </c>
      <c r="S2430">
        <v>0</v>
      </c>
      <c r="T2430">
        <v>0</v>
      </c>
      <c r="U2430">
        <v>0</v>
      </c>
      <c r="V2430">
        <v>29</v>
      </c>
      <c r="W2430">
        <v>203</v>
      </c>
      <c r="X2430">
        <v>0</v>
      </c>
      <c r="Z2430">
        <v>0</v>
      </c>
      <c r="AA2430">
        <v>0</v>
      </c>
      <c r="AB2430">
        <v>0</v>
      </c>
      <c r="AC2430">
        <v>0</v>
      </c>
      <c r="AD2430" t="s">
        <v>4827</v>
      </c>
    </row>
    <row r="2431" spans="1:30" x14ac:dyDescent="0.25">
      <c r="H2431" t="s">
        <v>4828</v>
      </c>
    </row>
    <row r="2432" spans="1:30" x14ac:dyDescent="0.25">
      <c r="A2432">
        <v>1213</v>
      </c>
      <c r="B2432">
        <v>4562</v>
      </c>
      <c r="C2432" t="s">
        <v>4829</v>
      </c>
      <c r="D2432" t="s">
        <v>2641</v>
      </c>
      <c r="E2432" t="s">
        <v>102</v>
      </c>
      <c r="F2432" t="s">
        <v>4830</v>
      </c>
      <c r="G2432" t="str">
        <f>"00274159"</f>
        <v>00274159</v>
      </c>
      <c r="H2432" t="s">
        <v>1202</v>
      </c>
      <c r="I2432">
        <v>0</v>
      </c>
      <c r="J2432">
        <v>0</v>
      </c>
      <c r="K2432">
        <v>0</v>
      </c>
      <c r="L2432">
        <v>0</v>
      </c>
      <c r="M2432">
        <v>0</v>
      </c>
      <c r="N2432">
        <v>0</v>
      </c>
      <c r="O2432">
        <v>0</v>
      </c>
      <c r="P2432">
        <v>0</v>
      </c>
      <c r="Q2432">
        <v>0</v>
      </c>
      <c r="R2432">
        <v>0</v>
      </c>
      <c r="S2432">
        <v>0</v>
      </c>
      <c r="T2432">
        <v>0</v>
      </c>
      <c r="U2432">
        <v>0</v>
      </c>
      <c r="V2432">
        <v>6</v>
      </c>
      <c r="W2432">
        <v>42</v>
      </c>
      <c r="X2432">
        <v>0</v>
      </c>
      <c r="Z2432">
        <v>2</v>
      </c>
      <c r="AA2432">
        <v>0</v>
      </c>
      <c r="AB2432">
        <v>6</v>
      </c>
      <c r="AC2432">
        <v>102</v>
      </c>
      <c r="AD2432" t="s">
        <v>4831</v>
      </c>
    </row>
    <row r="2433" spans="1:30" x14ac:dyDescent="0.25">
      <c r="H2433" t="s">
        <v>4832</v>
      </c>
    </row>
    <row r="2434" spans="1:30" x14ac:dyDescent="0.25">
      <c r="A2434">
        <v>1214</v>
      </c>
      <c r="B2434">
        <v>2090</v>
      </c>
      <c r="C2434" t="s">
        <v>4833</v>
      </c>
      <c r="D2434" t="s">
        <v>77</v>
      </c>
      <c r="E2434" t="s">
        <v>28</v>
      </c>
      <c r="F2434" t="s">
        <v>4834</v>
      </c>
      <c r="G2434" t="str">
        <f>"201412002736"</f>
        <v>201412002736</v>
      </c>
      <c r="H2434" t="s">
        <v>4835</v>
      </c>
      <c r="I2434">
        <v>0</v>
      </c>
      <c r="J2434">
        <v>0</v>
      </c>
      <c r="K2434">
        <v>0</v>
      </c>
      <c r="L2434">
        <v>0</v>
      </c>
      <c r="M2434">
        <v>0</v>
      </c>
      <c r="N2434">
        <v>30</v>
      </c>
      <c r="O2434">
        <v>0</v>
      </c>
      <c r="P2434">
        <v>0</v>
      </c>
      <c r="Q2434">
        <v>0</v>
      </c>
      <c r="R2434">
        <v>0</v>
      </c>
      <c r="S2434">
        <v>0</v>
      </c>
      <c r="T2434">
        <v>0</v>
      </c>
      <c r="U2434">
        <v>0</v>
      </c>
      <c r="V2434">
        <v>6</v>
      </c>
      <c r="W2434">
        <v>42</v>
      </c>
      <c r="X2434">
        <v>0</v>
      </c>
      <c r="Z2434">
        <v>0</v>
      </c>
      <c r="AA2434">
        <v>0</v>
      </c>
      <c r="AB2434">
        <v>0</v>
      </c>
      <c r="AC2434">
        <v>0</v>
      </c>
      <c r="AD2434" t="s">
        <v>4836</v>
      </c>
    </row>
    <row r="2435" spans="1:30" x14ac:dyDescent="0.25">
      <c r="H2435" t="s">
        <v>1292</v>
      </c>
    </row>
    <row r="2436" spans="1:30" x14ac:dyDescent="0.25">
      <c r="A2436">
        <v>1215</v>
      </c>
      <c r="B2436">
        <v>3942</v>
      </c>
      <c r="C2436" t="s">
        <v>4837</v>
      </c>
      <c r="D2436" t="s">
        <v>191</v>
      </c>
      <c r="E2436" t="s">
        <v>120</v>
      </c>
      <c r="F2436" t="s">
        <v>4838</v>
      </c>
      <c r="G2436" t="str">
        <f>"201412002741"</f>
        <v>201412002741</v>
      </c>
      <c r="H2436" t="s">
        <v>976</v>
      </c>
      <c r="I2436">
        <v>0</v>
      </c>
      <c r="J2436">
        <v>0</v>
      </c>
      <c r="K2436">
        <v>0</v>
      </c>
      <c r="L2436">
        <v>0</v>
      </c>
      <c r="M2436">
        <v>0</v>
      </c>
      <c r="N2436">
        <v>30</v>
      </c>
      <c r="O2436">
        <v>0</v>
      </c>
      <c r="P2436">
        <v>0</v>
      </c>
      <c r="Q2436">
        <v>0</v>
      </c>
      <c r="R2436">
        <v>0</v>
      </c>
      <c r="S2436">
        <v>0</v>
      </c>
      <c r="T2436">
        <v>0</v>
      </c>
      <c r="U2436">
        <v>0</v>
      </c>
      <c r="V2436">
        <v>0</v>
      </c>
      <c r="W2436">
        <v>0</v>
      </c>
      <c r="X2436">
        <v>0</v>
      </c>
      <c r="Z2436">
        <v>0</v>
      </c>
      <c r="AA2436">
        <v>0</v>
      </c>
      <c r="AB2436">
        <v>0</v>
      </c>
      <c r="AC2436">
        <v>0</v>
      </c>
      <c r="AD2436" t="s">
        <v>4839</v>
      </c>
    </row>
    <row r="2437" spans="1:30" x14ac:dyDescent="0.25">
      <c r="H2437" t="s">
        <v>4840</v>
      </c>
    </row>
    <row r="2438" spans="1:30" x14ac:dyDescent="0.25">
      <c r="A2438">
        <v>1216</v>
      </c>
      <c r="B2438">
        <v>2394</v>
      </c>
      <c r="C2438" t="s">
        <v>4841</v>
      </c>
      <c r="D2438" t="s">
        <v>180</v>
      </c>
      <c r="E2438" t="s">
        <v>120</v>
      </c>
      <c r="F2438" t="s">
        <v>4842</v>
      </c>
      <c r="G2438" t="str">
        <f>"00124156"</f>
        <v>00124156</v>
      </c>
      <c r="H2438" t="s">
        <v>527</v>
      </c>
      <c r="I2438">
        <v>0</v>
      </c>
      <c r="J2438">
        <v>0</v>
      </c>
      <c r="K2438">
        <v>0</v>
      </c>
      <c r="L2438">
        <v>0</v>
      </c>
      <c r="M2438">
        <v>0</v>
      </c>
      <c r="N2438">
        <v>30</v>
      </c>
      <c r="O2438">
        <v>0</v>
      </c>
      <c r="P2438">
        <v>0</v>
      </c>
      <c r="Q2438">
        <v>0</v>
      </c>
      <c r="R2438">
        <v>0</v>
      </c>
      <c r="S2438">
        <v>0</v>
      </c>
      <c r="T2438">
        <v>0</v>
      </c>
      <c r="U2438">
        <v>0</v>
      </c>
      <c r="V2438">
        <v>9</v>
      </c>
      <c r="W2438">
        <v>63</v>
      </c>
      <c r="X2438">
        <v>0</v>
      </c>
      <c r="Z2438">
        <v>1</v>
      </c>
      <c r="AA2438">
        <v>0</v>
      </c>
      <c r="AB2438">
        <v>0</v>
      </c>
      <c r="AC2438">
        <v>0</v>
      </c>
      <c r="AD2438" t="s">
        <v>4843</v>
      </c>
    </row>
    <row r="2439" spans="1:30" x14ac:dyDescent="0.25">
      <c r="H2439" t="s">
        <v>4844</v>
      </c>
    </row>
    <row r="2440" spans="1:30" x14ac:dyDescent="0.25">
      <c r="A2440">
        <v>1217</v>
      </c>
      <c r="B2440">
        <v>1710</v>
      </c>
      <c r="C2440" t="s">
        <v>4845</v>
      </c>
      <c r="D2440" t="s">
        <v>76</v>
      </c>
      <c r="E2440" t="s">
        <v>64</v>
      </c>
      <c r="F2440" t="s">
        <v>4846</v>
      </c>
      <c r="G2440" t="str">
        <f>"200802010039"</f>
        <v>200802010039</v>
      </c>
      <c r="H2440" t="s">
        <v>380</v>
      </c>
      <c r="I2440">
        <v>0</v>
      </c>
      <c r="J2440">
        <v>0</v>
      </c>
      <c r="K2440">
        <v>0</v>
      </c>
      <c r="L2440">
        <v>0</v>
      </c>
      <c r="M2440">
        <v>0</v>
      </c>
      <c r="N2440">
        <v>50</v>
      </c>
      <c r="O2440">
        <v>0</v>
      </c>
      <c r="P2440">
        <v>0</v>
      </c>
      <c r="Q2440">
        <v>50</v>
      </c>
      <c r="R2440">
        <v>0</v>
      </c>
      <c r="S2440">
        <v>0</v>
      </c>
      <c r="T2440">
        <v>0</v>
      </c>
      <c r="U2440">
        <v>0</v>
      </c>
      <c r="V2440">
        <v>10</v>
      </c>
      <c r="W2440">
        <v>70</v>
      </c>
      <c r="X2440">
        <v>0</v>
      </c>
      <c r="Z2440">
        <v>0</v>
      </c>
      <c r="AA2440">
        <v>0</v>
      </c>
      <c r="AB2440">
        <v>0</v>
      </c>
      <c r="AC2440">
        <v>0</v>
      </c>
      <c r="AD2440" t="s">
        <v>4843</v>
      </c>
    </row>
    <row r="2441" spans="1:30" x14ac:dyDescent="0.25">
      <c r="H2441" t="s">
        <v>4847</v>
      </c>
    </row>
    <row r="2442" spans="1:30" x14ac:dyDescent="0.25">
      <c r="A2442">
        <v>1218</v>
      </c>
      <c r="B2442">
        <v>3105</v>
      </c>
      <c r="C2442" t="s">
        <v>4848</v>
      </c>
      <c r="D2442" t="s">
        <v>64</v>
      </c>
      <c r="E2442" t="s">
        <v>167</v>
      </c>
      <c r="F2442" t="s">
        <v>4849</v>
      </c>
      <c r="G2442" t="str">
        <f>"00107316"</f>
        <v>00107316</v>
      </c>
      <c r="H2442" t="s">
        <v>877</v>
      </c>
      <c r="I2442">
        <v>0</v>
      </c>
      <c r="J2442">
        <v>0</v>
      </c>
      <c r="K2442">
        <v>0</v>
      </c>
      <c r="L2442">
        <v>0</v>
      </c>
      <c r="M2442">
        <v>0</v>
      </c>
      <c r="N2442">
        <v>30</v>
      </c>
      <c r="O2442">
        <v>0</v>
      </c>
      <c r="P2442">
        <v>0</v>
      </c>
      <c r="Q2442">
        <v>0</v>
      </c>
      <c r="R2442">
        <v>0</v>
      </c>
      <c r="S2442">
        <v>0</v>
      </c>
      <c r="T2442">
        <v>0</v>
      </c>
      <c r="U2442">
        <v>0</v>
      </c>
      <c r="V2442">
        <v>17</v>
      </c>
      <c r="W2442">
        <v>119</v>
      </c>
      <c r="X2442">
        <v>0</v>
      </c>
      <c r="Z2442">
        <v>0</v>
      </c>
      <c r="AA2442">
        <v>0</v>
      </c>
      <c r="AB2442">
        <v>0</v>
      </c>
      <c r="AC2442">
        <v>0</v>
      </c>
      <c r="AD2442" t="s">
        <v>4850</v>
      </c>
    </row>
    <row r="2443" spans="1:30" x14ac:dyDescent="0.25">
      <c r="H2443" t="s">
        <v>4851</v>
      </c>
    </row>
    <row r="2444" spans="1:30" x14ac:dyDescent="0.25">
      <c r="A2444">
        <v>1219</v>
      </c>
      <c r="B2444">
        <v>5642</v>
      </c>
      <c r="C2444" t="s">
        <v>4852</v>
      </c>
      <c r="D2444" t="s">
        <v>181</v>
      </c>
      <c r="E2444" t="s">
        <v>4853</v>
      </c>
      <c r="F2444" t="s">
        <v>4854</v>
      </c>
      <c r="G2444" t="str">
        <f>"00365237"</f>
        <v>00365237</v>
      </c>
      <c r="H2444">
        <v>715</v>
      </c>
      <c r="I2444">
        <v>0</v>
      </c>
      <c r="J2444">
        <v>0</v>
      </c>
      <c r="K2444">
        <v>0</v>
      </c>
      <c r="L2444">
        <v>0</v>
      </c>
      <c r="M2444">
        <v>0</v>
      </c>
      <c r="N2444">
        <v>0</v>
      </c>
      <c r="O2444">
        <v>0</v>
      </c>
      <c r="P2444">
        <v>0</v>
      </c>
      <c r="Q2444">
        <v>0</v>
      </c>
      <c r="R2444">
        <v>0</v>
      </c>
      <c r="S2444">
        <v>0</v>
      </c>
      <c r="T2444">
        <v>0</v>
      </c>
      <c r="U2444">
        <v>0</v>
      </c>
      <c r="V2444">
        <v>4</v>
      </c>
      <c r="W2444">
        <v>28</v>
      </c>
      <c r="X2444">
        <v>0</v>
      </c>
      <c r="Z2444">
        <v>0</v>
      </c>
      <c r="AA2444">
        <v>0</v>
      </c>
      <c r="AB2444">
        <v>6</v>
      </c>
      <c r="AC2444">
        <v>102</v>
      </c>
      <c r="AD2444">
        <v>845</v>
      </c>
    </row>
    <row r="2445" spans="1:30" x14ac:dyDescent="0.25">
      <c r="H2445" t="s">
        <v>4855</v>
      </c>
    </row>
    <row r="2446" spans="1:30" x14ac:dyDescent="0.25">
      <c r="A2446">
        <v>1220</v>
      </c>
      <c r="B2446">
        <v>6164</v>
      </c>
      <c r="C2446" t="s">
        <v>4856</v>
      </c>
      <c r="D2446" t="s">
        <v>1150</v>
      </c>
      <c r="E2446" t="s">
        <v>254</v>
      </c>
      <c r="F2446" t="s">
        <v>4857</v>
      </c>
      <c r="G2446" t="str">
        <f>"201511008416"</f>
        <v>201511008416</v>
      </c>
      <c r="H2446" t="s">
        <v>455</v>
      </c>
      <c r="I2446">
        <v>0</v>
      </c>
      <c r="J2446">
        <v>0</v>
      </c>
      <c r="K2446">
        <v>0</v>
      </c>
      <c r="L2446">
        <v>0</v>
      </c>
      <c r="M2446">
        <v>0</v>
      </c>
      <c r="N2446">
        <v>30</v>
      </c>
      <c r="O2446">
        <v>0</v>
      </c>
      <c r="P2446">
        <v>0</v>
      </c>
      <c r="Q2446">
        <v>0</v>
      </c>
      <c r="R2446">
        <v>0</v>
      </c>
      <c r="S2446">
        <v>0</v>
      </c>
      <c r="T2446">
        <v>0</v>
      </c>
      <c r="U2446">
        <v>0</v>
      </c>
      <c r="V2446">
        <v>5</v>
      </c>
      <c r="W2446">
        <v>35</v>
      </c>
      <c r="X2446">
        <v>0</v>
      </c>
      <c r="Z2446">
        <v>0</v>
      </c>
      <c r="AA2446">
        <v>0</v>
      </c>
      <c r="AB2446">
        <v>0</v>
      </c>
      <c r="AC2446">
        <v>0</v>
      </c>
      <c r="AD2446" t="s">
        <v>4858</v>
      </c>
    </row>
    <row r="2447" spans="1:30" x14ac:dyDescent="0.25">
      <c r="H2447" t="s">
        <v>4859</v>
      </c>
    </row>
    <row r="2448" spans="1:30" x14ac:dyDescent="0.25">
      <c r="A2448">
        <v>1221</v>
      </c>
      <c r="B2448">
        <v>3492</v>
      </c>
      <c r="C2448" t="s">
        <v>4860</v>
      </c>
      <c r="D2448" t="s">
        <v>44</v>
      </c>
      <c r="E2448" t="s">
        <v>509</v>
      </c>
      <c r="F2448" t="s">
        <v>4861</v>
      </c>
      <c r="G2448" t="str">
        <f>"201402002757"</f>
        <v>201402002757</v>
      </c>
      <c r="H2448" t="s">
        <v>739</v>
      </c>
      <c r="I2448">
        <v>0</v>
      </c>
      <c r="J2448">
        <v>0</v>
      </c>
      <c r="K2448">
        <v>0</v>
      </c>
      <c r="L2448">
        <v>0</v>
      </c>
      <c r="M2448">
        <v>0</v>
      </c>
      <c r="N2448">
        <v>30</v>
      </c>
      <c r="O2448">
        <v>70</v>
      </c>
      <c r="P2448">
        <v>0</v>
      </c>
      <c r="Q2448">
        <v>0</v>
      </c>
      <c r="R2448">
        <v>0</v>
      </c>
      <c r="S2448">
        <v>0</v>
      </c>
      <c r="T2448">
        <v>0</v>
      </c>
      <c r="U2448">
        <v>0</v>
      </c>
      <c r="V2448">
        <v>0</v>
      </c>
      <c r="W2448">
        <v>0</v>
      </c>
      <c r="X2448">
        <v>0</v>
      </c>
      <c r="Z2448">
        <v>2</v>
      </c>
      <c r="AA2448">
        <v>0</v>
      </c>
      <c r="AB2448">
        <v>0</v>
      </c>
      <c r="AC2448">
        <v>0</v>
      </c>
      <c r="AD2448" t="s">
        <v>4862</v>
      </c>
    </row>
    <row r="2449" spans="1:30" x14ac:dyDescent="0.25">
      <c r="H2449" t="s">
        <v>4863</v>
      </c>
    </row>
    <row r="2450" spans="1:30" x14ac:dyDescent="0.25">
      <c r="A2450">
        <v>1222</v>
      </c>
      <c r="B2450">
        <v>4551</v>
      </c>
      <c r="C2450" t="s">
        <v>4864</v>
      </c>
      <c r="D2450" t="s">
        <v>580</v>
      </c>
      <c r="E2450" t="s">
        <v>107</v>
      </c>
      <c r="F2450" t="s">
        <v>4865</v>
      </c>
      <c r="G2450" t="str">
        <f>"201411001030"</f>
        <v>201411001030</v>
      </c>
      <c r="H2450" t="s">
        <v>4835</v>
      </c>
      <c r="I2450">
        <v>0</v>
      </c>
      <c r="J2450">
        <v>0</v>
      </c>
      <c r="K2450">
        <v>0</v>
      </c>
      <c r="L2450">
        <v>0</v>
      </c>
      <c r="M2450">
        <v>0</v>
      </c>
      <c r="N2450">
        <v>70</v>
      </c>
      <c r="O2450">
        <v>0</v>
      </c>
      <c r="P2450">
        <v>0</v>
      </c>
      <c r="Q2450">
        <v>0</v>
      </c>
      <c r="R2450">
        <v>0</v>
      </c>
      <c r="S2450">
        <v>0</v>
      </c>
      <c r="T2450">
        <v>0</v>
      </c>
      <c r="U2450">
        <v>0</v>
      </c>
      <c r="V2450">
        <v>0</v>
      </c>
      <c r="W2450">
        <v>0</v>
      </c>
      <c r="X2450">
        <v>0</v>
      </c>
      <c r="Z2450">
        <v>0</v>
      </c>
      <c r="AA2450">
        <v>0</v>
      </c>
      <c r="AB2450">
        <v>0</v>
      </c>
      <c r="AC2450">
        <v>0</v>
      </c>
      <c r="AD2450" t="s">
        <v>4866</v>
      </c>
    </row>
    <row r="2451" spans="1:30" x14ac:dyDescent="0.25">
      <c r="H2451" t="s">
        <v>4867</v>
      </c>
    </row>
    <row r="2452" spans="1:30" x14ac:dyDescent="0.25">
      <c r="A2452">
        <v>1223</v>
      </c>
      <c r="B2452">
        <v>4847</v>
      </c>
      <c r="C2452" t="s">
        <v>4868</v>
      </c>
      <c r="D2452" t="s">
        <v>107</v>
      </c>
      <c r="E2452" t="s">
        <v>309</v>
      </c>
      <c r="F2452" t="s">
        <v>4869</v>
      </c>
      <c r="G2452" t="str">
        <f>"00352363"</f>
        <v>00352363</v>
      </c>
      <c r="H2452" t="s">
        <v>380</v>
      </c>
      <c r="I2452">
        <v>0</v>
      </c>
      <c r="J2452">
        <v>0</v>
      </c>
      <c r="K2452">
        <v>0</v>
      </c>
      <c r="L2452">
        <v>0</v>
      </c>
      <c r="M2452">
        <v>0</v>
      </c>
      <c r="N2452">
        <v>50</v>
      </c>
      <c r="O2452">
        <v>0</v>
      </c>
      <c r="P2452">
        <v>0</v>
      </c>
      <c r="Q2452">
        <v>0</v>
      </c>
      <c r="R2452">
        <v>0</v>
      </c>
      <c r="S2452">
        <v>0</v>
      </c>
      <c r="T2452">
        <v>0</v>
      </c>
      <c r="U2452">
        <v>0</v>
      </c>
      <c r="V2452">
        <v>17</v>
      </c>
      <c r="W2452">
        <v>119</v>
      </c>
      <c r="X2452">
        <v>0</v>
      </c>
      <c r="Z2452">
        <v>0</v>
      </c>
      <c r="AA2452">
        <v>0</v>
      </c>
      <c r="AB2452">
        <v>0</v>
      </c>
      <c r="AC2452">
        <v>0</v>
      </c>
      <c r="AD2452" t="s">
        <v>4866</v>
      </c>
    </row>
    <row r="2453" spans="1:30" x14ac:dyDescent="0.25">
      <c r="H2453" t="s">
        <v>4870</v>
      </c>
    </row>
    <row r="2454" spans="1:30" x14ac:dyDescent="0.25">
      <c r="A2454">
        <v>1224</v>
      </c>
      <c r="B2454">
        <v>5373</v>
      </c>
      <c r="C2454" t="s">
        <v>4871</v>
      </c>
      <c r="D2454" t="s">
        <v>4872</v>
      </c>
      <c r="E2454" t="s">
        <v>64</v>
      </c>
      <c r="F2454" t="s">
        <v>4873</v>
      </c>
      <c r="G2454" t="str">
        <f>"201411000422"</f>
        <v>201411000422</v>
      </c>
      <c r="H2454" t="s">
        <v>2026</v>
      </c>
      <c r="I2454">
        <v>0</v>
      </c>
      <c r="J2454">
        <v>0</v>
      </c>
      <c r="K2454">
        <v>0</v>
      </c>
      <c r="L2454">
        <v>0</v>
      </c>
      <c r="M2454">
        <v>0</v>
      </c>
      <c r="N2454">
        <v>30</v>
      </c>
      <c r="O2454">
        <v>0</v>
      </c>
      <c r="P2454">
        <v>0</v>
      </c>
      <c r="Q2454">
        <v>0</v>
      </c>
      <c r="R2454">
        <v>0</v>
      </c>
      <c r="S2454">
        <v>0</v>
      </c>
      <c r="T2454">
        <v>0</v>
      </c>
      <c r="U2454">
        <v>0</v>
      </c>
      <c r="V2454">
        <v>8</v>
      </c>
      <c r="W2454">
        <v>56</v>
      </c>
      <c r="X2454">
        <v>0</v>
      </c>
      <c r="Z2454">
        <v>0</v>
      </c>
      <c r="AA2454">
        <v>0</v>
      </c>
      <c r="AB2454">
        <v>0</v>
      </c>
      <c r="AC2454">
        <v>0</v>
      </c>
      <c r="AD2454" t="s">
        <v>4874</v>
      </c>
    </row>
    <row r="2455" spans="1:30" x14ac:dyDescent="0.25">
      <c r="H2455" t="s">
        <v>4875</v>
      </c>
    </row>
    <row r="2456" spans="1:30" x14ac:dyDescent="0.25">
      <c r="A2456">
        <v>1225</v>
      </c>
      <c r="B2456">
        <v>4619</v>
      </c>
      <c r="C2456" t="s">
        <v>2306</v>
      </c>
      <c r="D2456" t="s">
        <v>120</v>
      </c>
      <c r="E2456" t="s">
        <v>1034</v>
      </c>
      <c r="F2456" t="s">
        <v>4876</v>
      </c>
      <c r="G2456" t="str">
        <f>"00159076"</f>
        <v>00159076</v>
      </c>
      <c r="H2456" t="s">
        <v>4877</v>
      </c>
      <c r="I2456">
        <v>0</v>
      </c>
      <c r="J2456">
        <v>0</v>
      </c>
      <c r="K2456">
        <v>0</v>
      </c>
      <c r="L2456">
        <v>0</v>
      </c>
      <c r="M2456">
        <v>0</v>
      </c>
      <c r="N2456">
        <v>30</v>
      </c>
      <c r="O2456">
        <v>0</v>
      </c>
      <c r="P2456">
        <v>0</v>
      </c>
      <c r="Q2456">
        <v>0</v>
      </c>
      <c r="R2456">
        <v>0</v>
      </c>
      <c r="S2456">
        <v>0</v>
      </c>
      <c r="T2456">
        <v>0</v>
      </c>
      <c r="U2456">
        <v>0</v>
      </c>
      <c r="V2456">
        <v>27</v>
      </c>
      <c r="W2456">
        <v>189</v>
      </c>
      <c r="X2456">
        <v>0</v>
      </c>
      <c r="Z2456">
        <v>0</v>
      </c>
      <c r="AA2456">
        <v>0</v>
      </c>
      <c r="AB2456">
        <v>0</v>
      </c>
      <c r="AC2456">
        <v>0</v>
      </c>
      <c r="AD2456" t="s">
        <v>4878</v>
      </c>
    </row>
    <row r="2457" spans="1:30" x14ac:dyDescent="0.25">
      <c r="H2457" t="s">
        <v>4879</v>
      </c>
    </row>
    <row r="2458" spans="1:30" x14ac:dyDescent="0.25">
      <c r="A2458">
        <v>1226</v>
      </c>
      <c r="B2458">
        <v>4771</v>
      </c>
      <c r="C2458" t="s">
        <v>4880</v>
      </c>
      <c r="D2458" t="s">
        <v>218</v>
      </c>
      <c r="E2458" t="s">
        <v>102</v>
      </c>
      <c r="F2458" t="s">
        <v>4881</v>
      </c>
      <c r="G2458" t="str">
        <f>"201412006629"</f>
        <v>201412006629</v>
      </c>
      <c r="H2458" t="s">
        <v>321</v>
      </c>
      <c r="I2458">
        <v>0</v>
      </c>
      <c r="J2458">
        <v>0</v>
      </c>
      <c r="K2458">
        <v>0</v>
      </c>
      <c r="L2458">
        <v>0</v>
      </c>
      <c r="M2458">
        <v>0</v>
      </c>
      <c r="N2458">
        <v>0</v>
      </c>
      <c r="O2458">
        <v>0</v>
      </c>
      <c r="P2458">
        <v>0</v>
      </c>
      <c r="Q2458">
        <v>0</v>
      </c>
      <c r="R2458">
        <v>0</v>
      </c>
      <c r="S2458">
        <v>0</v>
      </c>
      <c r="T2458">
        <v>0</v>
      </c>
      <c r="U2458">
        <v>0</v>
      </c>
      <c r="V2458">
        <v>0</v>
      </c>
      <c r="W2458">
        <v>0</v>
      </c>
      <c r="X2458">
        <v>0</v>
      </c>
      <c r="Z2458">
        <v>0</v>
      </c>
      <c r="AA2458">
        <v>0</v>
      </c>
      <c r="AB2458">
        <v>0</v>
      </c>
      <c r="AC2458">
        <v>0</v>
      </c>
      <c r="AD2458" t="s">
        <v>321</v>
      </c>
    </row>
    <row r="2459" spans="1:30" x14ac:dyDescent="0.25">
      <c r="H2459" t="s">
        <v>4882</v>
      </c>
    </row>
    <row r="2460" spans="1:30" x14ac:dyDescent="0.25">
      <c r="A2460">
        <v>1227</v>
      </c>
      <c r="B2460">
        <v>4651</v>
      </c>
      <c r="C2460" t="s">
        <v>4883</v>
      </c>
      <c r="D2460" t="s">
        <v>32</v>
      </c>
      <c r="E2460" t="s">
        <v>167</v>
      </c>
      <c r="F2460" t="s">
        <v>4884</v>
      </c>
      <c r="G2460" t="str">
        <f>"201511042555"</f>
        <v>201511042555</v>
      </c>
      <c r="H2460" t="s">
        <v>232</v>
      </c>
      <c r="I2460">
        <v>0</v>
      </c>
      <c r="J2460">
        <v>0</v>
      </c>
      <c r="K2460">
        <v>0</v>
      </c>
      <c r="L2460">
        <v>0</v>
      </c>
      <c r="M2460">
        <v>0</v>
      </c>
      <c r="N2460">
        <v>70</v>
      </c>
      <c r="O2460">
        <v>0</v>
      </c>
      <c r="P2460">
        <v>0</v>
      </c>
      <c r="Q2460">
        <v>0</v>
      </c>
      <c r="R2460">
        <v>0</v>
      </c>
      <c r="S2460">
        <v>0</v>
      </c>
      <c r="T2460">
        <v>0</v>
      </c>
      <c r="U2460">
        <v>0</v>
      </c>
      <c r="V2460">
        <v>0</v>
      </c>
      <c r="W2460">
        <v>0</v>
      </c>
      <c r="X2460">
        <v>0</v>
      </c>
      <c r="Z2460">
        <v>0</v>
      </c>
      <c r="AA2460">
        <v>0</v>
      </c>
      <c r="AB2460">
        <v>0</v>
      </c>
      <c r="AC2460">
        <v>0</v>
      </c>
      <c r="AD2460" t="s">
        <v>4885</v>
      </c>
    </row>
    <row r="2461" spans="1:30" x14ac:dyDescent="0.25">
      <c r="H2461" t="s">
        <v>4886</v>
      </c>
    </row>
    <row r="2462" spans="1:30" x14ac:dyDescent="0.25">
      <c r="A2462">
        <v>1228</v>
      </c>
      <c r="B2462">
        <v>4976</v>
      </c>
      <c r="C2462" t="s">
        <v>2437</v>
      </c>
      <c r="D2462" t="s">
        <v>218</v>
      </c>
      <c r="E2462" t="s">
        <v>389</v>
      </c>
      <c r="F2462" t="s">
        <v>4887</v>
      </c>
      <c r="G2462" t="str">
        <f>"201402010547"</f>
        <v>201402010547</v>
      </c>
      <c r="H2462" t="s">
        <v>2457</v>
      </c>
      <c r="I2462">
        <v>0</v>
      </c>
      <c r="J2462">
        <v>0</v>
      </c>
      <c r="K2462">
        <v>0</v>
      </c>
      <c r="L2462">
        <v>0</v>
      </c>
      <c r="M2462">
        <v>0</v>
      </c>
      <c r="N2462">
        <v>30</v>
      </c>
      <c r="O2462">
        <v>0</v>
      </c>
      <c r="P2462">
        <v>30</v>
      </c>
      <c r="Q2462">
        <v>0</v>
      </c>
      <c r="R2462">
        <v>0</v>
      </c>
      <c r="S2462">
        <v>0</v>
      </c>
      <c r="T2462">
        <v>0</v>
      </c>
      <c r="U2462">
        <v>0</v>
      </c>
      <c r="V2462">
        <v>14</v>
      </c>
      <c r="W2462">
        <v>98</v>
      </c>
      <c r="X2462">
        <v>0</v>
      </c>
      <c r="Z2462">
        <v>2</v>
      </c>
      <c r="AA2462">
        <v>0</v>
      </c>
      <c r="AB2462">
        <v>0</v>
      </c>
      <c r="AC2462">
        <v>0</v>
      </c>
      <c r="AD2462" t="s">
        <v>4888</v>
      </c>
    </row>
    <row r="2463" spans="1:30" x14ac:dyDescent="0.25">
      <c r="H2463" t="s">
        <v>1327</v>
      </c>
    </row>
    <row r="2464" spans="1:30" x14ac:dyDescent="0.25">
      <c r="A2464">
        <v>1229</v>
      </c>
      <c r="B2464">
        <v>2595</v>
      </c>
      <c r="C2464" t="s">
        <v>583</v>
      </c>
      <c r="D2464" t="s">
        <v>106</v>
      </c>
      <c r="E2464" t="s">
        <v>84</v>
      </c>
      <c r="F2464" t="s">
        <v>4889</v>
      </c>
      <c r="G2464" t="str">
        <f>"00330943"</f>
        <v>00330943</v>
      </c>
      <c r="H2464" t="s">
        <v>1402</v>
      </c>
      <c r="I2464">
        <v>0</v>
      </c>
      <c r="J2464">
        <v>0</v>
      </c>
      <c r="K2464">
        <v>0</v>
      </c>
      <c r="L2464">
        <v>0</v>
      </c>
      <c r="M2464">
        <v>0</v>
      </c>
      <c r="N2464">
        <v>30</v>
      </c>
      <c r="O2464">
        <v>0</v>
      </c>
      <c r="P2464">
        <v>0</v>
      </c>
      <c r="Q2464">
        <v>0</v>
      </c>
      <c r="R2464">
        <v>0</v>
      </c>
      <c r="S2464">
        <v>0</v>
      </c>
      <c r="T2464">
        <v>0</v>
      </c>
      <c r="U2464">
        <v>0</v>
      </c>
      <c r="V2464">
        <v>0</v>
      </c>
      <c r="W2464">
        <v>0</v>
      </c>
      <c r="X2464">
        <v>0</v>
      </c>
      <c r="Z2464">
        <v>0</v>
      </c>
      <c r="AA2464">
        <v>0</v>
      </c>
      <c r="AB2464">
        <v>0</v>
      </c>
      <c r="AC2464">
        <v>0</v>
      </c>
      <c r="AD2464" t="s">
        <v>4890</v>
      </c>
    </row>
    <row r="2465" spans="1:30" x14ac:dyDescent="0.25">
      <c r="H2465" t="s">
        <v>4891</v>
      </c>
    </row>
    <row r="2466" spans="1:30" x14ac:dyDescent="0.25">
      <c r="A2466">
        <v>1230</v>
      </c>
      <c r="B2466">
        <v>4609</v>
      </c>
      <c r="C2466" t="s">
        <v>4892</v>
      </c>
      <c r="D2466" t="s">
        <v>102</v>
      </c>
      <c r="E2466" t="s">
        <v>32</v>
      </c>
      <c r="F2466" t="s">
        <v>4893</v>
      </c>
      <c r="G2466" t="str">
        <f>"00027876"</f>
        <v>00027876</v>
      </c>
      <c r="H2466" t="s">
        <v>1301</v>
      </c>
      <c r="I2466">
        <v>0</v>
      </c>
      <c r="J2466">
        <v>0</v>
      </c>
      <c r="K2466">
        <v>0</v>
      </c>
      <c r="L2466">
        <v>0</v>
      </c>
      <c r="M2466">
        <v>0</v>
      </c>
      <c r="N2466">
        <v>30</v>
      </c>
      <c r="O2466">
        <v>0</v>
      </c>
      <c r="P2466">
        <v>0</v>
      </c>
      <c r="Q2466">
        <v>0</v>
      </c>
      <c r="R2466">
        <v>0</v>
      </c>
      <c r="S2466">
        <v>0</v>
      </c>
      <c r="T2466">
        <v>0</v>
      </c>
      <c r="U2466">
        <v>0</v>
      </c>
      <c r="V2466">
        <v>10</v>
      </c>
      <c r="W2466">
        <v>70</v>
      </c>
      <c r="X2466">
        <v>0</v>
      </c>
      <c r="Z2466">
        <v>0</v>
      </c>
      <c r="AA2466">
        <v>0</v>
      </c>
      <c r="AB2466">
        <v>0</v>
      </c>
      <c r="AC2466">
        <v>0</v>
      </c>
      <c r="AD2466" t="s">
        <v>4894</v>
      </c>
    </row>
    <row r="2467" spans="1:30" x14ac:dyDescent="0.25">
      <c r="H2467" t="s">
        <v>4895</v>
      </c>
    </row>
    <row r="2468" spans="1:30" x14ac:dyDescent="0.25">
      <c r="A2468">
        <v>1231</v>
      </c>
      <c r="B2468">
        <v>4481</v>
      </c>
      <c r="C2468" t="s">
        <v>4896</v>
      </c>
      <c r="D2468" t="s">
        <v>788</v>
      </c>
      <c r="E2468" t="s">
        <v>84</v>
      </c>
      <c r="F2468" t="s">
        <v>4897</v>
      </c>
      <c r="G2468" t="str">
        <f>"00282944"</f>
        <v>00282944</v>
      </c>
      <c r="H2468" t="s">
        <v>169</v>
      </c>
      <c r="I2468">
        <v>0</v>
      </c>
      <c r="J2468">
        <v>0</v>
      </c>
      <c r="K2468">
        <v>0</v>
      </c>
      <c r="L2468">
        <v>0</v>
      </c>
      <c r="M2468">
        <v>0</v>
      </c>
      <c r="N2468">
        <v>50</v>
      </c>
      <c r="O2468">
        <v>0</v>
      </c>
      <c r="P2468">
        <v>0</v>
      </c>
      <c r="Q2468">
        <v>0</v>
      </c>
      <c r="R2468">
        <v>0</v>
      </c>
      <c r="S2468">
        <v>0</v>
      </c>
      <c r="T2468">
        <v>0</v>
      </c>
      <c r="U2468">
        <v>0</v>
      </c>
      <c r="V2468">
        <v>0</v>
      </c>
      <c r="W2468">
        <v>0</v>
      </c>
      <c r="X2468">
        <v>0</v>
      </c>
      <c r="Z2468">
        <v>0</v>
      </c>
      <c r="AA2468">
        <v>0</v>
      </c>
      <c r="AB2468">
        <v>0</v>
      </c>
      <c r="AC2468">
        <v>0</v>
      </c>
      <c r="AD2468" t="s">
        <v>4898</v>
      </c>
    </row>
    <row r="2469" spans="1:30" x14ac:dyDescent="0.25">
      <c r="H2469" t="s">
        <v>570</v>
      </c>
    </row>
    <row r="2470" spans="1:30" x14ac:dyDescent="0.25">
      <c r="A2470">
        <v>1232</v>
      </c>
      <c r="B2470">
        <v>1729</v>
      </c>
      <c r="C2470" t="s">
        <v>4899</v>
      </c>
      <c r="D2470" t="s">
        <v>4900</v>
      </c>
      <c r="E2470" t="s">
        <v>4901</v>
      </c>
      <c r="F2470" t="s">
        <v>4902</v>
      </c>
      <c r="G2470" t="str">
        <f>"00172316"</f>
        <v>00172316</v>
      </c>
      <c r="H2470" t="s">
        <v>1588</v>
      </c>
      <c r="I2470">
        <v>0</v>
      </c>
      <c r="J2470">
        <v>0</v>
      </c>
      <c r="K2470">
        <v>0</v>
      </c>
      <c r="L2470">
        <v>0</v>
      </c>
      <c r="M2470">
        <v>0</v>
      </c>
      <c r="N2470">
        <v>50</v>
      </c>
      <c r="O2470">
        <v>0</v>
      </c>
      <c r="P2470">
        <v>0</v>
      </c>
      <c r="Q2470">
        <v>0</v>
      </c>
      <c r="R2470">
        <v>0</v>
      </c>
      <c r="S2470">
        <v>0</v>
      </c>
      <c r="T2470">
        <v>0</v>
      </c>
      <c r="U2470">
        <v>0</v>
      </c>
      <c r="V2470">
        <v>11</v>
      </c>
      <c r="W2470">
        <v>77</v>
      </c>
      <c r="X2470">
        <v>0</v>
      </c>
      <c r="Z2470">
        <v>0</v>
      </c>
      <c r="AA2470">
        <v>0</v>
      </c>
      <c r="AB2470">
        <v>0</v>
      </c>
      <c r="AC2470">
        <v>0</v>
      </c>
      <c r="AD2470" t="s">
        <v>4898</v>
      </c>
    </row>
    <row r="2471" spans="1:30" x14ac:dyDescent="0.25">
      <c r="H2471" t="s">
        <v>4903</v>
      </c>
    </row>
    <row r="2472" spans="1:30" x14ac:dyDescent="0.25">
      <c r="A2472">
        <v>1233</v>
      </c>
      <c r="B2472">
        <v>5685</v>
      </c>
      <c r="C2472" t="s">
        <v>4663</v>
      </c>
      <c r="D2472" t="s">
        <v>180</v>
      </c>
      <c r="E2472" t="s">
        <v>1622</v>
      </c>
      <c r="F2472" t="s">
        <v>4904</v>
      </c>
      <c r="G2472" t="str">
        <f>"00245995"</f>
        <v>00245995</v>
      </c>
      <c r="H2472" t="s">
        <v>1549</v>
      </c>
      <c r="I2472">
        <v>0</v>
      </c>
      <c r="J2472">
        <v>0</v>
      </c>
      <c r="K2472">
        <v>0</v>
      </c>
      <c r="L2472">
        <v>0</v>
      </c>
      <c r="M2472">
        <v>0</v>
      </c>
      <c r="N2472">
        <v>30</v>
      </c>
      <c r="O2472">
        <v>0</v>
      </c>
      <c r="P2472">
        <v>0</v>
      </c>
      <c r="Q2472">
        <v>0</v>
      </c>
      <c r="R2472">
        <v>0</v>
      </c>
      <c r="S2472">
        <v>0</v>
      </c>
      <c r="T2472">
        <v>0</v>
      </c>
      <c r="U2472">
        <v>0</v>
      </c>
      <c r="V2472">
        <v>16</v>
      </c>
      <c r="W2472">
        <v>112</v>
      </c>
      <c r="X2472">
        <v>0</v>
      </c>
      <c r="Z2472">
        <v>0</v>
      </c>
      <c r="AA2472">
        <v>0</v>
      </c>
      <c r="AB2472">
        <v>0</v>
      </c>
      <c r="AC2472">
        <v>0</v>
      </c>
      <c r="AD2472" t="s">
        <v>4905</v>
      </c>
    </row>
    <row r="2473" spans="1:30" x14ac:dyDescent="0.25">
      <c r="H2473" t="s">
        <v>4906</v>
      </c>
    </row>
    <row r="2474" spans="1:30" x14ac:dyDescent="0.25">
      <c r="A2474">
        <v>1234</v>
      </c>
      <c r="B2474">
        <v>2243</v>
      </c>
      <c r="C2474" t="s">
        <v>4907</v>
      </c>
      <c r="D2474" t="s">
        <v>106</v>
      </c>
      <c r="E2474" t="s">
        <v>45</v>
      </c>
      <c r="F2474" t="s">
        <v>4908</v>
      </c>
      <c r="G2474" t="str">
        <f>"00320289"</f>
        <v>00320289</v>
      </c>
      <c r="H2474" t="s">
        <v>79</v>
      </c>
      <c r="I2474">
        <v>0</v>
      </c>
      <c r="J2474">
        <v>0</v>
      </c>
      <c r="K2474">
        <v>0</v>
      </c>
      <c r="L2474">
        <v>0</v>
      </c>
      <c r="M2474">
        <v>0</v>
      </c>
      <c r="N2474">
        <v>30</v>
      </c>
      <c r="O2474">
        <v>0</v>
      </c>
      <c r="P2474">
        <v>0</v>
      </c>
      <c r="Q2474">
        <v>0</v>
      </c>
      <c r="R2474">
        <v>0</v>
      </c>
      <c r="S2474">
        <v>0</v>
      </c>
      <c r="T2474">
        <v>0</v>
      </c>
      <c r="U2474">
        <v>0</v>
      </c>
      <c r="V2474">
        <v>0</v>
      </c>
      <c r="W2474">
        <v>0</v>
      </c>
      <c r="X2474">
        <v>0</v>
      </c>
      <c r="Z2474">
        <v>0</v>
      </c>
      <c r="AA2474">
        <v>0</v>
      </c>
      <c r="AB2474">
        <v>0</v>
      </c>
      <c r="AC2474">
        <v>0</v>
      </c>
      <c r="AD2474" t="s">
        <v>4909</v>
      </c>
    </row>
    <row r="2475" spans="1:30" x14ac:dyDescent="0.25">
      <c r="H2475" t="s">
        <v>4910</v>
      </c>
    </row>
    <row r="2476" spans="1:30" x14ac:dyDescent="0.25">
      <c r="A2476">
        <v>1235</v>
      </c>
      <c r="B2476">
        <v>4517</v>
      </c>
      <c r="C2476" t="s">
        <v>4911</v>
      </c>
      <c r="D2476" t="s">
        <v>4912</v>
      </c>
      <c r="E2476" t="s">
        <v>28</v>
      </c>
      <c r="F2476" t="s">
        <v>4913</v>
      </c>
      <c r="G2476" t="str">
        <f>"00358164"</f>
        <v>00358164</v>
      </c>
      <c r="H2476" t="s">
        <v>232</v>
      </c>
      <c r="I2476">
        <v>0</v>
      </c>
      <c r="J2476">
        <v>0</v>
      </c>
      <c r="K2476">
        <v>0</v>
      </c>
      <c r="L2476">
        <v>0</v>
      </c>
      <c r="M2476">
        <v>0</v>
      </c>
      <c r="N2476">
        <v>30</v>
      </c>
      <c r="O2476">
        <v>0</v>
      </c>
      <c r="P2476">
        <v>0</v>
      </c>
      <c r="Q2476">
        <v>0</v>
      </c>
      <c r="R2476">
        <v>0</v>
      </c>
      <c r="S2476">
        <v>0</v>
      </c>
      <c r="T2476">
        <v>0</v>
      </c>
      <c r="U2476">
        <v>0</v>
      </c>
      <c r="V2476">
        <v>5</v>
      </c>
      <c r="W2476">
        <v>35</v>
      </c>
      <c r="X2476">
        <v>0</v>
      </c>
      <c r="Z2476">
        <v>0</v>
      </c>
      <c r="AA2476">
        <v>0</v>
      </c>
      <c r="AB2476">
        <v>0</v>
      </c>
      <c r="AC2476">
        <v>0</v>
      </c>
      <c r="AD2476" t="s">
        <v>4914</v>
      </c>
    </row>
    <row r="2477" spans="1:30" x14ac:dyDescent="0.25">
      <c r="H2477" t="s">
        <v>570</v>
      </c>
    </row>
    <row r="2478" spans="1:30" x14ac:dyDescent="0.25">
      <c r="A2478">
        <v>1236</v>
      </c>
      <c r="B2478">
        <v>3843</v>
      </c>
      <c r="C2478" t="s">
        <v>4915</v>
      </c>
      <c r="D2478" t="s">
        <v>3075</v>
      </c>
      <c r="E2478" t="s">
        <v>102</v>
      </c>
      <c r="F2478" t="s">
        <v>4916</v>
      </c>
      <c r="G2478" t="str">
        <f>"00355192"</f>
        <v>00355192</v>
      </c>
      <c r="H2478" t="s">
        <v>1007</v>
      </c>
      <c r="I2478">
        <v>150</v>
      </c>
      <c r="J2478">
        <v>0</v>
      </c>
      <c r="K2478">
        <v>0</v>
      </c>
      <c r="L2478">
        <v>0</v>
      </c>
      <c r="M2478">
        <v>0</v>
      </c>
      <c r="N2478">
        <v>30</v>
      </c>
      <c r="O2478">
        <v>0</v>
      </c>
      <c r="P2478">
        <v>0</v>
      </c>
      <c r="Q2478">
        <v>0</v>
      </c>
      <c r="R2478">
        <v>0</v>
      </c>
      <c r="S2478">
        <v>0</v>
      </c>
      <c r="T2478">
        <v>0</v>
      </c>
      <c r="U2478">
        <v>0</v>
      </c>
      <c r="V2478">
        <v>0</v>
      </c>
      <c r="W2478">
        <v>0</v>
      </c>
      <c r="X2478">
        <v>0</v>
      </c>
      <c r="Z2478">
        <v>1</v>
      </c>
      <c r="AA2478">
        <v>0</v>
      </c>
      <c r="AB2478">
        <v>0</v>
      </c>
      <c r="AC2478">
        <v>0</v>
      </c>
      <c r="AD2478" t="s">
        <v>4917</v>
      </c>
    </row>
    <row r="2479" spans="1:30" x14ac:dyDescent="0.25">
      <c r="H2479" t="s">
        <v>4918</v>
      </c>
    </row>
    <row r="2480" spans="1:30" x14ac:dyDescent="0.25">
      <c r="A2480">
        <v>1237</v>
      </c>
      <c r="B2480">
        <v>1676</v>
      </c>
      <c r="C2480" t="s">
        <v>4919</v>
      </c>
      <c r="D2480" t="s">
        <v>95</v>
      </c>
      <c r="E2480" t="s">
        <v>756</v>
      </c>
      <c r="F2480" t="s">
        <v>4920</v>
      </c>
      <c r="G2480" t="str">
        <f>"201511017759"</f>
        <v>201511017759</v>
      </c>
      <c r="H2480">
        <v>715</v>
      </c>
      <c r="I2480">
        <v>0</v>
      </c>
      <c r="J2480">
        <v>0</v>
      </c>
      <c r="K2480">
        <v>0</v>
      </c>
      <c r="L2480">
        <v>0</v>
      </c>
      <c r="M2480">
        <v>0</v>
      </c>
      <c r="N2480">
        <v>30</v>
      </c>
      <c r="O2480">
        <v>0</v>
      </c>
      <c r="P2480">
        <v>0</v>
      </c>
      <c r="Q2480">
        <v>0</v>
      </c>
      <c r="R2480">
        <v>0</v>
      </c>
      <c r="S2480">
        <v>0</v>
      </c>
      <c r="T2480">
        <v>0</v>
      </c>
      <c r="U2480">
        <v>0</v>
      </c>
      <c r="V2480">
        <v>13</v>
      </c>
      <c r="W2480">
        <v>91</v>
      </c>
      <c r="X2480">
        <v>0</v>
      </c>
      <c r="Z2480">
        <v>0</v>
      </c>
      <c r="AA2480">
        <v>0</v>
      </c>
      <c r="AB2480">
        <v>0</v>
      </c>
      <c r="AC2480">
        <v>0</v>
      </c>
      <c r="AD2480">
        <v>836</v>
      </c>
    </row>
    <row r="2481" spans="1:30" x14ac:dyDescent="0.25">
      <c r="H2481" t="s">
        <v>4921</v>
      </c>
    </row>
    <row r="2482" spans="1:30" x14ac:dyDescent="0.25">
      <c r="A2482">
        <v>1238</v>
      </c>
      <c r="B2482">
        <v>982</v>
      </c>
      <c r="C2482" t="s">
        <v>4922</v>
      </c>
      <c r="D2482" t="s">
        <v>4923</v>
      </c>
      <c r="E2482" t="s">
        <v>181</v>
      </c>
      <c r="F2482" t="s">
        <v>4924</v>
      </c>
      <c r="G2482" t="str">
        <f>"201405000509"</f>
        <v>201405000509</v>
      </c>
      <c r="H2482" t="s">
        <v>895</v>
      </c>
      <c r="I2482">
        <v>0</v>
      </c>
      <c r="J2482">
        <v>0</v>
      </c>
      <c r="K2482">
        <v>0</v>
      </c>
      <c r="L2482">
        <v>0</v>
      </c>
      <c r="M2482">
        <v>0</v>
      </c>
      <c r="N2482">
        <v>30</v>
      </c>
      <c r="O2482">
        <v>0</v>
      </c>
      <c r="P2482">
        <v>30</v>
      </c>
      <c r="Q2482">
        <v>0</v>
      </c>
      <c r="R2482">
        <v>0</v>
      </c>
      <c r="S2482">
        <v>0</v>
      </c>
      <c r="T2482">
        <v>0</v>
      </c>
      <c r="U2482">
        <v>0</v>
      </c>
      <c r="V2482">
        <v>0</v>
      </c>
      <c r="W2482">
        <v>0</v>
      </c>
      <c r="X2482">
        <v>0</v>
      </c>
      <c r="Z2482">
        <v>0</v>
      </c>
      <c r="AA2482">
        <v>0</v>
      </c>
      <c r="AB2482">
        <v>0</v>
      </c>
      <c r="AC2482">
        <v>0</v>
      </c>
      <c r="AD2482" t="s">
        <v>4925</v>
      </c>
    </row>
    <row r="2483" spans="1:30" x14ac:dyDescent="0.25">
      <c r="H2483" t="s">
        <v>1235</v>
      </c>
    </row>
    <row r="2484" spans="1:30" x14ac:dyDescent="0.25">
      <c r="A2484">
        <v>1239</v>
      </c>
      <c r="B2484">
        <v>3686</v>
      </c>
      <c r="C2484" t="s">
        <v>4926</v>
      </c>
      <c r="D2484" t="s">
        <v>218</v>
      </c>
      <c r="E2484" t="s">
        <v>120</v>
      </c>
      <c r="F2484" t="s">
        <v>4927</v>
      </c>
      <c r="G2484" t="str">
        <f>"00201968"</f>
        <v>00201968</v>
      </c>
      <c r="H2484" t="s">
        <v>550</v>
      </c>
      <c r="I2484">
        <v>0</v>
      </c>
      <c r="J2484">
        <v>0</v>
      </c>
      <c r="K2484">
        <v>0</v>
      </c>
      <c r="L2484">
        <v>0</v>
      </c>
      <c r="M2484">
        <v>0</v>
      </c>
      <c r="N2484">
        <v>30</v>
      </c>
      <c r="O2484">
        <v>0</v>
      </c>
      <c r="P2484">
        <v>0</v>
      </c>
      <c r="Q2484">
        <v>0</v>
      </c>
      <c r="R2484">
        <v>0</v>
      </c>
      <c r="S2484">
        <v>0</v>
      </c>
      <c r="T2484">
        <v>0</v>
      </c>
      <c r="U2484">
        <v>0</v>
      </c>
      <c r="V2484">
        <v>0</v>
      </c>
      <c r="W2484">
        <v>0</v>
      </c>
      <c r="X2484">
        <v>0</v>
      </c>
      <c r="Z2484">
        <v>0</v>
      </c>
      <c r="AA2484">
        <v>0</v>
      </c>
      <c r="AB2484">
        <v>0</v>
      </c>
      <c r="AC2484">
        <v>0</v>
      </c>
      <c r="AD2484" t="s">
        <v>4928</v>
      </c>
    </row>
    <row r="2485" spans="1:30" x14ac:dyDescent="0.25">
      <c r="H2485" t="s">
        <v>4929</v>
      </c>
    </row>
    <row r="2486" spans="1:30" x14ac:dyDescent="0.25">
      <c r="A2486">
        <v>1240</v>
      </c>
      <c r="B2486">
        <v>1687</v>
      </c>
      <c r="C2486" t="s">
        <v>4930</v>
      </c>
      <c r="D2486" t="s">
        <v>1077</v>
      </c>
      <c r="E2486" t="s">
        <v>255</v>
      </c>
      <c r="F2486" t="s">
        <v>4931</v>
      </c>
      <c r="G2486" t="str">
        <f>"00229126"</f>
        <v>00229126</v>
      </c>
      <c r="H2486" t="s">
        <v>550</v>
      </c>
      <c r="I2486">
        <v>0</v>
      </c>
      <c r="J2486">
        <v>0</v>
      </c>
      <c r="K2486">
        <v>0</v>
      </c>
      <c r="L2486">
        <v>0</v>
      </c>
      <c r="M2486">
        <v>0</v>
      </c>
      <c r="N2486">
        <v>30</v>
      </c>
      <c r="O2486">
        <v>0</v>
      </c>
      <c r="P2486">
        <v>0</v>
      </c>
      <c r="Q2486">
        <v>0</v>
      </c>
      <c r="R2486">
        <v>0</v>
      </c>
      <c r="S2486">
        <v>0</v>
      </c>
      <c r="T2486">
        <v>0</v>
      </c>
      <c r="U2486">
        <v>0</v>
      </c>
      <c r="V2486">
        <v>0</v>
      </c>
      <c r="W2486">
        <v>0</v>
      </c>
      <c r="X2486">
        <v>0</v>
      </c>
      <c r="Z2486">
        <v>2</v>
      </c>
      <c r="AA2486">
        <v>0</v>
      </c>
      <c r="AB2486">
        <v>0</v>
      </c>
      <c r="AC2486">
        <v>0</v>
      </c>
      <c r="AD2486" t="s">
        <v>4928</v>
      </c>
    </row>
    <row r="2487" spans="1:30" x14ac:dyDescent="0.25">
      <c r="H2487" t="s">
        <v>4932</v>
      </c>
    </row>
    <row r="2488" spans="1:30" x14ac:dyDescent="0.25">
      <c r="A2488">
        <v>1241</v>
      </c>
      <c r="B2488">
        <v>2425</v>
      </c>
      <c r="C2488" t="s">
        <v>4933</v>
      </c>
      <c r="D2488" t="s">
        <v>1850</v>
      </c>
      <c r="E2488" t="s">
        <v>64</v>
      </c>
      <c r="F2488" t="s">
        <v>4934</v>
      </c>
      <c r="G2488" t="str">
        <f>"201603000075"</f>
        <v>201603000075</v>
      </c>
      <c r="H2488">
        <v>748</v>
      </c>
      <c r="I2488">
        <v>0</v>
      </c>
      <c r="J2488">
        <v>0</v>
      </c>
      <c r="K2488">
        <v>0</v>
      </c>
      <c r="L2488">
        <v>0</v>
      </c>
      <c r="M2488">
        <v>0</v>
      </c>
      <c r="N2488">
        <v>30</v>
      </c>
      <c r="O2488">
        <v>0</v>
      </c>
      <c r="P2488">
        <v>0</v>
      </c>
      <c r="Q2488">
        <v>0</v>
      </c>
      <c r="R2488">
        <v>0</v>
      </c>
      <c r="S2488">
        <v>0</v>
      </c>
      <c r="T2488">
        <v>0</v>
      </c>
      <c r="U2488">
        <v>0</v>
      </c>
      <c r="V2488">
        <v>8</v>
      </c>
      <c r="W2488">
        <v>56</v>
      </c>
      <c r="X2488">
        <v>0</v>
      </c>
      <c r="Z2488">
        <v>0</v>
      </c>
      <c r="AA2488">
        <v>0</v>
      </c>
      <c r="AB2488">
        <v>0</v>
      </c>
      <c r="AC2488">
        <v>0</v>
      </c>
      <c r="AD2488">
        <v>834</v>
      </c>
    </row>
    <row r="2489" spans="1:30" x14ac:dyDescent="0.25">
      <c r="H2489" t="s">
        <v>4935</v>
      </c>
    </row>
    <row r="2490" spans="1:30" x14ac:dyDescent="0.25">
      <c r="A2490">
        <v>1242</v>
      </c>
      <c r="B2490">
        <v>5497</v>
      </c>
      <c r="C2490" t="s">
        <v>4936</v>
      </c>
      <c r="D2490" t="s">
        <v>213</v>
      </c>
      <c r="E2490" t="s">
        <v>4459</v>
      </c>
      <c r="F2490" t="s">
        <v>4937</v>
      </c>
      <c r="G2490" t="str">
        <f>"201406011898"</f>
        <v>201406011898</v>
      </c>
      <c r="H2490" t="s">
        <v>1725</v>
      </c>
      <c r="I2490">
        <v>0</v>
      </c>
      <c r="J2490">
        <v>0</v>
      </c>
      <c r="K2490">
        <v>0</v>
      </c>
      <c r="L2490">
        <v>0</v>
      </c>
      <c r="M2490">
        <v>0</v>
      </c>
      <c r="N2490">
        <v>70</v>
      </c>
      <c r="O2490">
        <v>0</v>
      </c>
      <c r="P2490">
        <v>0</v>
      </c>
      <c r="Q2490">
        <v>0</v>
      </c>
      <c r="R2490">
        <v>0</v>
      </c>
      <c r="S2490">
        <v>0</v>
      </c>
      <c r="T2490">
        <v>0</v>
      </c>
      <c r="U2490">
        <v>0</v>
      </c>
      <c r="V2490">
        <v>0</v>
      </c>
      <c r="W2490">
        <v>0</v>
      </c>
      <c r="X2490">
        <v>0</v>
      </c>
      <c r="Z2490">
        <v>0</v>
      </c>
      <c r="AA2490">
        <v>0</v>
      </c>
      <c r="AB2490">
        <v>0</v>
      </c>
      <c r="AC2490">
        <v>0</v>
      </c>
      <c r="AD2490" t="s">
        <v>4938</v>
      </c>
    </row>
    <row r="2491" spans="1:30" x14ac:dyDescent="0.25">
      <c r="H2491" t="s">
        <v>4939</v>
      </c>
    </row>
    <row r="2492" spans="1:30" x14ac:dyDescent="0.25">
      <c r="A2492">
        <v>1243</v>
      </c>
      <c r="B2492">
        <v>4411</v>
      </c>
      <c r="C2492" t="s">
        <v>4940</v>
      </c>
      <c r="D2492" t="s">
        <v>185</v>
      </c>
      <c r="E2492" t="s">
        <v>1169</v>
      </c>
      <c r="F2492" t="s">
        <v>4941</v>
      </c>
      <c r="G2492" t="str">
        <f>"201412005835"</f>
        <v>201412005835</v>
      </c>
      <c r="H2492" t="s">
        <v>3051</v>
      </c>
      <c r="I2492">
        <v>0</v>
      </c>
      <c r="J2492">
        <v>0</v>
      </c>
      <c r="K2492">
        <v>0</v>
      </c>
      <c r="L2492">
        <v>0</v>
      </c>
      <c r="M2492">
        <v>0</v>
      </c>
      <c r="N2492">
        <v>30</v>
      </c>
      <c r="O2492">
        <v>0</v>
      </c>
      <c r="P2492">
        <v>0</v>
      </c>
      <c r="Q2492">
        <v>0</v>
      </c>
      <c r="R2492">
        <v>0</v>
      </c>
      <c r="S2492">
        <v>0</v>
      </c>
      <c r="T2492">
        <v>0</v>
      </c>
      <c r="U2492">
        <v>0</v>
      </c>
      <c r="V2492">
        <v>5</v>
      </c>
      <c r="W2492">
        <v>35</v>
      </c>
      <c r="X2492">
        <v>0</v>
      </c>
      <c r="Z2492">
        <v>0</v>
      </c>
      <c r="AA2492">
        <v>0</v>
      </c>
      <c r="AB2492">
        <v>0</v>
      </c>
      <c r="AC2492">
        <v>0</v>
      </c>
      <c r="AD2492" t="s">
        <v>4942</v>
      </c>
    </row>
    <row r="2493" spans="1:30" x14ac:dyDescent="0.25">
      <c r="H2493" t="s">
        <v>4943</v>
      </c>
    </row>
    <row r="2494" spans="1:30" x14ac:dyDescent="0.25">
      <c r="A2494">
        <v>1244</v>
      </c>
      <c r="B2494">
        <v>1797</v>
      </c>
      <c r="C2494" t="s">
        <v>4944</v>
      </c>
      <c r="D2494" t="s">
        <v>167</v>
      </c>
      <c r="E2494" t="s">
        <v>155</v>
      </c>
      <c r="F2494" t="s">
        <v>4945</v>
      </c>
      <c r="G2494" t="str">
        <f>"00311840"</f>
        <v>00311840</v>
      </c>
      <c r="H2494" t="s">
        <v>900</v>
      </c>
      <c r="I2494">
        <v>0</v>
      </c>
      <c r="J2494">
        <v>0</v>
      </c>
      <c r="K2494">
        <v>0</v>
      </c>
      <c r="L2494">
        <v>0</v>
      </c>
      <c r="M2494">
        <v>0</v>
      </c>
      <c r="N2494">
        <v>50</v>
      </c>
      <c r="O2494">
        <v>0</v>
      </c>
      <c r="P2494">
        <v>0</v>
      </c>
      <c r="Q2494">
        <v>0</v>
      </c>
      <c r="R2494">
        <v>0</v>
      </c>
      <c r="S2494">
        <v>0</v>
      </c>
      <c r="T2494">
        <v>0</v>
      </c>
      <c r="U2494">
        <v>0</v>
      </c>
      <c r="V2494">
        <v>12</v>
      </c>
      <c r="W2494">
        <v>84</v>
      </c>
      <c r="X2494">
        <v>0</v>
      </c>
      <c r="Z2494">
        <v>0</v>
      </c>
      <c r="AA2494">
        <v>0</v>
      </c>
      <c r="AB2494">
        <v>0</v>
      </c>
      <c r="AC2494">
        <v>0</v>
      </c>
      <c r="AD2494" t="s">
        <v>4946</v>
      </c>
    </row>
    <row r="2495" spans="1:30" x14ac:dyDescent="0.25">
      <c r="H2495" t="s">
        <v>4947</v>
      </c>
    </row>
    <row r="2496" spans="1:30" x14ac:dyDescent="0.25">
      <c r="A2496">
        <v>1245</v>
      </c>
      <c r="B2496">
        <v>5862</v>
      </c>
      <c r="C2496" t="s">
        <v>4948</v>
      </c>
      <c r="D2496" t="s">
        <v>830</v>
      </c>
      <c r="E2496" t="s">
        <v>181</v>
      </c>
      <c r="F2496" t="s">
        <v>4949</v>
      </c>
      <c r="G2496" t="str">
        <f>"00202894"</f>
        <v>00202894</v>
      </c>
      <c r="H2496" t="s">
        <v>1549</v>
      </c>
      <c r="I2496">
        <v>0</v>
      </c>
      <c r="J2496">
        <v>0</v>
      </c>
      <c r="K2496">
        <v>0</v>
      </c>
      <c r="L2496">
        <v>0</v>
      </c>
      <c r="M2496">
        <v>0</v>
      </c>
      <c r="N2496">
        <v>30</v>
      </c>
      <c r="O2496">
        <v>0</v>
      </c>
      <c r="P2496">
        <v>0</v>
      </c>
      <c r="Q2496">
        <v>0</v>
      </c>
      <c r="R2496">
        <v>0</v>
      </c>
      <c r="S2496">
        <v>0</v>
      </c>
      <c r="T2496">
        <v>0</v>
      </c>
      <c r="U2496">
        <v>0</v>
      </c>
      <c r="V2496">
        <v>15</v>
      </c>
      <c r="W2496">
        <v>105</v>
      </c>
      <c r="X2496">
        <v>0</v>
      </c>
      <c r="Z2496">
        <v>0</v>
      </c>
      <c r="AA2496">
        <v>0</v>
      </c>
      <c r="AB2496">
        <v>0</v>
      </c>
      <c r="AC2496">
        <v>0</v>
      </c>
      <c r="AD2496" t="s">
        <v>4950</v>
      </c>
    </row>
    <row r="2497" spans="1:30" x14ac:dyDescent="0.25">
      <c r="H2497" t="s">
        <v>4951</v>
      </c>
    </row>
    <row r="2498" spans="1:30" x14ac:dyDescent="0.25">
      <c r="A2498">
        <v>1246</v>
      </c>
      <c r="B2498">
        <v>3299</v>
      </c>
      <c r="C2498" t="s">
        <v>4952</v>
      </c>
      <c r="D2498" t="s">
        <v>319</v>
      </c>
      <c r="E2498" t="s">
        <v>28</v>
      </c>
      <c r="F2498" t="s">
        <v>4953</v>
      </c>
      <c r="G2498" t="str">
        <f>"00019657"</f>
        <v>00019657</v>
      </c>
      <c r="H2498" t="s">
        <v>131</v>
      </c>
      <c r="I2498">
        <v>0</v>
      </c>
      <c r="J2498">
        <v>0</v>
      </c>
      <c r="K2498">
        <v>0</v>
      </c>
      <c r="L2498">
        <v>0</v>
      </c>
      <c r="M2498">
        <v>0</v>
      </c>
      <c r="N2498">
        <v>30</v>
      </c>
      <c r="O2498">
        <v>0</v>
      </c>
      <c r="P2498">
        <v>0</v>
      </c>
      <c r="Q2498">
        <v>0</v>
      </c>
      <c r="R2498">
        <v>0</v>
      </c>
      <c r="S2498">
        <v>0</v>
      </c>
      <c r="T2498">
        <v>0</v>
      </c>
      <c r="U2498">
        <v>0</v>
      </c>
      <c r="V2498">
        <v>-3</v>
      </c>
      <c r="W2498">
        <v>-21</v>
      </c>
      <c r="X2498">
        <v>0</v>
      </c>
      <c r="Z2498">
        <v>0</v>
      </c>
      <c r="AA2498">
        <v>0</v>
      </c>
      <c r="AB2498">
        <v>3</v>
      </c>
      <c r="AC2498">
        <v>51</v>
      </c>
      <c r="AD2498" t="s">
        <v>4954</v>
      </c>
    </row>
    <row r="2499" spans="1:30" x14ac:dyDescent="0.25">
      <c r="H2499" t="s">
        <v>4955</v>
      </c>
    </row>
    <row r="2500" spans="1:30" x14ac:dyDescent="0.25">
      <c r="A2500">
        <v>1247</v>
      </c>
      <c r="B2500">
        <v>1327</v>
      </c>
      <c r="C2500" t="s">
        <v>4956</v>
      </c>
      <c r="D2500" t="s">
        <v>2153</v>
      </c>
      <c r="E2500" t="s">
        <v>28</v>
      </c>
      <c r="F2500" t="s">
        <v>4957</v>
      </c>
      <c r="G2500" t="str">
        <f>"00153407"</f>
        <v>00153407</v>
      </c>
      <c r="H2500" t="s">
        <v>527</v>
      </c>
      <c r="I2500">
        <v>0</v>
      </c>
      <c r="J2500">
        <v>0</v>
      </c>
      <c r="K2500">
        <v>0</v>
      </c>
      <c r="L2500">
        <v>0</v>
      </c>
      <c r="M2500">
        <v>0</v>
      </c>
      <c r="N2500">
        <v>30</v>
      </c>
      <c r="O2500">
        <v>0</v>
      </c>
      <c r="P2500">
        <v>0</v>
      </c>
      <c r="Q2500">
        <v>0</v>
      </c>
      <c r="R2500">
        <v>0</v>
      </c>
      <c r="S2500">
        <v>0</v>
      </c>
      <c r="T2500">
        <v>0</v>
      </c>
      <c r="U2500">
        <v>0</v>
      </c>
      <c r="V2500">
        <v>7</v>
      </c>
      <c r="W2500">
        <v>49</v>
      </c>
      <c r="X2500">
        <v>0</v>
      </c>
      <c r="Z2500">
        <v>0</v>
      </c>
      <c r="AA2500">
        <v>0</v>
      </c>
      <c r="AB2500">
        <v>0</v>
      </c>
      <c r="AC2500">
        <v>0</v>
      </c>
      <c r="AD2500" t="s">
        <v>4958</v>
      </c>
    </row>
    <row r="2501" spans="1:30" x14ac:dyDescent="0.25">
      <c r="H2501" t="s">
        <v>4959</v>
      </c>
    </row>
    <row r="2502" spans="1:30" x14ac:dyDescent="0.25">
      <c r="A2502">
        <v>1248</v>
      </c>
      <c r="B2502">
        <v>3391</v>
      </c>
      <c r="C2502" t="s">
        <v>4082</v>
      </c>
      <c r="D2502" t="s">
        <v>44</v>
      </c>
      <c r="E2502" t="s">
        <v>4960</v>
      </c>
      <c r="F2502" t="s">
        <v>4961</v>
      </c>
      <c r="G2502" t="str">
        <f>"00368309"</f>
        <v>00368309</v>
      </c>
      <c r="H2502" t="s">
        <v>144</v>
      </c>
      <c r="I2502">
        <v>0</v>
      </c>
      <c r="J2502">
        <v>0</v>
      </c>
      <c r="K2502">
        <v>0</v>
      </c>
      <c r="L2502">
        <v>0</v>
      </c>
      <c r="M2502">
        <v>0</v>
      </c>
      <c r="N2502">
        <v>70</v>
      </c>
      <c r="O2502">
        <v>0</v>
      </c>
      <c r="P2502">
        <v>0</v>
      </c>
      <c r="Q2502">
        <v>0</v>
      </c>
      <c r="R2502">
        <v>0</v>
      </c>
      <c r="S2502">
        <v>0</v>
      </c>
      <c r="T2502">
        <v>0</v>
      </c>
      <c r="U2502">
        <v>0</v>
      </c>
      <c r="V2502">
        <v>6</v>
      </c>
      <c r="W2502">
        <v>42</v>
      </c>
      <c r="X2502">
        <v>0</v>
      </c>
      <c r="Z2502">
        <v>2</v>
      </c>
      <c r="AA2502">
        <v>0</v>
      </c>
      <c r="AB2502">
        <v>0</v>
      </c>
      <c r="AC2502">
        <v>0</v>
      </c>
      <c r="AD2502" t="s">
        <v>4958</v>
      </c>
    </row>
    <row r="2503" spans="1:30" x14ac:dyDescent="0.25">
      <c r="H2503" t="s">
        <v>4962</v>
      </c>
    </row>
    <row r="2504" spans="1:30" x14ac:dyDescent="0.25">
      <c r="A2504">
        <v>1249</v>
      </c>
      <c r="B2504">
        <v>1745</v>
      </c>
      <c r="C2504" t="s">
        <v>4963</v>
      </c>
      <c r="D2504" t="s">
        <v>83</v>
      </c>
      <c r="E2504" t="s">
        <v>743</v>
      </c>
      <c r="F2504" t="s">
        <v>4964</v>
      </c>
      <c r="G2504" t="str">
        <f>"201411002728"</f>
        <v>201411002728</v>
      </c>
      <c r="H2504" t="s">
        <v>1356</v>
      </c>
      <c r="I2504">
        <v>0</v>
      </c>
      <c r="J2504">
        <v>0</v>
      </c>
      <c r="K2504">
        <v>0</v>
      </c>
      <c r="L2504">
        <v>0</v>
      </c>
      <c r="M2504">
        <v>0</v>
      </c>
      <c r="N2504">
        <v>30</v>
      </c>
      <c r="O2504">
        <v>0</v>
      </c>
      <c r="P2504">
        <v>0</v>
      </c>
      <c r="Q2504">
        <v>0</v>
      </c>
      <c r="R2504">
        <v>0</v>
      </c>
      <c r="S2504">
        <v>0</v>
      </c>
      <c r="T2504">
        <v>0</v>
      </c>
      <c r="U2504">
        <v>0</v>
      </c>
      <c r="V2504">
        <v>12</v>
      </c>
      <c r="W2504">
        <v>84</v>
      </c>
      <c r="X2504">
        <v>0</v>
      </c>
      <c r="Z2504">
        <v>0</v>
      </c>
      <c r="AA2504">
        <v>0</v>
      </c>
      <c r="AB2504">
        <v>0</v>
      </c>
      <c r="AC2504">
        <v>0</v>
      </c>
      <c r="AD2504" t="s">
        <v>4965</v>
      </c>
    </row>
    <row r="2505" spans="1:30" x14ac:dyDescent="0.25">
      <c r="H2505" t="s">
        <v>570</v>
      </c>
    </row>
    <row r="2506" spans="1:30" x14ac:dyDescent="0.25">
      <c r="A2506">
        <v>1250</v>
      </c>
      <c r="B2506">
        <v>4012</v>
      </c>
      <c r="C2506" t="s">
        <v>308</v>
      </c>
      <c r="D2506" t="s">
        <v>218</v>
      </c>
      <c r="E2506" t="s">
        <v>859</v>
      </c>
      <c r="F2506" t="s">
        <v>4966</v>
      </c>
      <c r="G2506" t="str">
        <f>"00315992"</f>
        <v>00315992</v>
      </c>
      <c r="H2506" t="s">
        <v>2497</v>
      </c>
      <c r="I2506">
        <v>0</v>
      </c>
      <c r="J2506">
        <v>0</v>
      </c>
      <c r="K2506">
        <v>0</v>
      </c>
      <c r="L2506">
        <v>0</v>
      </c>
      <c r="M2506">
        <v>0</v>
      </c>
      <c r="N2506">
        <v>30</v>
      </c>
      <c r="O2506">
        <v>0</v>
      </c>
      <c r="P2506">
        <v>0</v>
      </c>
      <c r="Q2506">
        <v>0</v>
      </c>
      <c r="R2506">
        <v>0</v>
      </c>
      <c r="S2506">
        <v>0</v>
      </c>
      <c r="T2506">
        <v>0</v>
      </c>
      <c r="U2506">
        <v>0</v>
      </c>
      <c r="V2506">
        <v>17</v>
      </c>
      <c r="W2506">
        <v>119</v>
      </c>
      <c r="X2506">
        <v>0</v>
      </c>
      <c r="Z2506">
        <v>1</v>
      </c>
      <c r="AA2506">
        <v>0</v>
      </c>
      <c r="AB2506">
        <v>0</v>
      </c>
      <c r="AC2506">
        <v>0</v>
      </c>
      <c r="AD2506" t="s">
        <v>4967</v>
      </c>
    </row>
    <row r="2507" spans="1:30" x14ac:dyDescent="0.25">
      <c r="H2507" t="s">
        <v>4968</v>
      </c>
    </row>
    <row r="2508" spans="1:30" x14ac:dyDescent="0.25">
      <c r="A2508">
        <v>1251</v>
      </c>
      <c r="B2508">
        <v>5463</v>
      </c>
      <c r="C2508" t="s">
        <v>4969</v>
      </c>
      <c r="D2508" t="s">
        <v>4970</v>
      </c>
      <c r="E2508" t="s">
        <v>167</v>
      </c>
      <c r="F2508" t="s">
        <v>4971</v>
      </c>
      <c r="G2508" t="str">
        <f>"201511014242"</f>
        <v>201511014242</v>
      </c>
      <c r="H2508" t="s">
        <v>781</v>
      </c>
      <c r="I2508">
        <v>0</v>
      </c>
      <c r="J2508">
        <v>0</v>
      </c>
      <c r="K2508">
        <v>0</v>
      </c>
      <c r="L2508">
        <v>0</v>
      </c>
      <c r="M2508">
        <v>0</v>
      </c>
      <c r="N2508">
        <v>50</v>
      </c>
      <c r="O2508">
        <v>0</v>
      </c>
      <c r="P2508">
        <v>0</v>
      </c>
      <c r="Q2508">
        <v>0</v>
      </c>
      <c r="R2508">
        <v>0</v>
      </c>
      <c r="S2508">
        <v>0</v>
      </c>
      <c r="T2508">
        <v>0</v>
      </c>
      <c r="U2508">
        <v>0</v>
      </c>
      <c r="V2508">
        <v>0</v>
      </c>
      <c r="W2508">
        <v>0</v>
      </c>
      <c r="X2508">
        <v>0</v>
      </c>
      <c r="Z2508">
        <v>2</v>
      </c>
      <c r="AA2508">
        <v>0</v>
      </c>
      <c r="AB2508">
        <v>0</v>
      </c>
      <c r="AC2508">
        <v>0</v>
      </c>
      <c r="AD2508" t="s">
        <v>4972</v>
      </c>
    </row>
    <row r="2509" spans="1:30" x14ac:dyDescent="0.25">
      <c r="H2509" t="s">
        <v>4973</v>
      </c>
    </row>
    <row r="2510" spans="1:30" x14ac:dyDescent="0.25">
      <c r="A2510">
        <v>1252</v>
      </c>
      <c r="B2510">
        <v>2251</v>
      </c>
      <c r="C2510" t="s">
        <v>4974</v>
      </c>
      <c r="D2510" t="s">
        <v>167</v>
      </c>
      <c r="E2510" t="s">
        <v>254</v>
      </c>
      <c r="F2510" t="s">
        <v>4975</v>
      </c>
      <c r="G2510" t="str">
        <f>"201406009686"</f>
        <v>201406009686</v>
      </c>
      <c r="H2510" t="s">
        <v>2798</v>
      </c>
      <c r="I2510">
        <v>0</v>
      </c>
      <c r="J2510">
        <v>0</v>
      </c>
      <c r="K2510">
        <v>0</v>
      </c>
      <c r="L2510">
        <v>0</v>
      </c>
      <c r="M2510">
        <v>0</v>
      </c>
      <c r="N2510">
        <v>30</v>
      </c>
      <c r="O2510">
        <v>0</v>
      </c>
      <c r="P2510">
        <v>0</v>
      </c>
      <c r="Q2510">
        <v>0</v>
      </c>
      <c r="R2510">
        <v>0</v>
      </c>
      <c r="S2510">
        <v>0</v>
      </c>
      <c r="T2510">
        <v>0</v>
      </c>
      <c r="U2510">
        <v>0</v>
      </c>
      <c r="V2510">
        <v>18</v>
      </c>
      <c r="W2510">
        <v>126</v>
      </c>
      <c r="X2510">
        <v>0</v>
      </c>
      <c r="Z2510">
        <v>1</v>
      </c>
      <c r="AA2510">
        <v>0</v>
      </c>
      <c r="AB2510">
        <v>0</v>
      </c>
      <c r="AC2510">
        <v>0</v>
      </c>
      <c r="AD2510" t="s">
        <v>4976</v>
      </c>
    </row>
    <row r="2511" spans="1:30" x14ac:dyDescent="0.25">
      <c r="H2511" t="s">
        <v>4977</v>
      </c>
    </row>
    <row r="2512" spans="1:30" x14ac:dyDescent="0.25">
      <c r="A2512">
        <v>1253</v>
      </c>
      <c r="B2512">
        <v>1830</v>
      </c>
      <c r="C2512" t="s">
        <v>4978</v>
      </c>
      <c r="D2512" t="s">
        <v>283</v>
      </c>
      <c r="E2512" t="s">
        <v>102</v>
      </c>
      <c r="F2512" t="s">
        <v>4979</v>
      </c>
      <c r="G2512" t="str">
        <f>"00179922"</f>
        <v>00179922</v>
      </c>
      <c r="H2512" t="s">
        <v>162</v>
      </c>
      <c r="I2512">
        <v>0</v>
      </c>
      <c r="J2512">
        <v>0</v>
      </c>
      <c r="K2512">
        <v>0</v>
      </c>
      <c r="L2512">
        <v>0</v>
      </c>
      <c r="M2512">
        <v>0</v>
      </c>
      <c r="N2512">
        <v>30</v>
      </c>
      <c r="O2512">
        <v>0</v>
      </c>
      <c r="P2512">
        <v>0</v>
      </c>
      <c r="Q2512">
        <v>0</v>
      </c>
      <c r="R2512">
        <v>0</v>
      </c>
      <c r="S2512">
        <v>0</v>
      </c>
      <c r="T2512">
        <v>0</v>
      </c>
      <c r="U2512">
        <v>0</v>
      </c>
      <c r="V2512">
        <v>0</v>
      </c>
      <c r="W2512">
        <v>0</v>
      </c>
      <c r="X2512">
        <v>0</v>
      </c>
      <c r="Z2512">
        <v>2</v>
      </c>
      <c r="AA2512">
        <v>0</v>
      </c>
      <c r="AB2512">
        <v>0</v>
      </c>
      <c r="AC2512">
        <v>0</v>
      </c>
      <c r="AD2512" t="s">
        <v>4980</v>
      </c>
    </row>
    <row r="2513" spans="1:30" x14ac:dyDescent="0.25">
      <c r="H2513" t="s">
        <v>4981</v>
      </c>
    </row>
    <row r="2514" spans="1:30" x14ac:dyDescent="0.25">
      <c r="A2514">
        <v>1254</v>
      </c>
      <c r="B2514">
        <v>4085</v>
      </c>
      <c r="C2514" t="s">
        <v>4982</v>
      </c>
      <c r="D2514" t="s">
        <v>28</v>
      </c>
      <c r="E2514" t="s">
        <v>76</v>
      </c>
      <c r="F2514" t="s">
        <v>4983</v>
      </c>
      <c r="G2514" t="str">
        <f>"00135267"</f>
        <v>00135267</v>
      </c>
      <c r="H2514" t="s">
        <v>2067</v>
      </c>
      <c r="I2514">
        <v>0</v>
      </c>
      <c r="J2514">
        <v>0</v>
      </c>
      <c r="K2514">
        <v>0</v>
      </c>
      <c r="L2514">
        <v>0</v>
      </c>
      <c r="M2514">
        <v>0</v>
      </c>
      <c r="N2514">
        <v>70</v>
      </c>
      <c r="O2514">
        <v>0</v>
      </c>
      <c r="P2514">
        <v>0</v>
      </c>
      <c r="Q2514">
        <v>0</v>
      </c>
      <c r="R2514">
        <v>0</v>
      </c>
      <c r="S2514">
        <v>0</v>
      </c>
      <c r="T2514">
        <v>0</v>
      </c>
      <c r="U2514">
        <v>0</v>
      </c>
      <c r="V2514">
        <v>0</v>
      </c>
      <c r="W2514">
        <v>0</v>
      </c>
      <c r="X2514">
        <v>0</v>
      </c>
      <c r="Z2514">
        <v>0</v>
      </c>
      <c r="AA2514">
        <v>0</v>
      </c>
      <c r="AB2514">
        <v>0</v>
      </c>
      <c r="AC2514">
        <v>0</v>
      </c>
      <c r="AD2514" t="s">
        <v>4984</v>
      </c>
    </row>
    <row r="2515" spans="1:30" x14ac:dyDescent="0.25">
      <c r="H2515" t="s">
        <v>4985</v>
      </c>
    </row>
    <row r="2516" spans="1:30" x14ac:dyDescent="0.25">
      <c r="A2516">
        <v>1255</v>
      </c>
      <c r="B2516">
        <v>5435</v>
      </c>
      <c r="C2516" t="s">
        <v>4986</v>
      </c>
      <c r="D2516" t="s">
        <v>28</v>
      </c>
      <c r="E2516" t="s">
        <v>64</v>
      </c>
      <c r="F2516" t="s">
        <v>4987</v>
      </c>
      <c r="G2516" t="str">
        <f>"00363261"</f>
        <v>00363261</v>
      </c>
      <c r="H2516" t="s">
        <v>2733</v>
      </c>
      <c r="I2516">
        <v>0</v>
      </c>
      <c r="J2516">
        <v>0</v>
      </c>
      <c r="K2516">
        <v>0</v>
      </c>
      <c r="L2516">
        <v>0</v>
      </c>
      <c r="M2516">
        <v>0</v>
      </c>
      <c r="N2516">
        <v>30</v>
      </c>
      <c r="O2516">
        <v>0</v>
      </c>
      <c r="P2516">
        <v>30</v>
      </c>
      <c r="Q2516">
        <v>0</v>
      </c>
      <c r="R2516">
        <v>0</v>
      </c>
      <c r="S2516">
        <v>0</v>
      </c>
      <c r="T2516">
        <v>0</v>
      </c>
      <c r="U2516">
        <v>0</v>
      </c>
      <c r="V2516">
        <v>19</v>
      </c>
      <c r="W2516">
        <v>133</v>
      </c>
      <c r="X2516">
        <v>0</v>
      </c>
      <c r="Z2516">
        <v>0</v>
      </c>
      <c r="AA2516">
        <v>0</v>
      </c>
      <c r="AB2516">
        <v>0</v>
      </c>
      <c r="AC2516">
        <v>0</v>
      </c>
      <c r="AD2516" t="s">
        <v>4988</v>
      </c>
    </row>
    <row r="2517" spans="1:30" x14ac:dyDescent="0.25">
      <c r="H2517" t="s">
        <v>570</v>
      </c>
    </row>
    <row r="2518" spans="1:30" x14ac:dyDescent="0.25">
      <c r="A2518">
        <v>1256</v>
      </c>
      <c r="B2518">
        <v>565</v>
      </c>
      <c r="C2518" t="s">
        <v>4989</v>
      </c>
      <c r="D2518" t="s">
        <v>49</v>
      </c>
      <c r="E2518" t="s">
        <v>254</v>
      </c>
      <c r="F2518" t="s">
        <v>4990</v>
      </c>
      <c r="G2518" t="str">
        <f>"00159205"</f>
        <v>00159205</v>
      </c>
      <c r="H2518">
        <v>825</v>
      </c>
      <c r="I2518">
        <v>0</v>
      </c>
      <c r="J2518">
        <v>0</v>
      </c>
      <c r="K2518">
        <v>0</v>
      </c>
      <c r="L2518">
        <v>0</v>
      </c>
      <c r="M2518">
        <v>0</v>
      </c>
      <c r="N2518">
        <v>0</v>
      </c>
      <c r="O2518">
        <v>0</v>
      </c>
      <c r="P2518">
        <v>0</v>
      </c>
      <c r="Q2518">
        <v>0</v>
      </c>
      <c r="R2518">
        <v>0</v>
      </c>
      <c r="S2518">
        <v>0</v>
      </c>
      <c r="T2518">
        <v>0</v>
      </c>
      <c r="U2518">
        <v>0</v>
      </c>
      <c r="V2518">
        <v>0</v>
      </c>
      <c r="W2518">
        <v>0</v>
      </c>
      <c r="X2518">
        <v>0</v>
      </c>
      <c r="Z2518">
        <v>0</v>
      </c>
      <c r="AA2518">
        <v>0</v>
      </c>
      <c r="AB2518">
        <v>0</v>
      </c>
      <c r="AC2518">
        <v>0</v>
      </c>
      <c r="AD2518">
        <v>825</v>
      </c>
    </row>
    <row r="2519" spans="1:30" x14ac:dyDescent="0.25">
      <c r="H2519" t="s">
        <v>4991</v>
      </c>
    </row>
    <row r="2520" spans="1:30" x14ac:dyDescent="0.25">
      <c r="A2520">
        <v>1257</v>
      </c>
      <c r="B2520">
        <v>4278</v>
      </c>
      <c r="C2520" t="s">
        <v>4992</v>
      </c>
      <c r="D2520" t="s">
        <v>4993</v>
      </c>
      <c r="E2520" t="s">
        <v>866</v>
      </c>
      <c r="F2520" t="s">
        <v>4994</v>
      </c>
      <c r="G2520" t="str">
        <f>"00365526"</f>
        <v>00365526</v>
      </c>
      <c r="H2520" t="s">
        <v>620</v>
      </c>
      <c r="I2520">
        <v>0</v>
      </c>
      <c r="J2520">
        <v>0</v>
      </c>
      <c r="K2520">
        <v>0</v>
      </c>
      <c r="L2520">
        <v>0</v>
      </c>
      <c r="M2520">
        <v>0</v>
      </c>
      <c r="N2520">
        <v>30</v>
      </c>
      <c r="O2520">
        <v>0</v>
      </c>
      <c r="P2520">
        <v>0</v>
      </c>
      <c r="Q2520">
        <v>0</v>
      </c>
      <c r="R2520">
        <v>0</v>
      </c>
      <c r="S2520">
        <v>0</v>
      </c>
      <c r="T2520">
        <v>0</v>
      </c>
      <c r="U2520">
        <v>0</v>
      </c>
      <c r="V2520">
        <v>0</v>
      </c>
      <c r="W2520">
        <v>0</v>
      </c>
      <c r="X2520">
        <v>0</v>
      </c>
      <c r="Z2520">
        <v>0</v>
      </c>
      <c r="AA2520">
        <v>0</v>
      </c>
      <c r="AB2520">
        <v>0</v>
      </c>
      <c r="AC2520">
        <v>0</v>
      </c>
      <c r="AD2520" t="s">
        <v>4995</v>
      </c>
    </row>
    <row r="2521" spans="1:30" x14ac:dyDescent="0.25">
      <c r="H2521" t="s">
        <v>4996</v>
      </c>
    </row>
    <row r="2522" spans="1:30" x14ac:dyDescent="0.25">
      <c r="A2522">
        <v>1258</v>
      </c>
      <c r="B2522">
        <v>4738</v>
      </c>
      <c r="C2522" t="s">
        <v>4997</v>
      </c>
      <c r="D2522" t="s">
        <v>444</v>
      </c>
      <c r="E2522" t="s">
        <v>4998</v>
      </c>
      <c r="F2522" t="s">
        <v>4999</v>
      </c>
      <c r="G2522" t="str">
        <f>"00361241"</f>
        <v>00361241</v>
      </c>
      <c r="H2522" t="s">
        <v>3510</v>
      </c>
      <c r="I2522">
        <v>0</v>
      </c>
      <c r="J2522">
        <v>0</v>
      </c>
      <c r="K2522">
        <v>0</v>
      </c>
      <c r="L2522">
        <v>0</v>
      </c>
      <c r="M2522">
        <v>0</v>
      </c>
      <c r="N2522">
        <v>0</v>
      </c>
      <c r="O2522">
        <v>0</v>
      </c>
      <c r="P2522">
        <v>0</v>
      </c>
      <c r="Q2522">
        <v>0</v>
      </c>
      <c r="R2522">
        <v>0</v>
      </c>
      <c r="S2522">
        <v>0</v>
      </c>
      <c r="T2522">
        <v>0</v>
      </c>
      <c r="U2522">
        <v>0</v>
      </c>
      <c r="V2522">
        <v>16</v>
      </c>
      <c r="W2522">
        <v>112</v>
      </c>
      <c r="X2522">
        <v>0</v>
      </c>
      <c r="Z2522">
        <v>2</v>
      </c>
      <c r="AA2522">
        <v>0</v>
      </c>
      <c r="AB2522">
        <v>0</v>
      </c>
      <c r="AC2522">
        <v>0</v>
      </c>
      <c r="AD2522" t="s">
        <v>5000</v>
      </c>
    </row>
    <row r="2523" spans="1:30" x14ac:dyDescent="0.25">
      <c r="H2523" t="s">
        <v>5001</v>
      </c>
    </row>
    <row r="2524" spans="1:30" x14ac:dyDescent="0.25">
      <c r="A2524">
        <v>1259</v>
      </c>
      <c r="B2524">
        <v>689</v>
      </c>
      <c r="C2524" t="s">
        <v>5002</v>
      </c>
      <c r="D2524" t="s">
        <v>490</v>
      </c>
      <c r="E2524" t="s">
        <v>102</v>
      </c>
      <c r="F2524" t="s">
        <v>5003</v>
      </c>
      <c r="G2524" t="str">
        <f>"00108745"</f>
        <v>00108745</v>
      </c>
      <c r="H2524" t="s">
        <v>2228</v>
      </c>
      <c r="I2524">
        <v>0</v>
      </c>
      <c r="J2524">
        <v>0</v>
      </c>
      <c r="K2524">
        <v>0</v>
      </c>
      <c r="L2524">
        <v>0</v>
      </c>
      <c r="M2524">
        <v>0</v>
      </c>
      <c r="N2524">
        <v>30</v>
      </c>
      <c r="O2524">
        <v>0</v>
      </c>
      <c r="P2524">
        <v>0</v>
      </c>
      <c r="Q2524">
        <v>0</v>
      </c>
      <c r="R2524">
        <v>0</v>
      </c>
      <c r="S2524">
        <v>0</v>
      </c>
      <c r="T2524">
        <v>0</v>
      </c>
      <c r="U2524">
        <v>0</v>
      </c>
      <c r="V2524">
        <v>12</v>
      </c>
      <c r="W2524">
        <v>84</v>
      </c>
      <c r="X2524">
        <v>0</v>
      </c>
      <c r="Z2524">
        <v>0</v>
      </c>
      <c r="AA2524">
        <v>0</v>
      </c>
      <c r="AB2524">
        <v>0</v>
      </c>
      <c r="AC2524">
        <v>0</v>
      </c>
      <c r="AD2524" t="s">
        <v>5004</v>
      </c>
    </row>
    <row r="2525" spans="1:30" x14ac:dyDescent="0.25">
      <c r="H2525" t="s">
        <v>360</v>
      </c>
    </row>
    <row r="2526" spans="1:30" x14ac:dyDescent="0.25">
      <c r="A2526">
        <v>1260</v>
      </c>
      <c r="B2526">
        <v>277</v>
      </c>
      <c r="C2526" t="s">
        <v>5005</v>
      </c>
      <c r="D2526" t="s">
        <v>218</v>
      </c>
      <c r="E2526" t="s">
        <v>32</v>
      </c>
      <c r="F2526" t="s">
        <v>5006</v>
      </c>
      <c r="G2526" t="str">
        <f>"201406010984"</f>
        <v>201406010984</v>
      </c>
      <c r="H2526" t="s">
        <v>1986</v>
      </c>
      <c r="I2526">
        <v>0</v>
      </c>
      <c r="J2526">
        <v>0</v>
      </c>
      <c r="K2526">
        <v>0</v>
      </c>
      <c r="L2526">
        <v>0</v>
      </c>
      <c r="M2526">
        <v>0</v>
      </c>
      <c r="N2526">
        <v>30</v>
      </c>
      <c r="O2526">
        <v>0</v>
      </c>
      <c r="P2526">
        <v>0</v>
      </c>
      <c r="Q2526">
        <v>0</v>
      </c>
      <c r="R2526">
        <v>0</v>
      </c>
      <c r="S2526">
        <v>0</v>
      </c>
      <c r="T2526">
        <v>0</v>
      </c>
      <c r="U2526">
        <v>0</v>
      </c>
      <c r="V2526">
        <v>20</v>
      </c>
      <c r="W2526">
        <v>140</v>
      </c>
      <c r="X2526">
        <v>0</v>
      </c>
      <c r="Z2526">
        <v>0</v>
      </c>
      <c r="AA2526">
        <v>0</v>
      </c>
      <c r="AB2526">
        <v>0</v>
      </c>
      <c r="AC2526">
        <v>0</v>
      </c>
      <c r="AD2526" t="s">
        <v>5007</v>
      </c>
    </row>
    <row r="2527" spans="1:30" x14ac:dyDescent="0.25">
      <c r="H2527" t="s">
        <v>5008</v>
      </c>
    </row>
    <row r="2528" spans="1:30" x14ac:dyDescent="0.25">
      <c r="A2528">
        <v>1261</v>
      </c>
      <c r="B2528">
        <v>1988</v>
      </c>
      <c r="C2528" t="s">
        <v>5009</v>
      </c>
      <c r="D2528" t="s">
        <v>5010</v>
      </c>
      <c r="E2528" t="s">
        <v>5011</v>
      </c>
      <c r="F2528" t="s">
        <v>5012</v>
      </c>
      <c r="G2528" t="str">
        <f>"00224753"</f>
        <v>00224753</v>
      </c>
      <c r="H2528">
        <v>792</v>
      </c>
      <c r="I2528">
        <v>0</v>
      </c>
      <c r="J2528">
        <v>0</v>
      </c>
      <c r="K2528">
        <v>0</v>
      </c>
      <c r="L2528">
        <v>0</v>
      </c>
      <c r="M2528">
        <v>0</v>
      </c>
      <c r="N2528">
        <v>30</v>
      </c>
      <c r="O2528">
        <v>0</v>
      </c>
      <c r="P2528">
        <v>0</v>
      </c>
      <c r="Q2528">
        <v>0</v>
      </c>
      <c r="R2528">
        <v>0</v>
      </c>
      <c r="S2528">
        <v>0</v>
      </c>
      <c r="T2528">
        <v>0</v>
      </c>
      <c r="U2528">
        <v>0</v>
      </c>
      <c r="V2528">
        <v>0</v>
      </c>
      <c r="W2528">
        <v>0</v>
      </c>
      <c r="X2528">
        <v>0</v>
      </c>
      <c r="Z2528">
        <v>2</v>
      </c>
      <c r="AA2528">
        <v>0</v>
      </c>
      <c r="AB2528">
        <v>0</v>
      </c>
      <c r="AC2528">
        <v>0</v>
      </c>
      <c r="AD2528">
        <v>822</v>
      </c>
    </row>
    <row r="2529" spans="1:30" x14ac:dyDescent="0.25">
      <c r="H2529" t="s">
        <v>5013</v>
      </c>
    </row>
    <row r="2530" spans="1:30" x14ac:dyDescent="0.25">
      <c r="A2530">
        <v>1262</v>
      </c>
      <c r="B2530">
        <v>6145</v>
      </c>
      <c r="C2530" t="s">
        <v>5014</v>
      </c>
      <c r="D2530" t="s">
        <v>102</v>
      </c>
      <c r="E2530" t="s">
        <v>445</v>
      </c>
      <c r="F2530" t="s">
        <v>5015</v>
      </c>
      <c r="G2530" t="str">
        <f>"201502004127"</f>
        <v>201502004127</v>
      </c>
      <c r="H2530">
        <v>715</v>
      </c>
      <c r="I2530">
        <v>0</v>
      </c>
      <c r="J2530">
        <v>0</v>
      </c>
      <c r="K2530">
        <v>0</v>
      </c>
      <c r="L2530">
        <v>0</v>
      </c>
      <c r="M2530">
        <v>0</v>
      </c>
      <c r="N2530">
        <v>30</v>
      </c>
      <c r="O2530">
        <v>0</v>
      </c>
      <c r="P2530">
        <v>0</v>
      </c>
      <c r="Q2530">
        <v>0</v>
      </c>
      <c r="R2530">
        <v>0</v>
      </c>
      <c r="S2530">
        <v>0</v>
      </c>
      <c r="T2530">
        <v>0</v>
      </c>
      <c r="U2530">
        <v>0</v>
      </c>
      <c r="V2530">
        <v>11</v>
      </c>
      <c r="W2530">
        <v>77</v>
      </c>
      <c r="X2530">
        <v>0</v>
      </c>
      <c r="Z2530">
        <v>0</v>
      </c>
      <c r="AA2530">
        <v>0</v>
      </c>
      <c r="AB2530">
        <v>0</v>
      </c>
      <c r="AC2530">
        <v>0</v>
      </c>
      <c r="AD2530">
        <v>822</v>
      </c>
    </row>
    <row r="2531" spans="1:30" x14ac:dyDescent="0.25">
      <c r="H2531" t="s">
        <v>5016</v>
      </c>
    </row>
    <row r="2532" spans="1:30" x14ac:dyDescent="0.25">
      <c r="A2532">
        <v>1263</v>
      </c>
      <c r="B2532">
        <v>6037</v>
      </c>
      <c r="C2532" t="s">
        <v>5017</v>
      </c>
      <c r="D2532" t="s">
        <v>5018</v>
      </c>
      <c r="E2532" t="s">
        <v>325</v>
      </c>
      <c r="F2532" t="s">
        <v>5019</v>
      </c>
      <c r="G2532" t="str">
        <f>"00369590"</f>
        <v>00369590</v>
      </c>
      <c r="H2532">
        <v>693</v>
      </c>
      <c r="I2532">
        <v>0</v>
      </c>
      <c r="J2532">
        <v>0</v>
      </c>
      <c r="K2532">
        <v>0</v>
      </c>
      <c r="L2532">
        <v>0</v>
      </c>
      <c r="M2532">
        <v>0</v>
      </c>
      <c r="N2532">
        <v>30</v>
      </c>
      <c r="O2532">
        <v>0</v>
      </c>
      <c r="P2532">
        <v>30</v>
      </c>
      <c r="Q2532">
        <v>0</v>
      </c>
      <c r="R2532">
        <v>0</v>
      </c>
      <c r="S2532">
        <v>0</v>
      </c>
      <c r="T2532">
        <v>0</v>
      </c>
      <c r="U2532">
        <v>0</v>
      </c>
      <c r="V2532">
        <v>0</v>
      </c>
      <c r="W2532">
        <v>0</v>
      </c>
      <c r="X2532">
        <v>0</v>
      </c>
      <c r="Z2532">
        <v>2</v>
      </c>
      <c r="AA2532">
        <v>0</v>
      </c>
      <c r="AB2532">
        <v>4</v>
      </c>
      <c r="AC2532">
        <v>68</v>
      </c>
      <c r="AD2532">
        <v>821</v>
      </c>
    </row>
    <row r="2533" spans="1:30" x14ac:dyDescent="0.25">
      <c r="H2533" t="s">
        <v>4891</v>
      </c>
    </row>
    <row r="2534" spans="1:30" x14ac:dyDescent="0.25">
      <c r="A2534">
        <v>1264</v>
      </c>
      <c r="B2534">
        <v>5127</v>
      </c>
      <c r="C2534" t="s">
        <v>2190</v>
      </c>
      <c r="D2534" t="s">
        <v>5020</v>
      </c>
      <c r="E2534" t="s">
        <v>102</v>
      </c>
      <c r="F2534" t="s">
        <v>5021</v>
      </c>
      <c r="G2534" t="str">
        <f>"00241250"</f>
        <v>00241250</v>
      </c>
      <c r="H2534" t="s">
        <v>97</v>
      </c>
      <c r="I2534">
        <v>0</v>
      </c>
      <c r="J2534">
        <v>0</v>
      </c>
      <c r="K2534">
        <v>0</v>
      </c>
      <c r="L2534">
        <v>0</v>
      </c>
      <c r="M2534">
        <v>0</v>
      </c>
      <c r="N2534">
        <v>30</v>
      </c>
      <c r="O2534">
        <v>0</v>
      </c>
      <c r="P2534">
        <v>0</v>
      </c>
      <c r="Q2534">
        <v>0</v>
      </c>
      <c r="R2534">
        <v>0</v>
      </c>
      <c r="S2534">
        <v>0</v>
      </c>
      <c r="T2534">
        <v>0</v>
      </c>
      <c r="U2534">
        <v>0</v>
      </c>
      <c r="V2534">
        <v>0</v>
      </c>
      <c r="W2534">
        <v>0</v>
      </c>
      <c r="X2534">
        <v>0</v>
      </c>
      <c r="Z2534">
        <v>0</v>
      </c>
      <c r="AA2534">
        <v>0</v>
      </c>
      <c r="AB2534">
        <v>0</v>
      </c>
      <c r="AC2534">
        <v>0</v>
      </c>
      <c r="AD2534" t="s">
        <v>5022</v>
      </c>
    </row>
    <row r="2535" spans="1:30" x14ac:dyDescent="0.25">
      <c r="H2535" t="s">
        <v>5023</v>
      </c>
    </row>
    <row r="2536" spans="1:30" x14ac:dyDescent="0.25">
      <c r="A2536">
        <v>1265</v>
      </c>
      <c r="B2536">
        <v>4925</v>
      </c>
      <c r="C2536" t="s">
        <v>5024</v>
      </c>
      <c r="D2536" t="s">
        <v>5025</v>
      </c>
      <c r="E2536" t="s">
        <v>445</v>
      </c>
      <c r="F2536" t="s">
        <v>5026</v>
      </c>
      <c r="G2536" t="str">
        <f>"201402004996"</f>
        <v>201402004996</v>
      </c>
      <c r="H2536" t="s">
        <v>4402</v>
      </c>
      <c r="I2536">
        <v>0</v>
      </c>
      <c r="J2536">
        <v>0</v>
      </c>
      <c r="K2536">
        <v>0</v>
      </c>
      <c r="L2536">
        <v>0</v>
      </c>
      <c r="M2536">
        <v>0</v>
      </c>
      <c r="N2536">
        <v>30</v>
      </c>
      <c r="O2536">
        <v>0</v>
      </c>
      <c r="P2536">
        <v>0</v>
      </c>
      <c r="Q2536">
        <v>0</v>
      </c>
      <c r="R2536">
        <v>0</v>
      </c>
      <c r="S2536">
        <v>0</v>
      </c>
      <c r="T2536">
        <v>0</v>
      </c>
      <c r="U2536">
        <v>0</v>
      </c>
      <c r="V2536">
        <v>9</v>
      </c>
      <c r="W2536">
        <v>63</v>
      </c>
      <c r="X2536">
        <v>0</v>
      </c>
      <c r="Z2536">
        <v>0</v>
      </c>
      <c r="AA2536">
        <v>0</v>
      </c>
      <c r="AB2536">
        <v>0</v>
      </c>
      <c r="AC2536">
        <v>0</v>
      </c>
      <c r="AD2536" t="s">
        <v>5027</v>
      </c>
    </row>
    <row r="2537" spans="1:30" x14ac:dyDescent="0.25">
      <c r="H2537" t="s">
        <v>5028</v>
      </c>
    </row>
    <row r="2538" spans="1:30" x14ac:dyDescent="0.25">
      <c r="A2538">
        <v>1266</v>
      </c>
      <c r="B2538">
        <v>2033</v>
      </c>
      <c r="C2538" t="s">
        <v>5029</v>
      </c>
      <c r="D2538" t="s">
        <v>27</v>
      </c>
      <c r="E2538" t="s">
        <v>1145</v>
      </c>
      <c r="F2538" t="s">
        <v>5030</v>
      </c>
      <c r="G2538" t="str">
        <f>"00150046"</f>
        <v>00150046</v>
      </c>
      <c r="H2538" t="s">
        <v>169</v>
      </c>
      <c r="I2538">
        <v>0</v>
      </c>
      <c r="J2538">
        <v>0</v>
      </c>
      <c r="K2538">
        <v>0</v>
      </c>
      <c r="L2538">
        <v>0</v>
      </c>
      <c r="M2538">
        <v>0</v>
      </c>
      <c r="N2538">
        <v>30</v>
      </c>
      <c r="O2538">
        <v>0</v>
      </c>
      <c r="P2538">
        <v>0</v>
      </c>
      <c r="Q2538">
        <v>0</v>
      </c>
      <c r="R2538">
        <v>0</v>
      </c>
      <c r="S2538">
        <v>0</v>
      </c>
      <c r="T2538">
        <v>0</v>
      </c>
      <c r="U2538">
        <v>0</v>
      </c>
      <c r="V2538">
        <v>0</v>
      </c>
      <c r="W2538">
        <v>0</v>
      </c>
      <c r="X2538">
        <v>0</v>
      </c>
      <c r="Z2538">
        <v>0</v>
      </c>
      <c r="AA2538">
        <v>0</v>
      </c>
      <c r="AB2538">
        <v>0</v>
      </c>
      <c r="AC2538">
        <v>0</v>
      </c>
      <c r="AD2538" t="s">
        <v>5031</v>
      </c>
    </row>
    <row r="2539" spans="1:30" x14ac:dyDescent="0.25">
      <c r="H2539" t="s">
        <v>5032</v>
      </c>
    </row>
    <row r="2540" spans="1:30" x14ac:dyDescent="0.25">
      <c r="A2540">
        <v>1267</v>
      </c>
      <c r="B2540">
        <v>4004</v>
      </c>
      <c r="C2540" t="s">
        <v>5033</v>
      </c>
      <c r="D2540" t="s">
        <v>44</v>
      </c>
      <c r="E2540" t="s">
        <v>28</v>
      </c>
      <c r="F2540" t="s">
        <v>5034</v>
      </c>
      <c r="G2540" t="str">
        <f>"00362731"</f>
        <v>00362731</v>
      </c>
      <c r="H2540" t="s">
        <v>169</v>
      </c>
      <c r="I2540">
        <v>0</v>
      </c>
      <c r="J2540">
        <v>0</v>
      </c>
      <c r="K2540">
        <v>0</v>
      </c>
      <c r="L2540">
        <v>0</v>
      </c>
      <c r="M2540">
        <v>0</v>
      </c>
      <c r="N2540">
        <v>30</v>
      </c>
      <c r="O2540">
        <v>0</v>
      </c>
      <c r="P2540">
        <v>0</v>
      </c>
      <c r="Q2540">
        <v>0</v>
      </c>
      <c r="R2540">
        <v>0</v>
      </c>
      <c r="S2540">
        <v>0</v>
      </c>
      <c r="T2540">
        <v>0</v>
      </c>
      <c r="U2540">
        <v>0</v>
      </c>
      <c r="V2540">
        <v>0</v>
      </c>
      <c r="W2540">
        <v>0</v>
      </c>
      <c r="X2540">
        <v>0</v>
      </c>
      <c r="Z2540">
        <v>0</v>
      </c>
      <c r="AA2540">
        <v>0</v>
      </c>
      <c r="AB2540">
        <v>0</v>
      </c>
      <c r="AC2540">
        <v>0</v>
      </c>
      <c r="AD2540" t="s">
        <v>5031</v>
      </c>
    </row>
    <row r="2541" spans="1:30" x14ac:dyDescent="0.25">
      <c r="H2541" t="s">
        <v>1235</v>
      </c>
    </row>
    <row r="2542" spans="1:30" x14ac:dyDescent="0.25">
      <c r="A2542">
        <v>1268</v>
      </c>
      <c r="B2542">
        <v>3643</v>
      </c>
      <c r="C2542" t="s">
        <v>5035</v>
      </c>
      <c r="D2542" t="s">
        <v>389</v>
      </c>
      <c r="E2542" t="s">
        <v>49</v>
      </c>
      <c r="F2542" t="s">
        <v>5036</v>
      </c>
      <c r="G2542" t="str">
        <f>"00290968"</f>
        <v>00290968</v>
      </c>
      <c r="H2542" t="s">
        <v>248</v>
      </c>
      <c r="I2542">
        <v>0</v>
      </c>
      <c r="J2542">
        <v>0</v>
      </c>
      <c r="K2542">
        <v>0</v>
      </c>
      <c r="L2542">
        <v>0</v>
      </c>
      <c r="M2542">
        <v>0</v>
      </c>
      <c r="N2542">
        <v>30</v>
      </c>
      <c r="O2542">
        <v>0</v>
      </c>
      <c r="P2542">
        <v>0</v>
      </c>
      <c r="Q2542">
        <v>0</v>
      </c>
      <c r="R2542">
        <v>0</v>
      </c>
      <c r="S2542">
        <v>0</v>
      </c>
      <c r="T2542">
        <v>0</v>
      </c>
      <c r="U2542">
        <v>0</v>
      </c>
      <c r="V2542">
        <v>19</v>
      </c>
      <c r="W2542">
        <v>133</v>
      </c>
      <c r="X2542">
        <v>0</v>
      </c>
      <c r="Z2542">
        <v>0</v>
      </c>
      <c r="AA2542">
        <v>0</v>
      </c>
      <c r="AB2542">
        <v>0</v>
      </c>
      <c r="AC2542">
        <v>0</v>
      </c>
      <c r="AD2542" t="s">
        <v>5037</v>
      </c>
    </row>
    <row r="2543" spans="1:30" x14ac:dyDescent="0.25">
      <c r="H2543" t="s">
        <v>5038</v>
      </c>
    </row>
    <row r="2544" spans="1:30" x14ac:dyDescent="0.25">
      <c r="A2544">
        <v>1269</v>
      </c>
      <c r="B2544">
        <v>2939</v>
      </c>
      <c r="C2544" t="s">
        <v>5039</v>
      </c>
      <c r="D2544" t="s">
        <v>120</v>
      </c>
      <c r="E2544" t="s">
        <v>32</v>
      </c>
      <c r="F2544" t="s">
        <v>5040</v>
      </c>
      <c r="G2544" t="str">
        <f>"201411001221"</f>
        <v>201411001221</v>
      </c>
      <c r="H2544" t="s">
        <v>476</v>
      </c>
      <c r="I2544">
        <v>0</v>
      </c>
      <c r="J2544">
        <v>0</v>
      </c>
      <c r="K2544">
        <v>0</v>
      </c>
      <c r="L2544">
        <v>0</v>
      </c>
      <c r="M2544">
        <v>0</v>
      </c>
      <c r="N2544">
        <v>0</v>
      </c>
      <c r="O2544">
        <v>0</v>
      </c>
      <c r="P2544">
        <v>0</v>
      </c>
      <c r="Q2544">
        <v>0</v>
      </c>
      <c r="R2544">
        <v>0</v>
      </c>
      <c r="S2544">
        <v>0</v>
      </c>
      <c r="T2544">
        <v>0</v>
      </c>
      <c r="U2544">
        <v>0</v>
      </c>
      <c r="V2544">
        <v>0</v>
      </c>
      <c r="W2544">
        <v>0</v>
      </c>
      <c r="X2544">
        <v>0</v>
      </c>
      <c r="Z2544">
        <v>0</v>
      </c>
      <c r="AA2544">
        <v>0</v>
      </c>
      <c r="AB2544">
        <v>5</v>
      </c>
      <c r="AC2544">
        <v>85</v>
      </c>
      <c r="AD2544" t="s">
        <v>5041</v>
      </c>
    </row>
    <row r="2545" spans="1:30" x14ac:dyDescent="0.25">
      <c r="H2545" t="s">
        <v>5042</v>
      </c>
    </row>
    <row r="2546" spans="1:30" x14ac:dyDescent="0.25">
      <c r="A2546">
        <v>1270</v>
      </c>
      <c r="B2546">
        <v>3603</v>
      </c>
      <c r="C2546" t="s">
        <v>5043</v>
      </c>
      <c r="D2546" t="s">
        <v>315</v>
      </c>
      <c r="E2546" t="s">
        <v>120</v>
      </c>
      <c r="F2546" t="s">
        <v>5044</v>
      </c>
      <c r="G2546" t="str">
        <f>"201002000433"</f>
        <v>201002000433</v>
      </c>
      <c r="H2546" t="s">
        <v>285</v>
      </c>
      <c r="I2546">
        <v>0</v>
      </c>
      <c r="J2546">
        <v>0</v>
      </c>
      <c r="K2546">
        <v>0</v>
      </c>
      <c r="L2546">
        <v>0</v>
      </c>
      <c r="M2546">
        <v>100</v>
      </c>
      <c r="N2546">
        <v>30</v>
      </c>
      <c r="O2546">
        <v>0</v>
      </c>
      <c r="P2546">
        <v>0</v>
      </c>
      <c r="Q2546">
        <v>0</v>
      </c>
      <c r="R2546">
        <v>0</v>
      </c>
      <c r="S2546">
        <v>0</v>
      </c>
      <c r="T2546">
        <v>0</v>
      </c>
      <c r="U2546">
        <v>0</v>
      </c>
      <c r="V2546">
        <v>0</v>
      </c>
      <c r="W2546">
        <v>0</v>
      </c>
      <c r="X2546">
        <v>0</v>
      </c>
      <c r="Z2546">
        <v>0</v>
      </c>
      <c r="AA2546">
        <v>0</v>
      </c>
      <c r="AB2546">
        <v>0</v>
      </c>
      <c r="AC2546">
        <v>0</v>
      </c>
      <c r="AD2546" t="s">
        <v>5045</v>
      </c>
    </row>
    <row r="2547" spans="1:30" x14ac:dyDescent="0.25">
      <c r="H2547" t="s">
        <v>5046</v>
      </c>
    </row>
    <row r="2548" spans="1:30" x14ac:dyDescent="0.25">
      <c r="A2548">
        <v>1271</v>
      </c>
      <c r="B2548">
        <v>3071</v>
      </c>
      <c r="C2548" t="s">
        <v>5047</v>
      </c>
      <c r="D2548" t="s">
        <v>5048</v>
      </c>
      <c r="E2548" t="s">
        <v>1048</v>
      </c>
      <c r="F2548" t="s">
        <v>5049</v>
      </c>
      <c r="G2548" t="str">
        <f>"00223337"</f>
        <v>00223337</v>
      </c>
      <c r="H2548" t="s">
        <v>1100</v>
      </c>
      <c r="I2548">
        <v>0</v>
      </c>
      <c r="J2548">
        <v>0</v>
      </c>
      <c r="K2548">
        <v>0</v>
      </c>
      <c r="L2548">
        <v>0</v>
      </c>
      <c r="M2548">
        <v>0</v>
      </c>
      <c r="N2548">
        <v>50</v>
      </c>
      <c r="O2548">
        <v>50</v>
      </c>
      <c r="P2548">
        <v>0</v>
      </c>
      <c r="Q2548">
        <v>0</v>
      </c>
      <c r="R2548">
        <v>0</v>
      </c>
      <c r="S2548">
        <v>0</v>
      </c>
      <c r="T2548">
        <v>0</v>
      </c>
      <c r="U2548">
        <v>0</v>
      </c>
      <c r="V2548">
        <v>0</v>
      </c>
      <c r="W2548">
        <v>0</v>
      </c>
      <c r="X2548">
        <v>0</v>
      </c>
      <c r="Z2548">
        <v>0</v>
      </c>
      <c r="AA2548">
        <v>0</v>
      </c>
      <c r="AB2548">
        <v>0</v>
      </c>
      <c r="AC2548">
        <v>0</v>
      </c>
      <c r="AD2548" t="s">
        <v>5050</v>
      </c>
    </row>
    <row r="2549" spans="1:30" x14ac:dyDescent="0.25">
      <c r="H2549" t="s">
        <v>301</v>
      </c>
    </row>
    <row r="2550" spans="1:30" x14ac:dyDescent="0.25">
      <c r="A2550">
        <v>1272</v>
      </c>
      <c r="B2550">
        <v>1320</v>
      </c>
      <c r="C2550" t="s">
        <v>5051</v>
      </c>
      <c r="D2550" t="s">
        <v>325</v>
      </c>
      <c r="E2550" t="s">
        <v>196</v>
      </c>
      <c r="F2550" t="s">
        <v>5052</v>
      </c>
      <c r="G2550" t="str">
        <f>"00305492"</f>
        <v>00305492</v>
      </c>
      <c r="H2550" t="s">
        <v>1388</v>
      </c>
      <c r="I2550">
        <v>0</v>
      </c>
      <c r="J2550">
        <v>0</v>
      </c>
      <c r="K2550">
        <v>0</v>
      </c>
      <c r="L2550">
        <v>0</v>
      </c>
      <c r="M2550">
        <v>0</v>
      </c>
      <c r="N2550">
        <v>30</v>
      </c>
      <c r="O2550">
        <v>0</v>
      </c>
      <c r="P2550">
        <v>0</v>
      </c>
      <c r="Q2550">
        <v>0</v>
      </c>
      <c r="R2550">
        <v>0</v>
      </c>
      <c r="S2550">
        <v>0</v>
      </c>
      <c r="T2550">
        <v>0</v>
      </c>
      <c r="U2550">
        <v>0</v>
      </c>
      <c r="V2550">
        <v>9</v>
      </c>
      <c r="W2550">
        <v>63</v>
      </c>
      <c r="X2550">
        <v>0</v>
      </c>
      <c r="Z2550">
        <v>0</v>
      </c>
      <c r="AA2550">
        <v>0</v>
      </c>
      <c r="AB2550">
        <v>0</v>
      </c>
      <c r="AC2550">
        <v>0</v>
      </c>
      <c r="AD2550" t="s">
        <v>5053</v>
      </c>
    </row>
    <row r="2551" spans="1:30" x14ac:dyDescent="0.25">
      <c r="H2551" t="s">
        <v>1235</v>
      </c>
    </row>
    <row r="2552" spans="1:30" x14ac:dyDescent="0.25">
      <c r="A2552">
        <v>1273</v>
      </c>
      <c r="B2552">
        <v>5321</v>
      </c>
      <c r="C2552" t="s">
        <v>5054</v>
      </c>
      <c r="D2552" t="s">
        <v>3003</v>
      </c>
      <c r="E2552" t="s">
        <v>669</v>
      </c>
      <c r="F2552" t="s">
        <v>5055</v>
      </c>
      <c r="G2552" t="str">
        <f>"00200057"</f>
        <v>00200057</v>
      </c>
      <c r="H2552" t="s">
        <v>1796</v>
      </c>
      <c r="I2552">
        <v>0</v>
      </c>
      <c r="J2552">
        <v>0</v>
      </c>
      <c r="K2552">
        <v>0</v>
      </c>
      <c r="L2552">
        <v>0</v>
      </c>
      <c r="M2552">
        <v>0</v>
      </c>
      <c r="N2552">
        <v>70</v>
      </c>
      <c r="O2552">
        <v>0</v>
      </c>
      <c r="P2552">
        <v>0</v>
      </c>
      <c r="Q2552">
        <v>0</v>
      </c>
      <c r="R2552">
        <v>0</v>
      </c>
      <c r="S2552">
        <v>0</v>
      </c>
      <c r="T2552">
        <v>0</v>
      </c>
      <c r="U2552">
        <v>0</v>
      </c>
      <c r="V2552">
        <v>-6</v>
      </c>
      <c r="W2552">
        <v>-42</v>
      </c>
      <c r="X2552">
        <v>0</v>
      </c>
      <c r="Z2552">
        <v>0</v>
      </c>
      <c r="AA2552">
        <v>0</v>
      </c>
      <c r="AB2552">
        <v>6</v>
      </c>
      <c r="AC2552">
        <v>102</v>
      </c>
      <c r="AD2552" t="s">
        <v>5056</v>
      </c>
    </row>
    <row r="2553" spans="1:30" x14ac:dyDescent="0.25">
      <c r="H2553" t="s">
        <v>5057</v>
      </c>
    </row>
    <row r="2554" spans="1:30" x14ac:dyDescent="0.25">
      <c r="A2554">
        <v>1274</v>
      </c>
      <c r="B2554">
        <v>1336</v>
      </c>
      <c r="C2554" t="s">
        <v>5058</v>
      </c>
      <c r="D2554" t="s">
        <v>102</v>
      </c>
      <c r="E2554" t="s">
        <v>107</v>
      </c>
      <c r="F2554" t="s">
        <v>5059</v>
      </c>
      <c r="G2554" t="str">
        <f>"00026323"</f>
        <v>00026323</v>
      </c>
      <c r="H2554" t="s">
        <v>2861</v>
      </c>
      <c r="I2554">
        <v>0</v>
      </c>
      <c r="J2554">
        <v>0</v>
      </c>
      <c r="K2554">
        <v>0</v>
      </c>
      <c r="L2554">
        <v>0</v>
      </c>
      <c r="M2554">
        <v>0</v>
      </c>
      <c r="N2554">
        <v>30</v>
      </c>
      <c r="O2554">
        <v>0</v>
      </c>
      <c r="P2554">
        <v>0</v>
      </c>
      <c r="Q2554">
        <v>0</v>
      </c>
      <c r="R2554">
        <v>0</v>
      </c>
      <c r="S2554">
        <v>0</v>
      </c>
      <c r="T2554">
        <v>0</v>
      </c>
      <c r="U2554">
        <v>0</v>
      </c>
      <c r="V2554">
        <v>0</v>
      </c>
      <c r="W2554">
        <v>0</v>
      </c>
      <c r="X2554">
        <v>0</v>
      </c>
      <c r="Z2554">
        <v>0</v>
      </c>
      <c r="AA2554">
        <v>0</v>
      </c>
      <c r="AB2554">
        <v>7</v>
      </c>
      <c r="AC2554">
        <v>119</v>
      </c>
      <c r="AD2554" t="s">
        <v>5060</v>
      </c>
    </row>
    <row r="2555" spans="1:30" x14ac:dyDescent="0.25">
      <c r="H2555" t="s">
        <v>5061</v>
      </c>
    </row>
    <row r="2556" spans="1:30" x14ac:dyDescent="0.25">
      <c r="A2556">
        <v>1275</v>
      </c>
      <c r="B2556">
        <v>3990</v>
      </c>
      <c r="C2556" t="s">
        <v>5062</v>
      </c>
      <c r="D2556" t="s">
        <v>180</v>
      </c>
      <c r="E2556" t="s">
        <v>102</v>
      </c>
      <c r="F2556" t="s">
        <v>5063</v>
      </c>
      <c r="G2556" t="str">
        <f>"00198093"</f>
        <v>00198093</v>
      </c>
      <c r="H2556" t="s">
        <v>1310</v>
      </c>
      <c r="I2556">
        <v>0</v>
      </c>
      <c r="J2556">
        <v>0</v>
      </c>
      <c r="K2556">
        <v>0</v>
      </c>
      <c r="L2556">
        <v>0</v>
      </c>
      <c r="M2556">
        <v>0</v>
      </c>
      <c r="N2556">
        <v>30</v>
      </c>
      <c r="O2556">
        <v>0</v>
      </c>
      <c r="P2556">
        <v>0</v>
      </c>
      <c r="Q2556">
        <v>30</v>
      </c>
      <c r="R2556">
        <v>0</v>
      </c>
      <c r="S2556">
        <v>0</v>
      </c>
      <c r="T2556">
        <v>0</v>
      </c>
      <c r="U2556">
        <v>0</v>
      </c>
      <c r="V2556">
        <v>0</v>
      </c>
      <c r="W2556">
        <v>0</v>
      </c>
      <c r="X2556">
        <v>0</v>
      </c>
      <c r="Z2556">
        <v>0</v>
      </c>
      <c r="AA2556">
        <v>0</v>
      </c>
      <c r="AB2556">
        <v>8</v>
      </c>
      <c r="AC2556">
        <v>136</v>
      </c>
      <c r="AD2556" t="s">
        <v>5064</v>
      </c>
    </row>
    <row r="2557" spans="1:30" x14ac:dyDescent="0.25">
      <c r="H2557" t="s">
        <v>5065</v>
      </c>
    </row>
    <row r="2558" spans="1:30" x14ac:dyDescent="0.25">
      <c r="A2558">
        <v>1276</v>
      </c>
      <c r="B2558">
        <v>1935</v>
      </c>
      <c r="C2558" t="s">
        <v>5066</v>
      </c>
      <c r="D2558" t="s">
        <v>191</v>
      </c>
      <c r="E2558" t="s">
        <v>866</v>
      </c>
      <c r="F2558" t="s">
        <v>5067</v>
      </c>
      <c r="G2558" t="str">
        <f>"00274585"</f>
        <v>00274585</v>
      </c>
      <c r="H2558">
        <v>814</v>
      </c>
      <c r="I2558">
        <v>0</v>
      </c>
      <c r="J2558">
        <v>0</v>
      </c>
      <c r="K2558">
        <v>0</v>
      </c>
      <c r="L2558">
        <v>0</v>
      </c>
      <c r="M2558">
        <v>0</v>
      </c>
      <c r="N2558">
        <v>0</v>
      </c>
      <c r="O2558">
        <v>0</v>
      </c>
      <c r="P2558">
        <v>0</v>
      </c>
      <c r="Q2558">
        <v>0</v>
      </c>
      <c r="R2558">
        <v>0</v>
      </c>
      <c r="S2558">
        <v>0</v>
      </c>
      <c r="T2558">
        <v>0</v>
      </c>
      <c r="U2558">
        <v>0</v>
      </c>
      <c r="V2558">
        <v>0</v>
      </c>
      <c r="W2558">
        <v>0</v>
      </c>
      <c r="X2558">
        <v>0</v>
      </c>
      <c r="Z2558">
        <v>0</v>
      </c>
      <c r="AA2558">
        <v>0</v>
      </c>
      <c r="AB2558">
        <v>0</v>
      </c>
      <c r="AC2558">
        <v>0</v>
      </c>
      <c r="AD2558">
        <v>814</v>
      </c>
    </row>
    <row r="2559" spans="1:30" x14ac:dyDescent="0.25">
      <c r="H2559" t="s">
        <v>5068</v>
      </c>
    </row>
    <row r="2560" spans="1:30" x14ac:dyDescent="0.25">
      <c r="A2560">
        <v>1277</v>
      </c>
      <c r="B2560">
        <v>5190</v>
      </c>
      <c r="C2560" t="s">
        <v>5069</v>
      </c>
      <c r="D2560" t="s">
        <v>5070</v>
      </c>
      <c r="E2560" t="s">
        <v>120</v>
      </c>
      <c r="F2560" t="s">
        <v>5071</v>
      </c>
      <c r="G2560" t="str">
        <f>"201511019811"</f>
        <v>201511019811</v>
      </c>
      <c r="H2560" t="s">
        <v>2457</v>
      </c>
      <c r="I2560">
        <v>0</v>
      </c>
      <c r="J2560">
        <v>0</v>
      </c>
      <c r="K2560">
        <v>0</v>
      </c>
      <c r="L2560">
        <v>0</v>
      </c>
      <c r="M2560">
        <v>0</v>
      </c>
      <c r="N2560">
        <v>30</v>
      </c>
      <c r="O2560">
        <v>0</v>
      </c>
      <c r="P2560">
        <v>0</v>
      </c>
      <c r="Q2560">
        <v>0</v>
      </c>
      <c r="R2560">
        <v>0</v>
      </c>
      <c r="S2560">
        <v>0</v>
      </c>
      <c r="T2560">
        <v>0</v>
      </c>
      <c r="U2560">
        <v>0</v>
      </c>
      <c r="V2560">
        <v>14</v>
      </c>
      <c r="W2560">
        <v>98</v>
      </c>
      <c r="X2560">
        <v>0</v>
      </c>
      <c r="Z2560">
        <v>1</v>
      </c>
      <c r="AA2560">
        <v>0</v>
      </c>
      <c r="AB2560">
        <v>0</v>
      </c>
      <c r="AC2560">
        <v>0</v>
      </c>
      <c r="AD2560" t="s">
        <v>5072</v>
      </c>
    </row>
    <row r="2561" spans="1:30" x14ac:dyDescent="0.25">
      <c r="H2561" t="s">
        <v>5073</v>
      </c>
    </row>
    <row r="2562" spans="1:30" x14ac:dyDescent="0.25">
      <c r="A2562">
        <v>1278</v>
      </c>
      <c r="B2562">
        <v>4963</v>
      </c>
      <c r="C2562" t="s">
        <v>5074</v>
      </c>
      <c r="D2562" t="s">
        <v>44</v>
      </c>
      <c r="E2562" t="s">
        <v>32</v>
      </c>
      <c r="F2562" t="s">
        <v>5075</v>
      </c>
      <c r="G2562" t="str">
        <f>"201003000134"</f>
        <v>201003000134</v>
      </c>
      <c r="H2562" t="s">
        <v>311</v>
      </c>
      <c r="I2562">
        <v>0</v>
      </c>
      <c r="J2562">
        <v>0</v>
      </c>
      <c r="K2562">
        <v>0</v>
      </c>
      <c r="L2562">
        <v>0</v>
      </c>
      <c r="M2562">
        <v>0</v>
      </c>
      <c r="N2562">
        <v>30</v>
      </c>
      <c r="O2562">
        <v>0</v>
      </c>
      <c r="P2562">
        <v>0</v>
      </c>
      <c r="Q2562">
        <v>0</v>
      </c>
      <c r="R2562">
        <v>0</v>
      </c>
      <c r="S2562">
        <v>0</v>
      </c>
      <c r="T2562">
        <v>0</v>
      </c>
      <c r="U2562">
        <v>0</v>
      </c>
      <c r="V2562">
        <v>0</v>
      </c>
      <c r="W2562">
        <v>0</v>
      </c>
      <c r="X2562">
        <v>0</v>
      </c>
      <c r="Z2562">
        <v>0</v>
      </c>
      <c r="AA2562">
        <v>0</v>
      </c>
      <c r="AB2562">
        <v>0</v>
      </c>
      <c r="AC2562">
        <v>0</v>
      </c>
      <c r="AD2562" t="s">
        <v>5076</v>
      </c>
    </row>
    <row r="2563" spans="1:30" x14ac:dyDescent="0.25">
      <c r="H2563" t="s">
        <v>5077</v>
      </c>
    </row>
    <row r="2564" spans="1:30" x14ac:dyDescent="0.25">
      <c r="A2564">
        <v>1279</v>
      </c>
      <c r="B2564">
        <v>1812</v>
      </c>
      <c r="C2564" t="s">
        <v>5078</v>
      </c>
      <c r="D2564" t="s">
        <v>5079</v>
      </c>
      <c r="E2564" t="s">
        <v>5080</v>
      </c>
      <c r="F2564" t="s">
        <v>5081</v>
      </c>
      <c r="G2564" t="str">
        <f>"00317337"</f>
        <v>00317337</v>
      </c>
      <c r="H2564" t="s">
        <v>311</v>
      </c>
      <c r="I2564">
        <v>0</v>
      </c>
      <c r="J2564">
        <v>0</v>
      </c>
      <c r="K2564">
        <v>0</v>
      </c>
      <c r="L2564">
        <v>0</v>
      </c>
      <c r="M2564">
        <v>0</v>
      </c>
      <c r="N2564">
        <v>30</v>
      </c>
      <c r="O2564">
        <v>0</v>
      </c>
      <c r="P2564">
        <v>0</v>
      </c>
      <c r="Q2564">
        <v>0</v>
      </c>
      <c r="R2564">
        <v>0</v>
      </c>
      <c r="S2564">
        <v>0</v>
      </c>
      <c r="T2564">
        <v>0</v>
      </c>
      <c r="U2564">
        <v>0</v>
      </c>
      <c r="V2564">
        <v>0</v>
      </c>
      <c r="W2564">
        <v>0</v>
      </c>
      <c r="X2564">
        <v>0</v>
      </c>
      <c r="Z2564">
        <v>0</v>
      </c>
      <c r="AA2564">
        <v>0</v>
      </c>
      <c r="AB2564">
        <v>0</v>
      </c>
      <c r="AC2564">
        <v>0</v>
      </c>
      <c r="AD2564" t="s">
        <v>5076</v>
      </c>
    </row>
    <row r="2565" spans="1:30" x14ac:dyDescent="0.25">
      <c r="H2565" t="s">
        <v>301</v>
      </c>
    </row>
    <row r="2566" spans="1:30" x14ac:dyDescent="0.25">
      <c r="A2566">
        <v>1280</v>
      </c>
      <c r="B2566">
        <v>2520</v>
      </c>
      <c r="C2566" t="s">
        <v>5082</v>
      </c>
      <c r="D2566" t="s">
        <v>3807</v>
      </c>
      <c r="E2566" t="s">
        <v>28</v>
      </c>
      <c r="F2566" t="s">
        <v>5083</v>
      </c>
      <c r="G2566" t="str">
        <f>"200801001174"</f>
        <v>200801001174</v>
      </c>
      <c r="H2566" t="s">
        <v>1393</v>
      </c>
      <c r="I2566">
        <v>0</v>
      </c>
      <c r="J2566">
        <v>0</v>
      </c>
      <c r="K2566">
        <v>0</v>
      </c>
      <c r="L2566">
        <v>0</v>
      </c>
      <c r="M2566">
        <v>0</v>
      </c>
      <c r="N2566">
        <v>0</v>
      </c>
      <c r="O2566">
        <v>0</v>
      </c>
      <c r="P2566">
        <v>0</v>
      </c>
      <c r="Q2566">
        <v>0</v>
      </c>
      <c r="R2566">
        <v>0</v>
      </c>
      <c r="S2566">
        <v>0</v>
      </c>
      <c r="T2566">
        <v>0</v>
      </c>
      <c r="U2566">
        <v>0</v>
      </c>
      <c r="V2566">
        <v>0</v>
      </c>
      <c r="W2566">
        <v>0</v>
      </c>
      <c r="X2566">
        <v>0</v>
      </c>
      <c r="Z2566">
        <v>0</v>
      </c>
      <c r="AA2566">
        <v>0</v>
      </c>
      <c r="AB2566">
        <v>0</v>
      </c>
      <c r="AC2566">
        <v>0</v>
      </c>
      <c r="AD2566" t="s">
        <v>1393</v>
      </c>
    </row>
    <row r="2567" spans="1:30" x14ac:dyDescent="0.25">
      <c r="H2567" t="s">
        <v>5084</v>
      </c>
    </row>
    <row r="2568" spans="1:30" x14ac:dyDescent="0.25">
      <c r="A2568">
        <v>1281</v>
      </c>
      <c r="B2568">
        <v>6094</v>
      </c>
      <c r="C2568" t="s">
        <v>5085</v>
      </c>
      <c r="D2568" t="s">
        <v>83</v>
      </c>
      <c r="E2568" t="s">
        <v>181</v>
      </c>
      <c r="F2568" t="s">
        <v>5086</v>
      </c>
      <c r="G2568" t="str">
        <f>"00230729"</f>
        <v>00230729</v>
      </c>
      <c r="H2568" t="s">
        <v>877</v>
      </c>
      <c r="I2568">
        <v>0</v>
      </c>
      <c r="J2568">
        <v>0</v>
      </c>
      <c r="K2568">
        <v>0</v>
      </c>
      <c r="L2568">
        <v>0</v>
      </c>
      <c r="M2568">
        <v>0</v>
      </c>
      <c r="N2568">
        <v>30</v>
      </c>
      <c r="O2568">
        <v>0</v>
      </c>
      <c r="P2568">
        <v>0</v>
      </c>
      <c r="Q2568">
        <v>0</v>
      </c>
      <c r="R2568">
        <v>0</v>
      </c>
      <c r="S2568">
        <v>0</v>
      </c>
      <c r="T2568">
        <v>0</v>
      </c>
      <c r="U2568">
        <v>0</v>
      </c>
      <c r="V2568">
        <v>0</v>
      </c>
      <c r="W2568">
        <v>0</v>
      </c>
      <c r="X2568">
        <v>0</v>
      </c>
      <c r="Z2568">
        <v>0</v>
      </c>
      <c r="AA2568">
        <v>0</v>
      </c>
      <c r="AB2568">
        <v>5</v>
      </c>
      <c r="AC2568">
        <v>85</v>
      </c>
      <c r="AD2568" t="s">
        <v>5087</v>
      </c>
    </row>
    <row r="2569" spans="1:30" x14ac:dyDescent="0.25">
      <c r="H2569" t="s">
        <v>5088</v>
      </c>
    </row>
    <row r="2570" spans="1:30" x14ac:dyDescent="0.25">
      <c r="A2570">
        <v>1282</v>
      </c>
      <c r="B2570">
        <v>4347</v>
      </c>
      <c r="C2570" t="s">
        <v>5089</v>
      </c>
      <c r="D2570" t="s">
        <v>1375</v>
      </c>
      <c r="E2570" t="s">
        <v>49</v>
      </c>
      <c r="F2570" t="s">
        <v>5090</v>
      </c>
      <c r="G2570" t="str">
        <f>"00345562"</f>
        <v>00345562</v>
      </c>
      <c r="H2570" t="s">
        <v>1388</v>
      </c>
      <c r="I2570">
        <v>0</v>
      </c>
      <c r="J2570">
        <v>0</v>
      </c>
      <c r="K2570">
        <v>0</v>
      </c>
      <c r="L2570">
        <v>0</v>
      </c>
      <c r="M2570">
        <v>0</v>
      </c>
      <c r="N2570">
        <v>30</v>
      </c>
      <c r="O2570">
        <v>0</v>
      </c>
      <c r="P2570">
        <v>0</v>
      </c>
      <c r="Q2570">
        <v>0</v>
      </c>
      <c r="R2570">
        <v>0</v>
      </c>
      <c r="S2570">
        <v>0</v>
      </c>
      <c r="T2570">
        <v>0</v>
      </c>
      <c r="U2570">
        <v>0</v>
      </c>
      <c r="V2570">
        <v>8</v>
      </c>
      <c r="W2570">
        <v>56</v>
      </c>
      <c r="X2570">
        <v>0</v>
      </c>
      <c r="Z2570">
        <v>0</v>
      </c>
      <c r="AA2570">
        <v>0</v>
      </c>
      <c r="AB2570">
        <v>0</v>
      </c>
      <c r="AC2570">
        <v>0</v>
      </c>
      <c r="AD2570" t="s">
        <v>5091</v>
      </c>
    </row>
    <row r="2571" spans="1:30" x14ac:dyDescent="0.25">
      <c r="H2571" t="s">
        <v>5092</v>
      </c>
    </row>
    <row r="2572" spans="1:30" x14ac:dyDescent="0.25">
      <c r="A2572">
        <v>1283</v>
      </c>
      <c r="B2572">
        <v>3739</v>
      </c>
      <c r="C2572" t="s">
        <v>5093</v>
      </c>
      <c r="D2572" t="s">
        <v>218</v>
      </c>
      <c r="E2572" t="s">
        <v>77</v>
      </c>
      <c r="F2572" t="s">
        <v>5094</v>
      </c>
      <c r="G2572" t="str">
        <f>"00359471"</f>
        <v>00359471</v>
      </c>
      <c r="H2572" t="s">
        <v>311</v>
      </c>
      <c r="I2572">
        <v>0</v>
      </c>
      <c r="J2572">
        <v>0</v>
      </c>
      <c r="K2572">
        <v>0</v>
      </c>
      <c r="L2572">
        <v>0</v>
      </c>
      <c r="M2572">
        <v>0</v>
      </c>
      <c r="N2572">
        <v>0</v>
      </c>
      <c r="O2572">
        <v>0</v>
      </c>
      <c r="P2572">
        <v>0</v>
      </c>
      <c r="Q2572">
        <v>0</v>
      </c>
      <c r="R2572">
        <v>0</v>
      </c>
      <c r="S2572">
        <v>0</v>
      </c>
      <c r="T2572">
        <v>0</v>
      </c>
      <c r="U2572">
        <v>0</v>
      </c>
      <c r="V2572">
        <v>4</v>
      </c>
      <c r="W2572">
        <v>28</v>
      </c>
      <c r="X2572">
        <v>0</v>
      </c>
      <c r="Z2572">
        <v>1</v>
      </c>
      <c r="AA2572">
        <v>0</v>
      </c>
      <c r="AB2572">
        <v>0</v>
      </c>
      <c r="AC2572">
        <v>0</v>
      </c>
      <c r="AD2572" t="s">
        <v>5095</v>
      </c>
    </row>
    <row r="2573" spans="1:30" x14ac:dyDescent="0.25">
      <c r="H2573" t="s">
        <v>5096</v>
      </c>
    </row>
    <row r="2574" spans="1:30" x14ac:dyDescent="0.25">
      <c r="A2574">
        <v>1284</v>
      </c>
      <c r="B2574">
        <v>4809</v>
      </c>
      <c r="C2574" t="s">
        <v>308</v>
      </c>
      <c r="D2574" t="s">
        <v>225</v>
      </c>
      <c r="E2574" t="s">
        <v>5097</v>
      </c>
      <c r="F2574" t="s">
        <v>5098</v>
      </c>
      <c r="G2574" t="str">
        <f>"00146111"</f>
        <v>00146111</v>
      </c>
      <c r="H2574" t="s">
        <v>1915</v>
      </c>
      <c r="I2574">
        <v>0</v>
      </c>
      <c r="J2574">
        <v>0</v>
      </c>
      <c r="K2574">
        <v>0</v>
      </c>
      <c r="L2574">
        <v>0</v>
      </c>
      <c r="M2574">
        <v>0</v>
      </c>
      <c r="N2574">
        <v>70</v>
      </c>
      <c r="O2574">
        <v>0</v>
      </c>
      <c r="P2574">
        <v>0</v>
      </c>
      <c r="Q2574">
        <v>0</v>
      </c>
      <c r="R2574">
        <v>0</v>
      </c>
      <c r="S2574">
        <v>0</v>
      </c>
      <c r="T2574">
        <v>0</v>
      </c>
      <c r="U2574">
        <v>0</v>
      </c>
      <c r="V2574">
        <v>0</v>
      </c>
      <c r="W2574">
        <v>0</v>
      </c>
      <c r="X2574">
        <v>0</v>
      </c>
      <c r="Z2574">
        <v>0</v>
      </c>
      <c r="AA2574">
        <v>0</v>
      </c>
      <c r="AB2574">
        <v>0</v>
      </c>
      <c r="AC2574">
        <v>0</v>
      </c>
      <c r="AD2574" t="s">
        <v>5099</v>
      </c>
    </row>
    <row r="2575" spans="1:30" x14ac:dyDescent="0.25">
      <c r="H2575" t="s">
        <v>5100</v>
      </c>
    </row>
    <row r="2576" spans="1:30" x14ac:dyDescent="0.25">
      <c r="A2576">
        <v>1285</v>
      </c>
      <c r="B2576">
        <v>3554</v>
      </c>
      <c r="C2576" t="s">
        <v>5101</v>
      </c>
      <c r="D2576" t="s">
        <v>64</v>
      </c>
      <c r="E2576" t="s">
        <v>120</v>
      </c>
      <c r="F2576" t="s">
        <v>5102</v>
      </c>
      <c r="G2576" t="str">
        <f>"201406008173"</f>
        <v>201406008173</v>
      </c>
      <c r="H2576">
        <v>759</v>
      </c>
      <c r="I2576">
        <v>0</v>
      </c>
      <c r="J2576">
        <v>0</v>
      </c>
      <c r="K2576">
        <v>0</v>
      </c>
      <c r="L2576">
        <v>0</v>
      </c>
      <c r="M2576">
        <v>0</v>
      </c>
      <c r="N2576">
        <v>50</v>
      </c>
      <c r="O2576">
        <v>0</v>
      </c>
      <c r="P2576">
        <v>0</v>
      </c>
      <c r="Q2576">
        <v>0</v>
      </c>
      <c r="R2576">
        <v>0</v>
      </c>
      <c r="S2576">
        <v>0</v>
      </c>
      <c r="T2576">
        <v>0</v>
      </c>
      <c r="U2576">
        <v>0</v>
      </c>
      <c r="V2576">
        <v>0</v>
      </c>
      <c r="W2576">
        <v>0</v>
      </c>
      <c r="X2576">
        <v>0</v>
      </c>
      <c r="Z2576">
        <v>0</v>
      </c>
      <c r="AA2576">
        <v>0</v>
      </c>
      <c r="AB2576">
        <v>0</v>
      </c>
      <c r="AC2576">
        <v>0</v>
      </c>
      <c r="AD2576">
        <v>809</v>
      </c>
    </row>
    <row r="2577" spans="1:30" x14ac:dyDescent="0.25">
      <c r="H2577" t="s">
        <v>5103</v>
      </c>
    </row>
    <row r="2578" spans="1:30" x14ac:dyDescent="0.25">
      <c r="A2578">
        <v>1286</v>
      </c>
      <c r="B2578">
        <v>5363</v>
      </c>
      <c r="C2578" t="s">
        <v>3471</v>
      </c>
      <c r="D2578" t="s">
        <v>598</v>
      </c>
      <c r="E2578" t="s">
        <v>5104</v>
      </c>
      <c r="F2578" t="s">
        <v>5105</v>
      </c>
      <c r="G2578" t="str">
        <f>"00276020"</f>
        <v>00276020</v>
      </c>
      <c r="H2578" t="s">
        <v>265</v>
      </c>
      <c r="I2578">
        <v>0</v>
      </c>
      <c r="J2578">
        <v>0</v>
      </c>
      <c r="K2578">
        <v>0</v>
      </c>
      <c r="L2578">
        <v>0</v>
      </c>
      <c r="M2578">
        <v>0</v>
      </c>
      <c r="N2578">
        <v>30</v>
      </c>
      <c r="O2578">
        <v>0</v>
      </c>
      <c r="P2578">
        <v>30</v>
      </c>
      <c r="Q2578">
        <v>0</v>
      </c>
      <c r="R2578">
        <v>0</v>
      </c>
      <c r="S2578">
        <v>0</v>
      </c>
      <c r="T2578">
        <v>0</v>
      </c>
      <c r="U2578">
        <v>0</v>
      </c>
      <c r="V2578">
        <v>7</v>
      </c>
      <c r="W2578">
        <v>49</v>
      </c>
      <c r="X2578">
        <v>0</v>
      </c>
      <c r="Z2578">
        <v>0</v>
      </c>
      <c r="AA2578">
        <v>0</v>
      </c>
      <c r="AB2578">
        <v>0</v>
      </c>
      <c r="AC2578">
        <v>0</v>
      </c>
      <c r="AD2578" t="s">
        <v>5106</v>
      </c>
    </row>
    <row r="2579" spans="1:30" x14ac:dyDescent="0.25">
      <c r="H2579" t="s">
        <v>3473</v>
      </c>
    </row>
    <row r="2580" spans="1:30" x14ac:dyDescent="0.25">
      <c r="A2580">
        <v>1287</v>
      </c>
      <c r="B2580">
        <v>5329</v>
      </c>
      <c r="C2580" t="s">
        <v>5107</v>
      </c>
      <c r="D2580" t="s">
        <v>44</v>
      </c>
      <c r="E2580" t="s">
        <v>77</v>
      </c>
      <c r="F2580" t="s">
        <v>5108</v>
      </c>
      <c r="G2580" t="str">
        <f>"201511042996"</f>
        <v>201511042996</v>
      </c>
      <c r="H2580">
        <v>759</v>
      </c>
      <c r="I2580">
        <v>0</v>
      </c>
      <c r="J2580">
        <v>0</v>
      </c>
      <c r="K2580">
        <v>0</v>
      </c>
      <c r="L2580">
        <v>0</v>
      </c>
      <c r="M2580">
        <v>0</v>
      </c>
      <c r="N2580">
        <v>0</v>
      </c>
      <c r="O2580">
        <v>0</v>
      </c>
      <c r="P2580">
        <v>0</v>
      </c>
      <c r="Q2580">
        <v>0</v>
      </c>
      <c r="R2580">
        <v>0</v>
      </c>
      <c r="S2580">
        <v>0</v>
      </c>
      <c r="T2580">
        <v>0</v>
      </c>
      <c r="U2580">
        <v>0</v>
      </c>
      <c r="V2580">
        <v>7</v>
      </c>
      <c r="W2580">
        <v>49</v>
      </c>
      <c r="X2580">
        <v>0</v>
      </c>
      <c r="Z2580">
        <v>0</v>
      </c>
      <c r="AA2580">
        <v>0</v>
      </c>
      <c r="AB2580">
        <v>0</v>
      </c>
      <c r="AC2580">
        <v>0</v>
      </c>
      <c r="AD2580">
        <v>808</v>
      </c>
    </row>
    <row r="2581" spans="1:30" x14ac:dyDescent="0.25">
      <c r="H2581" t="s">
        <v>5109</v>
      </c>
    </row>
    <row r="2582" spans="1:30" x14ac:dyDescent="0.25">
      <c r="A2582">
        <v>1288</v>
      </c>
      <c r="B2582">
        <v>307</v>
      </c>
      <c r="C2582" t="s">
        <v>5110</v>
      </c>
      <c r="D2582" t="s">
        <v>699</v>
      </c>
      <c r="E2582" t="s">
        <v>107</v>
      </c>
      <c r="F2582" t="s">
        <v>5111</v>
      </c>
      <c r="G2582" t="str">
        <f>"201412003009"</f>
        <v>201412003009</v>
      </c>
      <c r="H2582">
        <v>737</v>
      </c>
      <c r="I2582">
        <v>0</v>
      </c>
      <c r="J2582">
        <v>0</v>
      </c>
      <c r="K2582">
        <v>0</v>
      </c>
      <c r="L2582">
        <v>0</v>
      </c>
      <c r="M2582">
        <v>0</v>
      </c>
      <c r="N2582">
        <v>0</v>
      </c>
      <c r="O2582">
        <v>0</v>
      </c>
      <c r="P2582">
        <v>0</v>
      </c>
      <c r="Q2582">
        <v>0</v>
      </c>
      <c r="R2582">
        <v>0</v>
      </c>
      <c r="S2582">
        <v>0</v>
      </c>
      <c r="T2582">
        <v>0</v>
      </c>
      <c r="U2582">
        <v>0</v>
      </c>
      <c r="V2582">
        <v>10</v>
      </c>
      <c r="W2582">
        <v>70</v>
      </c>
      <c r="X2582">
        <v>0</v>
      </c>
      <c r="Z2582">
        <v>0</v>
      </c>
      <c r="AA2582">
        <v>0</v>
      </c>
      <c r="AB2582">
        <v>0</v>
      </c>
      <c r="AC2582">
        <v>0</v>
      </c>
      <c r="AD2582">
        <v>807</v>
      </c>
    </row>
    <row r="2583" spans="1:30" x14ac:dyDescent="0.25">
      <c r="H2583" t="s">
        <v>5112</v>
      </c>
    </row>
    <row r="2584" spans="1:30" x14ac:dyDescent="0.25">
      <c r="A2584">
        <v>1289</v>
      </c>
      <c r="B2584">
        <v>4795</v>
      </c>
      <c r="C2584" t="s">
        <v>5113</v>
      </c>
      <c r="D2584" t="s">
        <v>218</v>
      </c>
      <c r="E2584" t="s">
        <v>389</v>
      </c>
      <c r="F2584" t="s">
        <v>5114</v>
      </c>
      <c r="G2584" t="str">
        <f>"00121465"</f>
        <v>00121465</v>
      </c>
      <c r="H2584">
        <v>693</v>
      </c>
      <c r="I2584">
        <v>0</v>
      </c>
      <c r="J2584">
        <v>0</v>
      </c>
      <c r="K2584">
        <v>0</v>
      </c>
      <c r="L2584">
        <v>0</v>
      </c>
      <c r="M2584">
        <v>0</v>
      </c>
      <c r="N2584">
        <v>30</v>
      </c>
      <c r="O2584">
        <v>0</v>
      </c>
      <c r="P2584">
        <v>0</v>
      </c>
      <c r="Q2584">
        <v>0</v>
      </c>
      <c r="R2584">
        <v>0</v>
      </c>
      <c r="S2584">
        <v>0</v>
      </c>
      <c r="T2584">
        <v>0</v>
      </c>
      <c r="U2584">
        <v>0</v>
      </c>
      <c r="V2584">
        <v>12</v>
      </c>
      <c r="W2584">
        <v>84</v>
      </c>
      <c r="X2584">
        <v>0</v>
      </c>
      <c r="Z2584">
        <v>0</v>
      </c>
      <c r="AA2584">
        <v>0</v>
      </c>
      <c r="AB2584">
        <v>0</v>
      </c>
      <c r="AC2584">
        <v>0</v>
      </c>
      <c r="AD2584">
        <v>807</v>
      </c>
    </row>
    <row r="2585" spans="1:30" x14ac:dyDescent="0.25">
      <c r="H2585" t="s">
        <v>5115</v>
      </c>
    </row>
    <row r="2586" spans="1:30" x14ac:dyDescent="0.25">
      <c r="A2586">
        <v>1290</v>
      </c>
      <c r="B2586">
        <v>2994</v>
      </c>
      <c r="C2586" t="s">
        <v>5116</v>
      </c>
      <c r="D2586" t="s">
        <v>5117</v>
      </c>
      <c r="E2586" t="s">
        <v>5118</v>
      </c>
      <c r="F2586" t="s">
        <v>5119</v>
      </c>
      <c r="G2586" t="str">
        <f>"00163858"</f>
        <v>00163858</v>
      </c>
      <c r="H2586" t="s">
        <v>2497</v>
      </c>
      <c r="I2586">
        <v>0</v>
      </c>
      <c r="J2586">
        <v>0</v>
      </c>
      <c r="K2586">
        <v>0</v>
      </c>
      <c r="L2586">
        <v>0</v>
      </c>
      <c r="M2586">
        <v>0</v>
      </c>
      <c r="N2586">
        <v>0</v>
      </c>
      <c r="O2586">
        <v>0</v>
      </c>
      <c r="P2586">
        <v>0</v>
      </c>
      <c r="Q2586">
        <v>0</v>
      </c>
      <c r="R2586">
        <v>0</v>
      </c>
      <c r="S2586">
        <v>0</v>
      </c>
      <c r="T2586">
        <v>0</v>
      </c>
      <c r="U2586">
        <v>0</v>
      </c>
      <c r="V2586">
        <v>18</v>
      </c>
      <c r="W2586">
        <v>126</v>
      </c>
      <c r="X2586">
        <v>0</v>
      </c>
      <c r="Z2586">
        <v>0</v>
      </c>
      <c r="AA2586">
        <v>0</v>
      </c>
      <c r="AB2586">
        <v>0</v>
      </c>
      <c r="AC2586">
        <v>0</v>
      </c>
      <c r="AD2586" t="s">
        <v>5120</v>
      </c>
    </row>
    <row r="2587" spans="1:30" x14ac:dyDescent="0.25">
      <c r="H2587" t="s">
        <v>5121</v>
      </c>
    </row>
    <row r="2588" spans="1:30" x14ac:dyDescent="0.25">
      <c r="A2588">
        <v>1291</v>
      </c>
      <c r="B2588">
        <v>5128</v>
      </c>
      <c r="C2588" t="s">
        <v>4210</v>
      </c>
      <c r="D2588" t="s">
        <v>5122</v>
      </c>
      <c r="E2588" t="s">
        <v>28</v>
      </c>
      <c r="F2588" t="s">
        <v>5123</v>
      </c>
      <c r="G2588" t="str">
        <f>"00352500"</f>
        <v>00352500</v>
      </c>
      <c r="H2588" t="s">
        <v>882</v>
      </c>
      <c r="I2588">
        <v>0</v>
      </c>
      <c r="J2588">
        <v>0</v>
      </c>
      <c r="K2588">
        <v>0</v>
      </c>
      <c r="L2588">
        <v>0</v>
      </c>
      <c r="M2588">
        <v>0</v>
      </c>
      <c r="N2588">
        <v>30</v>
      </c>
      <c r="O2588">
        <v>0</v>
      </c>
      <c r="P2588">
        <v>0</v>
      </c>
      <c r="Q2588">
        <v>0</v>
      </c>
      <c r="R2588">
        <v>0</v>
      </c>
      <c r="S2588">
        <v>0</v>
      </c>
      <c r="T2588">
        <v>0</v>
      </c>
      <c r="U2588">
        <v>0</v>
      </c>
      <c r="V2588">
        <v>0</v>
      </c>
      <c r="W2588">
        <v>0</v>
      </c>
      <c r="X2588">
        <v>0</v>
      </c>
      <c r="Z2588">
        <v>0</v>
      </c>
      <c r="AA2588">
        <v>0</v>
      </c>
      <c r="AB2588">
        <v>0</v>
      </c>
      <c r="AC2588">
        <v>0</v>
      </c>
      <c r="AD2588" t="s">
        <v>5124</v>
      </c>
    </row>
    <row r="2589" spans="1:30" x14ac:dyDescent="0.25">
      <c r="H2589" t="s">
        <v>5125</v>
      </c>
    </row>
    <row r="2590" spans="1:30" x14ac:dyDescent="0.25">
      <c r="A2590">
        <v>1292</v>
      </c>
      <c r="B2590">
        <v>5372</v>
      </c>
      <c r="C2590" t="s">
        <v>5126</v>
      </c>
      <c r="D2590" t="s">
        <v>27</v>
      </c>
      <c r="E2590" t="s">
        <v>102</v>
      </c>
      <c r="F2590" t="s">
        <v>5127</v>
      </c>
      <c r="G2590" t="str">
        <f>"00349185"</f>
        <v>00349185</v>
      </c>
      <c r="H2590" t="s">
        <v>1223</v>
      </c>
      <c r="I2590">
        <v>0</v>
      </c>
      <c r="J2590">
        <v>0</v>
      </c>
      <c r="K2590">
        <v>0</v>
      </c>
      <c r="L2590">
        <v>0</v>
      </c>
      <c r="M2590">
        <v>0</v>
      </c>
      <c r="N2590">
        <v>0</v>
      </c>
      <c r="O2590">
        <v>0</v>
      </c>
      <c r="P2590">
        <v>0</v>
      </c>
      <c r="Q2590">
        <v>0</v>
      </c>
      <c r="R2590">
        <v>0</v>
      </c>
      <c r="S2590">
        <v>0</v>
      </c>
      <c r="T2590">
        <v>0</v>
      </c>
      <c r="U2590">
        <v>0</v>
      </c>
      <c r="V2590">
        <v>8</v>
      </c>
      <c r="W2590">
        <v>56</v>
      </c>
      <c r="X2590">
        <v>0</v>
      </c>
      <c r="Z2590">
        <v>1</v>
      </c>
      <c r="AA2590">
        <v>0</v>
      </c>
      <c r="AB2590">
        <v>0</v>
      </c>
      <c r="AC2590">
        <v>0</v>
      </c>
      <c r="AD2590" t="s">
        <v>5128</v>
      </c>
    </row>
    <row r="2591" spans="1:30" x14ac:dyDescent="0.25">
      <c r="H2591" t="s">
        <v>5129</v>
      </c>
    </row>
    <row r="2592" spans="1:30" x14ac:dyDescent="0.25">
      <c r="A2592">
        <v>1293</v>
      </c>
      <c r="B2592">
        <v>1508</v>
      </c>
      <c r="C2592" t="s">
        <v>389</v>
      </c>
      <c r="D2592" t="s">
        <v>5130</v>
      </c>
      <c r="E2592" t="s">
        <v>45</v>
      </c>
      <c r="F2592" t="s">
        <v>5131</v>
      </c>
      <c r="G2592" t="str">
        <f>"201412000551"</f>
        <v>201412000551</v>
      </c>
      <c r="H2592" t="s">
        <v>1533</v>
      </c>
      <c r="I2592">
        <v>0</v>
      </c>
      <c r="J2592">
        <v>0</v>
      </c>
      <c r="K2592">
        <v>0</v>
      </c>
      <c r="L2592">
        <v>0</v>
      </c>
      <c r="M2592">
        <v>0</v>
      </c>
      <c r="N2592">
        <v>0</v>
      </c>
      <c r="O2592">
        <v>0</v>
      </c>
      <c r="P2592">
        <v>0</v>
      </c>
      <c r="Q2592">
        <v>0</v>
      </c>
      <c r="R2592">
        <v>0</v>
      </c>
      <c r="S2592">
        <v>0</v>
      </c>
      <c r="T2592">
        <v>0</v>
      </c>
      <c r="U2592">
        <v>0</v>
      </c>
      <c r="V2592">
        <v>8</v>
      </c>
      <c r="W2592">
        <v>56</v>
      </c>
      <c r="X2592">
        <v>0</v>
      </c>
      <c r="Z2592">
        <v>1</v>
      </c>
      <c r="AA2592">
        <v>0</v>
      </c>
      <c r="AB2592">
        <v>0</v>
      </c>
      <c r="AC2592">
        <v>0</v>
      </c>
      <c r="AD2592" t="s">
        <v>5132</v>
      </c>
    </row>
    <row r="2593" spans="1:30" x14ac:dyDescent="0.25">
      <c r="H2593" t="s">
        <v>5133</v>
      </c>
    </row>
    <row r="2594" spans="1:30" x14ac:dyDescent="0.25">
      <c r="A2594">
        <v>1294</v>
      </c>
      <c r="B2594">
        <v>5741</v>
      </c>
      <c r="C2594" t="s">
        <v>5134</v>
      </c>
      <c r="D2594" t="s">
        <v>225</v>
      </c>
      <c r="E2594" t="s">
        <v>32</v>
      </c>
      <c r="F2594" t="s">
        <v>5135</v>
      </c>
      <c r="G2594" t="str">
        <f>"00274771"</f>
        <v>00274771</v>
      </c>
      <c r="H2594" t="s">
        <v>739</v>
      </c>
      <c r="I2594">
        <v>0</v>
      </c>
      <c r="J2594">
        <v>0</v>
      </c>
      <c r="K2594">
        <v>0</v>
      </c>
      <c r="L2594">
        <v>0</v>
      </c>
      <c r="M2594">
        <v>0</v>
      </c>
      <c r="N2594">
        <v>30</v>
      </c>
      <c r="O2594">
        <v>30</v>
      </c>
      <c r="P2594">
        <v>0</v>
      </c>
      <c r="Q2594">
        <v>0</v>
      </c>
      <c r="R2594">
        <v>0</v>
      </c>
      <c r="S2594">
        <v>0</v>
      </c>
      <c r="T2594">
        <v>0</v>
      </c>
      <c r="U2594">
        <v>0</v>
      </c>
      <c r="V2594">
        <v>0</v>
      </c>
      <c r="W2594">
        <v>0</v>
      </c>
      <c r="X2594">
        <v>0</v>
      </c>
      <c r="Z2594">
        <v>0</v>
      </c>
      <c r="AA2594">
        <v>0</v>
      </c>
      <c r="AB2594">
        <v>0</v>
      </c>
      <c r="AC2594">
        <v>0</v>
      </c>
      <c r="AD2594" t="s">
        <v>5136</v>
      </c>
    </row>
    <row r="2595" spans="1:30" x14ac:dyDescent="0.25">
      <c r="H2595" t="s">
        <v>5137</v>
      </c>
    </row>
    <row r="2596" spans="1:30" x14ac:dyDescent="0.25">
      <c r="A2596">
        <v>1295</v>
      </c>
      <c r="B2596">
        <v>6279</v>
      </c>
      <c r="C2596" t="s">
        <v>5138</v>
      </c>
      <c r="D2596" t="s">
        <v>669</v>
      </c>
      <c r="E2596" t="s">
        <v>389</v>
      </c>
      <c r="F2596" t="s">
        <v>5139</v>
      </c>
      <c r="G2596" t="str">
        <f>"00371297"</f>
        <v>00371297</v>
      </c>
      <c r="H2596" t="s">
        <v>2552</v>
      </c>
      <c r="I2596">
        <v>0</v>
      </c>
      <c r="J2596">
        <v>0</v>
      </c>
      <c r="K2596">
        <v>0</v>
      </c>
      <c r="L2596">
        <v>0</v>
      </c>
      <c r="M2596">
        <v>0</v>
      </c>
      <c r="N2596">
        <v>70</v>
      </c>
      <c r="O2596">
        <v>0</v>
      </c>
      <c r="P2596">
        <v>0</v>
      </c>
      <c r="Q2596">
        <v>0</v>
      </c>
      <c r="R2596">
        <v>0</v>
      </c>
      <c r="S2596">
        <v>0</v>
      </c>
      <c r="T2596">
        <v>0</v>
      </c>
      <c r="U2596">
        <v>0</v>
      </c>
      <c r="V2596">
        <v>8</v>
      </c>
      <c r="W2596">
        <v>56</v>
      </c>
      <c r="X2596">
        <v>0</v>
      </c>
      <c r="Z2596">
        <v>0</v>
      </c>
      <c r="AA2596">
        <v>0</v>
      </c>
      <c r="AB2596">
        <v>0</v>
      </c>
      <c r="AC2596">
        <v>0</v>
      </c>
      <c r="AD2596" t="s">
        <v>5136</v>
      </c>
    </row>
    <row r="2597" spans="1:30" x14ac:dyDescent="0.25">
      <c r="H2597" t="s">
        <v>5140</v>
      </c>
    </row>
    <row r="2598" spans="1:30" x14ac:dyDescent="0.25">
      <c r="A2598">
        <v>1296</v>
      </c>
      <c r="B2598">
        <v>2369</v>
      </c>
      <c r="C2598" t="s">
        <v>814</v>
      </c>
      <c r="D2598" t="s">
        <v>218</v>
      </c>
      <c r="E2598" t="s">
        <v>102</v>
      </c>
      <c r="F2598" t="s">
        <v>5141</v>
      </c>
      <c r="G2598" t="str">
        <f>"201402003742"</f>
        <v>201402003742</v>
      </c>
      <c r="H2598" t="s">
        <v>1326</v>
      </c>
      <c r="I2598">
        <v>0</v>
      </c>
      <c r="J2598">
        <v>0</v>
      </c>
      <c r="K2598">
        <v>0</v>
      </c>
      <c r="L2598">
        <v>0</v>
      </c>
      <c r="M2598">
        <v>0</v>
      </c>
      <c r="N2598">
        <v>50</v>
      </c>
      <c r="O2598">
        <v>0</v>
      </c>
      <c r="P2598">
        <v>0</v>
      </c>
      <c r="Q2598">
        <v>0</v>
      </c>
      <c r="R2598">
        <v>0</v>
      </c>
      <c r="S2598">
        <v>0</v>
      </c>
      <c r="T2598">
        <v>0</v>
      </c>
      <c r="U2598">
        <v>0</v>
      </c>
      <c r="V2598">
        <v>0</v>
      </c>
      <c r="W2598">
        <v>0</v>
      </c>
      <c r="X2598">
        <v>0</v>
      </c>
      <c r="Z2598">
        <v>1</v>
      </c>
      <c r="AA2598">
        <v>0</v>
      </c>
      <c r="AB2598">
        <v>0</v>
      </c>
      <c r="AC2598">
        <v>0</v>
      </c>
      <c r="AD2598" t="s">
        <v>5142</v>
      </c>
    </row>
    <row r="2599" spans="1:30" x14ac:dyDescent="0.25">
      <c r="H2599" t="s">
        <v>5143</v>
      </c>
    </row>
    <row r="2600" spans="1:30" x14ac:dyDescent="0.25">
      <c r="A2600">
        <v>1297</v>
      </c>
      <c r="B2600">
        <v>3587</v>
      </c>
      <c r="C2600" t="s">
        <v>5144</v>
      </c>
      <c r="D2600" t="s">
        <v>180</v>
      </c>
      <c r="E2600" t="s">
        <v>181</v>
      </c>
      <c r="F2600" t="s">
        <v>5145</v>
      </c>
      <c r="G2600" t="str">
        <f>"00362065"</f>
        <v>00362065</v>
      </c>
      <c r="H2600" t="s">
        <v>380</v>
      </c>
      <c r="I2600">
        <v>0</v>
      </c>
      <c r="J2600">
        <v>0</v>
      </c>
      <c r="K2600">
        <v>0</v>
      </c>
      <c r="L2600">
        <v>0</v>
      </c>
      <c r="M2600">
        <v>0</v>
      </c>
      <c r="N2600">
        <v>30</v>
      </c>
      <c r="O2600">
        <v>0</v>
      </c>
      <c r="P2600">
        <v>0</v>
      </c>
      <c r="Q2600">
        <v>0</v>
      </c>
      <c r="R2600">
        <v>0</v>
      </c>
      <c r="S2600">
        <v>0</v>
      </c>
      <c r="T2600">
        <v>0</v>
      </c>
      <c r="U2600">
        <v>0</v>
      </c>
      <c r="V2600">
        <v>14</v>
      </c>
      <c r="W2600">
        <v>98</v>
      </c>
      <c r="X2600">
        <v>0</v>
      </c>
      <c r="Z2600">
        <v>0</v>
      </c>
      <c r="AA2600">
        <v>0</v>
      </c>
      <c r="AB2600">
        <v>0</v>
      </c>
      <c r="AC2600">
        <v>0</v>
      </c>
      <c r="AD2600" t="s">
        <v>5146</v>
      </c>
    </row>
    <row r="2601" spans="1:30" x14ac:dyDescent="0.25">
      <c r="H2601" t="s">
        <v>570</v>
      </c>
    </row>
    <row r="2602" spans="1:30" x14ac:dyDescent="0.25">
      <c r="A2602">
        <v>1298</v>
      </c>
      <c r="B2602">
        <v>3281</v>
      </c>
      <c r="C2602" t="s">
        <v>5147</v>
      </c>
      <c r="D2602" t="s">
        <v>45</v>
      </c>
      <c r="E2602" t="s">
        <v>107</v>
      </c>
      <c r="F2602" t="s">
        <v>5148</v>
      </c>
      <c r="G2602" t="str">
        <f>"00289072"</f>
        <v>00289072</v>
      </c>
      <c r="H2602" t="s">
        <v>232</v>
      </c>
      <c r="I2602">
        <v>0</v>
      </c>
      <c r="J2602">
        <v>0</v>
      </c>
      <c r="K2602">
        <v>0</v>
      </c>
      <c r="L2602">
        <v>0</v>
      </c>
      <c r="M2602">
        <v>0</v>
      </c>
      <c r="N2602">
        <v>30</v>
      </c>
      <c r="O2602">
        <v>0</v>
      </c>
      <c r="P2602">
        <v>0</v>
      </c>
      <c r="Q2602">
        <v>0</v>
      </c>
      <c r="R2602">
        <v>0</v>
      </c>
      <c r="S2602">
        <v>0</v>
      </c>
      <c r="T2602">
        <v>0</v>
      </c>
      <c r="U2602">
        <v>0</v>
      </c>
      <c r="V2602">
        <v>0</v>
      </c>
      <c r="W2602">
        <v>0</v>
      </c>
      <c r="X2602">
        <v>0</v>
      </c>
      <c r="Z2602">
        <v>0</v>
      </c>
      <c r="AA2602">
        <v>0</v>
      </c>
      <c r="AB2602">
        <v>0</v>
      </c>
      <c r="AC2602">
        <v>0</v>
      </c>
      <c r="AD2602" t="s">
        <v>5149</v>
      </c>
    </row>
    <row r="2603" spans="1:30" x14ac:dyDescent="0.25">
      <c r="H2603" t="s">
        <v>5150</v>
      </c>
    </row>
    <row r="2604" spans="1:30" x14ac:dyDescent="0.25">
      <c r="A2604">
        <v>1299</v>
      </c>
      <c r="B2604">
        <v>2620</v>
      </c>
      <c r="C2604" t="s">
        <v>5151</v>
      </c>
      <c r="D2604" t="s">
        <v>449</v>
      </c>
      <c r="E2604" t="s">
        <v>445</v>
      </c>
      <c r="F2604" t="s">
        <v>5152</v>
      </c>
      <c r="G2604" t="str">
        <f>"201405000517"</f>
        <v>201405000517</v>
      </c>
      <c r="H2604" t="s">
        <v>5153</v>
      </c>
      <c r="I2604">
        <v>0</v>
      </c>
      <c r="J2604">
        <v>0</v>
      </c>
      <c r="K2604">
        <v>0</v>
      </c>
      <c r="L2604">
        <v>0</v>
      </c>
      <c r="M2604">
        <v>0</v>
      </c>
      <c r="N2604">
        <v>50</v>
      </c>
      <c r="O2604">
        <v>0</v>
      </c>
      <c r="P2604">
        <v>0</v>
      </c>
      <c r="Q2604">
        <v>0</v>
      </c>
      <c r="R2604">
        <v>0</v>
      </c>
      <c r="S2604">
        <v>0</v>
      </c>
      <c r="T2604">
        <v>0</v>
      </c>
      <c r="U2604">
        <v>0</v>
      </c>
      <c r="V2604">
        <v>13</v>
      </c>
      <c r="W2604">
        <v>91</v>
      </c>
      <c r="X2604">
        <v>0</v>
      </c>
      <c r="Z2604">
        <v>0</v>
      </c>
      <c r="AA2604">
        <v>0</v>
      </c>
      <c r="AB2604">
        <v>0</v>
      </c>
      <c r="AC2604">
        <v>0</v>
      </c>
      <c r="AD2604" t="s">
        <v>5154</v>
      </c>
    </row>
    <row r="2605" spans="1:30" x14ac:dyDescent="0.25">
      <c r="H2605" t="s">
        <v>5155</v>
      </c>
    </row>
    <row r="2606" spans="1:30" x14ac:dyDescent="0.25">
      <c r="A2606">
        <v>1300</v>
      </c>
      <c r="B2606">
        <v>5825</v>
      </c>
      <c r="C2606" t="s">
        <v>5156</v>
      </c>
      <c r="D2606" t="s">
        <v>5157</v>
      </c>
      <c r="E2606" t="s">
        <v>5158</v>
      </c>
      <c r="F2606" t="s">
        <v>5159</v>
      </c>
      <c r="G2606" t="str">
        <f>"00300565"</f>
        <v>00300565</v>
      </c>
      <c r="H2606" t="s">
        <v>215</v>
      </c>
      <c r="I2606">
        <v>0</v>
      </c>
      <c r="J2606">
        <v>0</v>
      </c>
      <c r="K2606">
        <v>0</v>
      </c>
      <c r="L2606">
        <v>0</v>
      </c>
      <c r="M2606">
        <v>0</v>
      </c>
      <c r="N2606">
        <v>70</v>
      </c>
      <c r="O2606">
        <v>0</v>
      </c>
      <c r="P2606">
        <v>0</v>
      </c>
      <c r="Q2606">
        <v>0</v>
      </c>
      <c r="R2606">
        <v>0</v>
      </c>
      <c r="S2606">
        <v>0</v>
      </c>
      <c r="T2606">
        <v>0</v>
      </c>
      <c r="U2606">
        <v>0</v>
      </c>
      <c r="V2606">
        <v>0</v>
      </c>
      <c r="W2606">
        <v>0</v>
      </c>
      <c r="X2606">
        <v>0</v>
      </c>
      <c r="Z2606">
        <v>0</v>
      </c>
      <c r="AA2606">
        <v>0</v>
      </c>
      <c r="AB2606">
        <v>0</v>
      </c>
      <c r="AC2606">
        <v>0</v>
      </c>
      <c r="AD2606" t="s">
        <v>5160</v>
      </c>
    </row>
    <row r="2607" spans="1:30" x14ac:dyDescent="0.25">
      <c r="H2607" t="s">
        <v>351</v>
      </c>
    </row>
    <row r="2608" spans="1:30" x14ac:dyDescent="0.25">
      <c r="A2608">
        <v>1301</v>
      </c>
      <c r="B2608">
        <v>5017</v>
      </c>
      <c r="C2608" t="s">
        <v>5161</v>
      </c>
      <c r="D2608" t="s">
        <v>76</v>
      </c>
      <c r="E2608" t="s">
        <v>102</v>
      </c>
      <c r="F2608" t="s">
        <v>5162</v>
      </c>
      <c r="G2608" t="str">
        <f>"201306000094"</f>
        <v>201306000094</v>
      </c>
      <c r="H2608" t="s">
        <v>2518</v>
      </c>
      <c r="I2608">
        <v>0</v>
      </c>
      <c r="J2608">
        <v>0</v>
      </c>
      <c r="K2608">
        <v>0</v>
      </c>
      <c r="L2608">
        <v>0</v>
      </c>
      <c r="M2608">
        <v>0</v>
      </c>
      <c r="N2608">
        <v>30</v>
      </c>
      <c r="O2608">
        <v>0</v>
      </c>
      <c r="P2608">
        <v>0</v>
      </c>
      <c r="Q2608">
        <v>0</v>
      </c>
      <c r="R2608">
        <v>0</v>
      </c>
      <c r="S2608">
        <v>0</v>
      </c>
      <c r="T2608">
        <v>0</v>
      </c>
      <c r="U2608">
        <v>0</v>
      </c>
      <c r="V2608">
        <v>9</v>
      </c>
      <c r="W2608">
        <v>63</v>
      </c>
      <c r="X2608">
        <v>0</v>
      </c>
      <c r="Z2608">
        <v>0</v>
      </c>
      <c r="AA2608">
        <v>0</v>
      </c>
      <c r="AB2608">
        <v>0</v>
      </c>
      <c r="AC2608">
        <v>0</v>
      </c>
      <c r="AD2608" t="s">
        <v>5163</v>
      </c>
    </row>
    <row r="2609" spans="1:30" x14ac:dyDescent="0.25">
      <c r="H2609" t="s">
        <v>5164</v>
      </c>
    </row>
    <row r="2610" spans="1:30" x14ac:dyDescent="0.25">
      <c r="A2610">
        <v>1302</v>
      </c>
      <c r="B2610">
        <v>4035</v>
      </c>
      <c r="C2610" t="s">
        <v>5165</v>
      </c>
      <c r="D2610" t="s">
        <v>3995</v>
      </c>
      <c r="E2610" t="s">
        <v>64</v>
      </c>
      <c r="F2610" t="s">
        <v>5166</v>
      </c>
      <c r="G2610" t="str">
        <f>"00362776"</f>
        <v>00362776</v>
      </c>
      <c r="H2610" t="s">
        <v>131</v>
      </c>
      <c r="I2610">
        <v>0</v>
      </c>
      <c r="J2610">
        <v>0</v>
      </c>
      <c r="K2610">
        <v>0</v>
      </c>
      <c r="L2610">
        <v>0</v>
      </c>
      <c r="M2610">
        <v>0</v>
      </c>
      <c r="N2610">
        <v>30</v>
      </c>
      <c r="O2610">
        <v>0</v>
      </c>
      <c r="P2610">
        <v>0</v>
      </c>
      <c r="Q2610">
        <v>0</v>
      </c>
      <c r="R2610">
        <v>0</v>
      </c>
      <c r="S2610">
        <v>0</v>
      </c>
      <c r="T2610">
        <v>0</v>
      </c>
      <c r="U2610">
        <v>0</v>
      </c>
      <c r="V2610">
        <v>0</v>
      </c>
      <c r="W2610">
        <v>0</v>
      </c>
      <c r="X2610">
        <v>0</v>
      </c>
      <c r="Z2610">
        <v>2</v>
      </c>
      <c r="AA2610">
        <v>0</v>
      </c>
      <c r="AB2610">
        <v>0</v>
      </c>
      <c r="AC2610">
        <v>0</v>
      </c>
      <c r="AD2610" t="s">
        <v>5167</v>
      </c>
    </row>
    <row r="2611" spans="1:30" x14ac:dyDescent="0.25">
      <c r="H2611" t="s">
        <v>570</v>
      </c>
    </row>
    <row r="2612" spans="1:30" x14ac:dyDescent="0.25">
      <c r="A2612">
        <v>1303</v>
      </c>
      <c r="B2612">
        <v>1927</v>
      </c>
      <c r="C2612" t="s">
        <v>5168</v>
      </c>
      <c r="D2612" t="s">
        <v>44</v>
      </c>
      <c r="E2612" t="s">
        <v>49</v>
      </c>
      <c r="F2612" t="s">
        <v>5169</v>
      </c>
      <c r="G2612" t="str">
        <f>"00312544"</f>
        <v>00312544</v>
      </c>
      <c r="H2612" t="s">
        <v>836</v>
      </c>
      <c r="I2612">
        <v>0</v>
      </c>
      <c r="J2612">
        <v>0</v>
      </c>
      <c r="K2612">
        <v>0</v>
      </c>
      <c r="L2612">
        <v>0</v>
      </c>
      <c r="M2612">
        <v>0</v>
      </c>
      <c r="N2612">
        <v>30</v>
      </c>
      <c r="O2612">
        <v>0</v>
      </c>
      <c r="P2612">
        <v>0</v>
      </c>
      <c r="Q2612">
        <v>0</v>
      </c>
      <c r="R2612">
        <v>0</v>
      </c>
      <c r="S2612">
        <v>0</v>
      </c>
      <c r="T2612">
        <v>0</v>
      </c>
      <c r="U2612">
        <v>0</v>
      </c>
      <c r="V2612">
        <v>0</v>
      </c>
      <c r="W2612">
        <v>0</v>
      </c>
      <c r="X2612">
        <v>0</v>
      </c>
      <c r="Z2612">
        <v>0</v>
      </c>
      <c r="AA2612">
        <v>0</v>
      </c>
      <c r="AB2612">
        <v>0</v>
      </c>
      <c r="AC2612">
        <v>0</v>
      </c>
      <c r="AD2612" t="s">
        <v>5170</v>
      </c>
    </row>
    <row r="2613" spans="1:30" x14ac:dyDescent="0.25">
      <c r="H2613" t="s">
        <v>5171</v>
      </c>
    </row>
    <row r="2614" spans="1:30" x14ac:dyDescent="0.25">
      <c r="A2614">
        <v>1304</v>
      </c>
      <c r="B2614">
        <v>966</v>
      </c>
      <c r="C2614" t="s">
        <v>5172</v>
      </c>
      <c r="D2614" t="s">
        <v>64</v>
      </c>
      <c r="E2614" t="s">
        <v>102</v>
      </c>
      <c r="F2614" t="s">
        <v>5173</v>
      </c>
      <c r="G2614" t="str">
        <f>"00219140"</f>
        <v>00219140</v>
      </c>
      <c r="H2614" t="s">
        <v>431</v>
      </c>
      <c r="I2614">
        <v>0</v>
      </c>
      <c r="J2614">
        <v>0</v>
      </c>
      <c r="K2614">
        <v>0</v>
      </c>
      <c r="L2614">
        <v>0</v>
      </c>
      <c r="M2614">
        <v>0</v>
      </c>
      <c r="N2614">
        <v>0</v>
      </c>
      <c r="O2614">
        <v>0</v>
      </c>
      <c r="P2614">
        <v>0</v>
      </c>
      <c r="Q2614">
        <v>0</v>
      </c>
      <c r="R2614">
        <v>0</v>
      </c>
      <c r="S2614">
        <v>0</v>
      </c>
      <c r="T2614">
        <v>0</v>
      </c>
      <c r="U2614">
        <v>0</v>
      </c>
      <c r="V2614">
        <v>20</v>
      </c>
      <c r="W2614">
        <v>140</v>
      </c>
      <c r="X2614">
        <v>0</v>
      </c>
      <c r="Z2614">
        <v>0</v>
      </c>
      <c r="AA2614">
        <v>0</v>
      </c>
      <c r="AB2614">
        <v>0</v>
      </c>
      <c r="AC2614">
        <v>0</v>
      </c>
      <c r="AD2614" t="s">
        <v>5170</v>
      </c>
    </row>
    <row r="2615" spans="1:30" x14ac:dyDescent="0.25">
      <c r="H2615" t="s">
        <v>5174</v>
      </c>
    </row>
    <row r="2616" spans="1:30" x14ac:dyDescent="0.25">
      <c r="A2616">
        <v>1305</v>
      </c>
      <c r="B2616">
        <v>2037</v>
      </c>
      <c r="C2616" t="s">
        <v>5175</v>
      </c>
      <c r="D2616" t="s">
        <v>815</v>
      </c>
      <c r="E2616" t="s">
        <v>389</v>
      </c>
      <c r="F2616" t="s">
        <v>5176</v>
      </c>
      <c r="G2616" t="str">
        <f>"00326132"</f>
        <v>00326132</v>
      </c>
      <c r="H2616" t="s">
        <v>1223</v>
      </c>
      <c r="I2616">
        <v>0</v>
      </c>
      <c r="J2616">
        <v>0</v>
      </c>
      <c r="K2616">
        <v>0</v>
      </c>
      <c r="L2616">
        <v>0</v>
      </c>
      <c r="M2616">
        <v>0</v>
      </c>
      <c r="N2616">
        <v>50</v>
      </c>
      <c r="O2616">
        <v>0</v>
      </c>
      <c r="P2616">
        <v>0</v>
      </c>
      <c r="Q2616">
        <v>0</v>
      </c>
      <c r="R2616">
        <v>0</v>
      </c>
      <c r="S2616">
        <v>0</v>
      </c>
      <c r="T2616">
        <v>0</v>
      </c>
      <c r="U2616">
        <v>0</v>
      </c>
      <c r="V2616">
        <v>0</v>
      </c>
      <c r="W2616">
        <v>0</v>
      </c>
      <c r="X2616">
        <v>0</v>
      </c>
      <c r="Z2616">
        <v>1</v>
      </c>
      <c r="AA2616">
        <v>0</v>
      </c>
      <c r="AB2616">
        <v>0</v>
      </c>
      <c r="AC2616">
        <v>0</v>
      </c>
      <c r="AD2616" t="s">
        <v>5177</v>
      </c>
    </row>
    <row r="2617" spans="1:30" x14ac:dyDescent="0.25">
      <c r="H2617" t="s">
        <v>5178</v>
      </c>
    </row>
    <row r="2618" spans="1:30" x14ac:dyDescent="0.25">
      <c r="A2618">
        <v>1306</v>
      </c>
      <c r="B2618">
        <v>1537</v>
      </c>
      <c r="C2618" t="s">
        <v>5179</v>
      </c>
      <c r="D2618" t="s">
        <v>102</v>
      </c>
      <c r="E2618" t="s">
        <v>3342</v>
      </c>
      <c r="F2618" t="s">
        <v>5180</v>
      </c>
      <c r="G2618" t="str">
        <f>"201406010381"</f>
        <v>201406010381</v>
      </c>
      <c r="H2618">
        <v>770</v>
      </c>
      <c r="I2618">
        <v>0</v>
      </c>
      <c r="J2618">
        <v>0</v>
      </c>
      <c r="K2618">
        <v>0</v>
      </c>
      <c r="L2618">
        <v>0</v>
      </c>
      <c r="M2618">
        <v>0</v>
      </c>
      <c r="N2618">
        <v>30</v>
      </c>
      <c r="O2618">
        <v>0</v>
      </c>
      <c r="P2618">
        <v>0</v>
      </c>
      <c r="Q2618">
        <v>0</v>
      </c>
      <c r="R2618">
        <v>0</v>
      </c>
      <c r="S2618">
        <v>0</v>
      </c>
      <c r="T2618">
        <v>0</v>
      </c>
      <c r="U2618">
        <v>0</v>
      </c>
      <c r="V2618">
        <v>0</v>
      </c>
      <c r="W2618">
        <v>0</v>
      </c>
      <c r="X2618">
        <v>0</v>
      </c>
      <c r="Z2618">
        <v>0</v>
      </c>
      <c r="AA2618">
        <v>0</v>
      </c>
      <c r="AB2618">
        <v>0</v>
      </c>
      <c r="AC2618">
        <v>0</v>
      </c>
      <c r="AD2618">
        <v>800</v>
      </c>
    </row>
    <row r="2619" spans="1:30" x14ac:dyDescent="0.25">
      <c r="H2619" t="s">
        <v>5046</v>
      </c>
    </row>
    <row r="2620" spans="1:30" x14ac:dyDescent="0.25">
      <c r="A2620">
        <v>1307</v>
      </c>
      <c r="B2620">
        <v>4176</v>
      </c>
      <c r="C2620" t="s">
        <v>5181</v>
      </c>
      <c r="D2620" t="s">
        <v>445</v>
      </c>
      <c r="E2620" t="s">
        <v>32</v>
      </c>
      <c r="F2620" t="s">
        <v>5182</v>
      </c>
      <c r="G2620" t="str">
        <f>"00195031"</f>
        <v>00195031</v>
      </c>
      <c r="H2620" t="s">
        <v>1007</v>
      </c>
      <c r="I2620">
        <v>0</v>
      </c>
      <c r="J2620">
        <v>0</v>
      </c>
      <c r="K2620">
        <v>0</v>
      </c>
      <c r="L2620">
        <v>0</v>
      </c>
      <c r="M2620">
        <v>0</v>
      </c>
      <c r="N2620">
        <v>50</v>
      </c>
      <c r="O2620">
        <v>0</v>
      </c>
      <c r="P2620">
        <v>0</v>
      </c>
      <c r="Q2620">
        <v>0</v>
      </c>
      <c r="R2620">
        <v>0</v>
      </c>
      <c r="S2620">
        <v>0</v>
      </c>
      <c r="T2620">
        <v>0</v>
      </c>
      <c r="U2620">
        <v>0</v>
      </c>
      <c r="V2620">
        <v>13</v>
      </c>
      <c r="W2620">
        <v>91</v>
      </c>
      <c r="X2620">
        <v>0</v>
      </c>
      <c r="Z2620">
        <v>1</v>
      </c>
      <c r="AA2620">
        <v>0</v>
      </c>
      <c r="AB2620">
        <v>0</v>
      </c>
      <c r="AC2620">
        <v>0</v>
      </c>
      <c r="AD2620" t="s">
        <v>5183</v>
      </c>
    </row>
    <row r="2621" spans="1:30" x14ac:dyDescent="0.25">
      <c r="H2621" t="s">
        <v>2735</v>
      </c>
    </row>
    <row r="2622" spans="1:30" x14ac:dyDescent="0.25">
      <c r="A2622">
        <v>1308</v>
      </c>
      <c r="B2622">
        <v>221</v>
      </c>
      <c r="C2622" t="s">
        <v>5184</v>
      </c>
      <c r="D2622" t="s">
        <v>236</v>
      </c>
      <c r="E2622" t="s">
        <v>102</v>
      </c>
      <c r="F2622" t="s">
        <v>5185</v>
      </c>
      <c r="G2622" t="str">
        <f>"00214883"</f>
        <v>00214883</v>
      </c>
      <c r="H2622" t="s">
        <v>375</v>
      </c>
      <c r="I2622">
        <v>0</v>
      </c>
      <c r="J2622">
        <v>0</v>
      </c>
      <c r="K2622">
        <v>0</v>
      </c>
      <c r="L2622">
        <v>0</v>
      </c>
      <c r="M2622">
        <v>0</v>
      </c>
      <c r="N2622">
        <v>70</v>
      </c>
      <c r="O2622">
        <v>0</v>
      </c>
      <c r="P2622">
        <v>0</v>
      </c>
      <c r="Q2622">
        <v>0</v>
      </c>
      <c r="R2622">
        <v>0</v>
      </c>
      <c r="S2622">
        <v>0</v>
      </c>
      <c r="T2622">
        <v>0</v>
      </c>
      <c r="U2622">
        <v>0</v>
      </c>
      <c r="V2622">
        <v>0</v>
      </c>
      <c r="W2622">
        <v>0</v>
      </c>
      <c r="X2622">
        <v>0</v>
      </c>
      <c r="Z2622">
        <v>0</v>
      </c>
      <c r="AA2622">
        <v>0</v>
      </c>
      <c r="AB2622">
        <v>0</v>
      </c>
      <c r="AC2622">
        <v>0</v>
      </c>
      <c r="AD2622" t="s">
        <v>5186</v>
      </c>
    </row>
    <row r="2623" spans="1:30" x14ac:dyDescent="0.25">
      <c r="H2623" t="s">
        <v>5187</v>
      </c>
    </row>
    <row r="2624" spans="1:30" x14ac:dyDescent="0.25">
      <c r="A2624">
        <v>1309</v>
      </c>
      <c r="B2624">
        <v>5094</v>
      </c>
      <c r="C2624" t="s">
        <v>5188</v>
      </c>
      <c r="D2624" t="s">
        <v>213</v>
      </c>
      <c r="E2624" t="s">
        <v>40</v>
      </c>
      <c r="F2624" t="s">
        <v>5189</v>
      </c>
      <c r="G2624" t="str">
        <f>"00252390"</f>
        <v>00252390</v>
      </c>
      <c r="H2624" t="s">
        <v>1163</v>
      </c>
      <c r="I2624">
        <v>0</v>
      </c>
      <c r="J2624">
        <v>0</v>
      </c>
      <c r="K2624">
        <v>0</v>
      </c>
      <c r="L2624">
        <v>0</v>
      </c>
      <c r="M2624">
        <v>0</v>
      </c>
      <c r="N2624">
        <v>0</v>
      </c>
      <c r="O2624">
        <v>0</v>
      </c>
      <c r="P2624">
        <v>0</v>
      </c>
      <c r="Q2624">
        <v>0</v>
      </c>
      <c r="R2624">
        <v>0</v>
      </c>
      <c r="S2624">
        <v>0</v>
      </c>
      <c r="T2624">
        <v>0</v>
      </c>
      <c r="U2624">
        <v>0</v>
      </c>
      <c r="V2624">
        <v>9</v>
      </c>
      <c r="W2624">
        <v>63</v>
      </c>
      <c r="X2624">
        <v>0</v>
      </c>
      <c r="Z2624">
        <v>0</v>
      </c>
      <c r="AA2624">
        <v>0</v>
      </c>
      <c r="AB2624">
        <v>0</v>
      </c>
      <c r="AC2624">
        <v>0</v>
      </c>
      <c r="AD2624" t="s">
        <v>5190</v>
      </c>
    </row>
    <row r="2625" spans="1:30" x14ac:dyDescent="0.25">
      <c r="H2625" t="s">
        <v>5191</v>
      </c>
    </row>
    <row r="2626" spans="1:30" x14ac:dyDescent="0.25">
      <c r="A2626">
        <v>1310</v>
      </c>
      <c r="B2626">
        <v>6218</v>
      </c>
      <c r="C2626" t="s">
        <v>5192</v>
      </c>
      <c r="D2626" t="s">
        <v>490</v>
      </c>
      <c r="E2626" t="s">
        <v>107</v>
      </c>
      <c r="F2626" t="s">
        <v>5193</v>
      </c>
      <c r="G2626" t="str">
        <f>"00370076"</f>
        <v>00370076</v>
      </c>
      <c r="H2626" t="s">
        <v>248</v>
      </c>
      <c r="I2626">
        <v>0</v>
      </c>
      <c r="J2626">
        <v>0</v>
      </c>
      <c r="K2626">
        <v>0</v>
      </c>
      <c r="L2626">
        <v>0</v>
      </c>
      <c r="M2626">
        <v>0</v>
      </c>
      <c r="N2626">
        <v>0</v>
      </c>
      <c r="O2626">
        <v>0</v>
      </c>
      <c r="P2626">
        <v>0</v>
      </c>
      <c r="Q2626">
        <v>0</v>
      </c>
      <c r="R2626">
        <v>0</v>
      </c>
      <c r="S2626">
        <v>0</v>
      </c>
      <c r="T2626">
        <v>0</v>
      </c>
      <c r="U2626">
        <v>0</v>
      </c>
      <c r="V2626">
        <v>20</v>
      </c>
      <c r="W2626">
        <v>140</v>
      </c>
      <c r="X2626">
        <v>0</v>
      </c>
      <c r="Z2626">
        <v>2</v>
      </c>
      <c r="AA2626">
        <v>0</v>
      </c>
      <c r="AB2626">
        <v>0</v>
      </c>
      <c r="AC2626">
        <v>0</v>
      </c>
      <c r="AD2626" t="s">
        <v>5194</v>
      </c>
    </row>
    <row r="2627" spans="1:30" x14ac:dyDescent="0.25">
      <c r="H2627" t="s">
        <v>5195</v>
      </c>
    </row>
    <row r="2628" spans="1:30" x14ac:dyDescent="0.25">
      <c r="A2628">
        <v>1311</v>
      </c>
      <c r="B2628">
        <v>130</v>
      </c>
      <c r="C2628" t="s">
        <v>5196</v>
      </c>
      <c r="D2628" t="s">
        <v>191</v>
      </c>
      <c r="E2628" t="s">
        <v>120</v>
      </c>
      <c r="F2628" t="s">
        <v>5197</v>
      </c>
      <c r="G2628" t="str">
        <f>"00295512"</f>
        <v>00295512</v>
      </c>
      <c r="H2628">
        <v>682</v>
      </c>
      <c r="I2628">
        <v>0</v>
      </c>
      <c r="J2628">
        <v>0</v>
      </c>
      <c r="K2628">
        <v>0</v>
      </c>
      <c r="L2628">
        <v>0</v>
      </c>
      <c r="M2628">
        <v>0</v>
      </c>
      <c r="N2628">
        <v>30</v>
      </c>
      <c r="O2628">
        <v>0</v>
      </c>
      <c r="P2628">
        <v>0</v>
      </c>
      <c r="Q2628">
        <v>0</v>
      </c>
      <c r="R2628">
        <v>0</v>
      </c>
      <c r="S2628">
        <v>0</v>
      </c>
      <c r="T2628">
        <v>0</v>
      </c>
      <c r="U2628">
        <v>0</v>
      </c>
      <c r="V2628">
        <v>12</v>
      </c>
      <c r="W2628">
        <v>84</v>
      </c>
      <c r="X2628">
        <v>0</v>
      </c>
      <c r="Z2628">
        <v>0</v>
      </c>
      <c r="AA2628">
        <v>0</v>
      </c>
      <c r="AB2628">
        <v>0</v>
      </c>
      <c r="AC2628">
        <v>0</v>
      </c>
      <c r="AD2628">
        <v>796</v>
      </c>
    </row>
    <row r="2629" spans="1:30" x14ac:dyDescent="0.25">
      <c r="H2629" t="s">
        <v>5198</v>
      </c>
    </row>
    <row r="2630" spans="1:30" x14ac:dyDescent="0.25">
      <c r="A2630">
        <v>1312</v>
      </c>
      <c r="B2630">
        <v>2116</v>
      </c>
      <c r="C2630" t="s">
        <v>5199</v>
      </c>
      <c r="D2630" t="s">
        <v>1507</v>
      </c>
      <c r="E2630" t="s">
        <v>120</v>
      </c>
      <c r="F2630" t="s">
        <v>5200</v>
      </c>
      <c r="G2630" t="str">
        <f>"201511041346"</f>
        <v>201511041346</v>
      </c>
      <c r="H2630">
        <v>704</v>
      </c>
      <c r="I2630">
        <v>0</v>
      </c>
      <c r="J2630">
        <v>0</v>
      </c>
      <c r="K2630">
        <v>0</v>
      </c>
      <c r="L2630">
        <v>0</v>
      </c>
      <c r="M2630">
        <v>0</v>
      </c>
      <c r="N2630">
        <v>70</v>
      </c>
      <c r="O2630">
        <v>0</v>
      </c>
      <c r="P2630">
        <v>0</v>
      </c>
      <c r="Q2630">
        <v>0</v>
      </c>
      <c r="R2630">
        <v>0</v>
      </c>
      <c r="S2630">
        <v>0</v>
      </c>
      <c r="T2630">
        <v>0</v>
      </c>
      <c r="U2630">
        <v>0</v>
      </c>
      <c r="V2630">
        <v>3</v>
      </c>
      <c r="W2630">
        <v>21</v>
      </c>
      <c r="X2630">
        <v>0</v>
      </c>
      <c r="Z2630">
        <v>0</v>
      </c>
      <c r="AA2630">
        <v>0</v>
      </c>
      <c r="AB2630">
        <v>0</v>
      </c>
      <c r="AC2630">
        <v>0</v>
      </c>
      <c r="AD2630">
        <v>795</v>
      </c>
    </row>
    <row r="2631" spans="1:30" x14ac:dyDescent="0.25">
      <c r="H2631" t="s">
        <v>5201</v>
      </c>
    </row>
    <row r="2632" spans="1:30" x14ac:dyDescent="0.25">
      <c r="A2632">
        <v>1313</v>
      </c>
      <c r="B2632">
        <v>5412</v>
      </c>
      <c r="C2632" t="s">
        <v>5202</v>
      </c>
      <c r="D2632" t="s">
        <v>218</v>
      </c>
      <c r="E2632" t="s">
        <v>102</v>
      </c>
      <c r="F2632" t="s">
        <v>5203</v>
      </c>
      <c r="G2632" t="str">
        <f>"00044432"</f>
        <v>00044432</v>
      </c>
      <c r="H2632" t="s">
        <v>349</v>
      </c>
      <c r="I2632">
        <v>0</v>
      </c>
      <c r="J2632">
        <v>0</v>
      </c>
      <c r="K2632">
        <v>0</v>
      </c>
      <c r="L2632">
        <v>0</v>
      </c>
      <c r="M2632">
        <v>0</v>
      </c>
      <c r="N2632">
        <v>30</v>
      </c>
      <c r="O2632">
        <v>0</v>
      </c>
      <c r="P2632">
        <v>0</v>
      </c>
      <c r="Q2632">
        <v>0</v>
      </c>
      <c r="R2632">
        <v>0</v>
      </c>
      <c r="S2632">
        <v>0</v>
      </c>
      <c r="T2632">
        <v>0</v>
      </c>
      <c r="U2632">
        <v>0</v>
      </c>
      <c r="V2632">
        <v>0</v>
      </c>
      <c r="W2632">
        <v>0</v>
      </c>
      <c r="X2632">
        <v>0</v>
      </c>
      <c r="Z2632">
        <v>0</v>
      </c>
      <c r="AA2632">
        <v>0</v>
      </c>
      <c r="AB2632">
        <v>0</v>
      </c>
      <c r="AC2632">
        <v>0</v>
      </c>
      <c r="AD2632" t="s">
        <v>5204</v>
      </c>
    </row>
    <row r="2633" spans="1:30" x14ac:dyDescent="0.25">
      <c r="H2633" t="s">
        <v>5205</v>
      </c>
    </row>
    <row r="2634" spans="1:30" x14ac:dyDescent="0.25">
      <c r="A2634">
        <v>1314</v>
      </c>
      <c r="B2634">
        <v>4871</v>
      </c>
      <c r="C2634" t="s">
        <v>5206</v>
      </c>
      <c r="D2634" t="s">
        <v>102</v>
      </c>
      <c r="E2634" t="s">
        <v>49</v>
      </c>
      <c r="F2634" t="s">
        <v>5207</v>
      </c>
      <c r="G2634" t="str">
        <f>"00361365"</f>
        <v>00361365</v>
      </c>
      <c r="H2634" t="s">
        <v>2497</v>
      </c>
      <c r="I2634">
        <v>0</v>
      </c>
      <c r="J2634">
        <v>0</v>
      </c>
      <c r="K2634">
        <v>0</v>
      </c>
      <c r="L2634">
        <v>0</v>
      </c>
      <c r="M2634">
        <v>0</v>
      </c>
      <c r="N2634">
        <v>50</v>
      </c>
      <c r="O2634">
        <v>0</v>
      </c>
      <c r="P2634">
        <v>0</v>
      </c>
      <c r="Q2634">
        <v>0</v>
      </c>
      <c r="R2634">
        <v>0</v>
      </c>
      <c r="S2634">
        <v>0</v>
      </c>
      <c r="T2634">
        <v>0</v>
      </c>
      <c r="U2634">
        <v>0</v>
      </c>
      <c r="V2634">
        <v>9</v>
      </c>
      <c r="W2634">
        <v>63</v>
      </c>
      <c r="X2634">
        <v>0</v>
      </c>
      <c r="Z2634">
        <v>0</v>
      </c>
      <c r="AA2634">
        <v>0</v>
      </c>
      <c r="AB2634">
        <v>0</v>
      </c>
      <c r="AC2634">
        <v>0</v>
      </c>
      <c r="AD2634" t="s">
        <v>5208</v>
      </c>
    </row>
    <row r="2635" spans="1:30" x14ac:dyDescent="0.25">
      <c r="H2635" t="s">
        <v>5209</v>
      </c>
    </row>
    <row r="2636" spans="1:30" x14ac:dyDescent="0.25">
      <c r="A2636">
        <v>1315</v>
      </c>
      <c r="B2636">
        <v>306</v>
      </c>
      <c r="C2636" t="s">
        <v>5210</v>
      </c>
      <c r="D2636" t="s">
        <v>166</v>
      </c>
      <c r="E2636" t="s">
        <v>28</v>
      </c>
      <c r="F2636" t="s">
        <v>5211</v>
      </c>
      <c r="G2636" t="str">
        <f>"00219586"</f>
        <v>00219586</v>
      </c>
      <c r="H2636" t="s">
        <v>631</v>
      </c>
      <c r="I2636">
        <v>0</v>
      </c>
      <c r="J2636">
        <v>0</v>
      </c>
      <c r="K2636">
        <v>0</v>
      </c>
      <c r="L2636">
        <v>0</v>
      </c>
      <c r="M2636">
        <v>0</v>
      </c>
      <c r="N2636">
        <v>70</v>
      </c>
      <c r="O2636">
        <v>0</v>
      </c>
      <c r="P2636">
        <v>0</v>
      </c>
      <c r="Q2636">
        <v>0</v>
      </c>
      <c r="R2636">
        <v>0</v>
      </c>
      <c r="S2636">
        <v>0</v>
      </c>
      <c r="T2636">
        <v>0</v>
      </c>
      <c r="U2636">
        <v>0</v>
      </c>
      <c r="V2636">
        <v>0</v>
      </c>
      <c r="W2636">
        <v>0</v>
      </c>
      <c r="X2636">
        <v>0</v>
      </c>
      <c r="Z2636">
        <v>0</v>
      </c>
      <c r="AA2636">
        <v>0</v>
      </c>
      <c r="AB2636">
        <v>0</v>
      </c>
      <c r="AC2636">
        <v>0</v>
      </c>
      <c r="AD2636" t="s">
        <v>5212</v>
      </c>
    </row>
    <row r="2637" spans="1:30" x14ac:dyDescent="0.25">
      <c r="H2637" t="s">
        <v>5213</v>
      </c>
    </row>
    <row r="2638" spans="1:30" x14ac:dyDescent="0.25">
      <c r="A2638">
        <v>1316</v>
      </c>
      <c r="B2638">
        <v>2086</v>
      </c>
      <c r="C2638" t="s">
        <v>5214</v>
      </c>
      <c r="D2638" t="s">
        <v>367</v>
      </c>
      <c r="E2638" t="s">
        <v>49</v>
      </c>
      <c r="F2638" t="s">
        <v>5215</v>
      </c>
      <c r="G2638" t="str">
        <f>"00319502"</f>
        <v>00319502</v>
      </c>
      <c r="H2638" t="s">
        <v>730</v>
      </c>
      <c r="I2638">
        <v>0</v>
      </c>
      <c r="J2638">
        <v>0</v>
      </c>
      <c r="K2638">
        <v>0</v>
      </c>
      <c r="L2638">
        <v>0</v>
      </c>
      <c r="M2638">
        <v>0</v>
      </c>
      <c r="N2638">
        <v>0</v>
      </c>
      <c r="O2638">
        <v>30</v>
      </c>
      <c r="P2638">
        <v>0</v>
      </c>
      <c r="Q2638">
        <v>0</v>
      </c>
      <c r="R2638">
        <v>0</v>
      </c>
      <c r="S2638">
        <v>0</v>
      </c>
      <c r="T2638">
        <v>0</v>
      </c>
      <c r="U2638">
        <v>0</v>
      </c>
      <c r="V2638">
        <v>0</v>
      </c>
      <c r="W2638">
        <v>0</v>
      </c>
      <c r="X2638">
        <v>0</v>
      </c>
      <c r="Z2638">
        <v>2</v>
      </c>
      <c r="AA2638">
        <v>0</v>
      </c>
      <c r="AB2638">
        <v>0</v>
      </c>
      <c r="AC2638">
        <v>0</v>
      </c>
      <c r="AD2638" t="s">
        <v>5216</v>
      </c>
    </row>
    <row r="2639" spans="1:30" x14ac:dyDescent="0.25">
      <c r="H2639" t="s">
        <v>5217</v>
      </c>
    </row>
    <row r="2640" spans="1:30" x14ac:dyDescent="0.25">
      <c r="A2640">
        <v>1317</v>
      </c>
      <c r="B2640">
        <v>592</v>
      </c>
      <c r="C2640" t="s">
        <v>5218</v>
      </c>
      <c r="D2640" t="s">
        <v>444</v>
      </c>
      <c r="E2640" t="s">
        <v>542</v>
      </c>
      <c r="F2640" t="s">
        <v>5219</v>
      </c>
      <c r="G2640" t="str">
        <f>"201511027085"</f>
        <v>201511027085</v>
      </c>
      <c r="H2640" t="s">
        <v>431</v>
      </c>
      <c r="I2640">
        <v>0</v>
      </c>
      <c r="J2640">
        <v>0</v>
      </c>
      <c r="K2640">
        <v>0</v>
      </c>
      <c r="L2640">
        <v>0</v>
      </c>
      <c r="M2640">
        <v>100</v>
      </c>
      <c r="N2640">
        <v>30</v>
      </c>
      <c r="O2640">
        <v>0</v>
      </c>
      <c r="P2640">
        <v>0</v>
      </c>
      <c r="Q2640">
        <v>0</v>
      </c>
      <c r="R2640">
        <v>0</v>
      </c>
      <c r="S2640">
        <v>0</v>
      </c>
      <c r="T2640">
        <v>0</v>
      </c>
      <c r="U2640">
        <v>0</v>
      </c>
      <c r="V2640">
        <v>0</v>
      </c>
      <c r="W2640">
        <v>0</v>
      </c>
      <c r="X2640">
        <v>0</v>
      </c>
      <c r="Z2640">
        <v>0</v>
      </c>
      <c r="AA2640">
        <v>0</v>
      </c>
      <c r="AB2640">
        <v>0</v>
      </c>
      <c r="AC2640">
        <v>0</v>
      </c>
      <c r="AD2640" t="s">
        <v>5220</v>
      </c>
    </row>
    <row r="2641" spans="1:30" x14ac:dyDescent="0.25">
      <c r="H2641" t="s">
        <v>5221</v>
      </c>
    </row>
    <row r="2642" spans="1:30" x14ac:dyDescent="0.25">
      <c r="A2642">
        <v>1318</v>
      </c>
      <c r="B2642">
        <v>1205</v>
      </c>
      <c r="C2642" t="s">
        <v>5222</v>
      </c>
      <c r="D2642" t="s">
        <v>95</v>
      </c>
      <c r="E2642" t="s">
        <v>76</v>
      </c>
      <c r="F2642" t="s">
        <v>5223</v>
      </c>
      <c r="G2642" t="str">
        <f>"201511026446"</f>
        <v>201511026446</v>
      </c>
      <c r="H2642" t="s">
        <v>950</v>
      </c>
      <c r="I2642">
        <v>0</v>
      </c>
      <c r="J2642">
        <v>0</v>
      </c>
      <c r="K2642">
        <v>0</v>
      </c>
      <c r="L2642">
        <v>0</v>
      </c>
      <c r="M2642">
        <v>0</v>
      </c>
      <c r="N2642">
        <v>50</v>
      </c>
      <c r="O2642">
        <v>0</v>
      </c>
      <c r="P2642">
        <v>0</v>
      </c>
      <c r="Q2642">
        <v>0</v>
      </c>
      <c r="R2642">
        <v>0</v>
      </c>
      <c r="S2642">
        <v>0</v>
      </c>
      <c r="T2642">
        <v>0</v>
      </c>
      <c r="U2642">
        <v>0</v>
      </c>
      <c r="V2642">
        <v>13</v>
      </c>
      <c r="W2642">
        <v>91</v>
      </c>
      <c r="X2642">
        <v>0</v>
      </c>
      <c r="Z2642">
        <v>0</v>
      </c>
      <c r="AA2642">
        <v>0</v>
      </c>
      <c r="AB2642">
        <v>0</v>
      </c>
      <c r="AC2642">
        <v>0</v>
      </c>
      <c r="AD2642" t="s">
        <v>5220</v>
      </c>
    </row>
    <row r="2643" spans="1:30" x14ac:dyDescent="0.25">
      <c r="H2643" t="s">
        <v>5224</v>
      </c>
    </row>
    <row r="2644" spans="1:30" x14ac:dyDescent="0.25">
      <c r="A2644">
        <v>1319</v>
      </c>
      <c r="B2644">
        <v>4773</v>
      </c>
      <c r="C2644" t="s">
        <v>538</v>
      </c>
      <c r="D2644" t="s">
        <v>167</v>
      </c>
      <c r="E2644" t="s">
        <v>866</v>
      </c>
      <c r="F2644" t="s">
        <v>5225</v>
      </c>
      <c r="G2644" t="str">
        <f>"00202375"</f>
        <v>00202375</v>
      </c>
      <c r="H2644" t="s">
        <v>1100</v>
      </c>
      <c r="I2644">
        <v>0</v>
      </c>
      <c r="J2644">
        <v>0</v>
      </c>
      <c r="K2644">
        <v>0</v>
      </c>
      <c r="L2644">
        <v>0</v>
      </c>
      <c r="M2644">
        <v>0</v>
      </c>
      <c r="N2644">
        <v>30</v>
      </c>
      <c r="O2644">
        <v>0</v>
      </c>
      <c r="P2644">
        <v>0</v>
      </c>
      <c r="Q2644">
        <v>0</v>
      </c>
      <c r="R2644">
        <v>0</v>
      </c>
      <c r="S2644">
        <v>0</v>
      </c>
      <c r="T2644">
        <v>0</v>
      </c>
      <c r="U2644">
        <v>0</v>
      </c>
      <c r="V2644">
        <v>6</v>
      </c>
      <c r="W2644">
        <v>42</v>
      </c>
      <c r="X2644">
        <v>0</v>
      </c>
      <c r="Z2644">
        <v>0</v>
      </c>
      <c r="AA2644">
        <v>0</v>
      </c>
      <c r="AB2644">
        <v>0</v>
      </c>
      <c r="AC2644">
        <v>0</v>
      </c>
      <c r="AD2644" t="s">
        <v>5226</v>
      </c>
    </row>
    <row r="2645" spans="1:30" x14ac:dyDescent="0.25">
      <c r="H2645" t="s">
        <v>5227</v>
      </c>
    </row>
    <row r="2646" spans="1:30" x14ac:dyDescent="0.25">
      <c r="A2646">
        <v>1320</v>
      </c>
      <c r="B2646">
        <v>3225</v>
      </c>
      <c r="C2646" t="s">
        <v>641</v>
      </c>
      <c r="D2646" t="s">
        <v>120</v>
      </c>
      <c r="E2646" t="s">
        <v>254</v>
      </c>
      <c r="F2646" t="s">
        <v>5228</v>
      </c>
      <c r="G2646" t="str">
        <f>"00312805"</f>
        <v>00312805</v>
      </c>
      <c r="H2646" t="s">
        <v>532</v>
      </c>
      <c r="I2646">
        <v>0</v>
      </c>
      <c r="J2646">
        <v>0</v>
      </c>
      <c r="K2646">
        <v>0</v>
      </c>
      <c r="L2646">
        <v>0</v>
      </c>
      <c r="M2646">
        <v>0</v>
      </c>
      <c r="N2646">
        <v>30</v>
      </c>
      <c r="O2646">
        <v>0</v>
      </c>
      <c r="P2646">
        <v>0</v>
      </c>
      <c r="Q2646">
        <v>0</v>
      </c>
      <c r="R2646">
        <v>0</v>
      </c>
      <c r="S2646">
        <v>0</v>
      </c>
      <c r="T2646">
        <v>0</v>
      </c>
      <c r="U2646">
        <v>0</v>
      </c>
      <c r="V2646">
        <v>0</v>
      </c>
      <c r="W2646">
        <v>0</v>
      </c>
      <c r="X2646">
        <v>0</v>
      </c>
      <c r="Z2646">
        <v>0</v>
      </c>
      <c r="AA2646">
        <v>0</v>
      </c>
      <c r="AB2646">
        <v>0</v>
      </c>
      <c r="AC2646">
        <v>0</v>
      </c>
      <c r="AD2646" t="s">
        <v>5229</v>
      </c>
    </row>
    <row r="2647" spans="1:30" x14ac:dyDescent="0.25">
      <c r="H2647" t="s">
        <v>5230</v>
      </c>
    </row>
    <row r="2648" spans="1:30" x14ac:dyDescent="0.25">
      <c r="A2648">
        <v>1321</v>
      </c>
      <c r="B2648">
        <v>1378</v>
      </c>
      <c r="C2648" t="s">
        <v>308</v>
      </c>
      <c r="D2648" t="s">
        <v>5231</v>
      </c>
      <c r="E2648" t="s">
        <v>32</v>
      </c>
      <c r="F2648" t="s">
        <v>5232</v>
      </c>
      <c r="G2648" t="str">
        <f>"00253724"</f>
        <v>00253724</v>
      </c>
      <c r="H2648" t="s">
        <v>532</v>
      </c>
      <c r="I2648">
        <v>0</v>
      </c>
      <c r="J2648">
        <v>0</v>
      </c>
      <c r="K2648">
        <v>0</v>
      </c>
      <c r="L2648">
        <v>0</v>
      </c>
      <c r="M2648">
        <v>0</v>
      </c>
      <c r="N2648">
        <v>30</v>
      </c>
      <c r="O2648">
        <v>0</v>
      </c>
      <c r="P2648">
        <v>0</v>
      </c>
      <c r="Q2648">
        <v>0</v>
      </c>
      <c r="R2648">
        <v>0</v>
      </c>
      <c r="S2648">
        <v>0</v>
      </c>
      <c r="T2648">
        <v>0</v>
      </c>
      <c r="U2648">
        <v>0</v>
      </c>
      <c r="V2648">
        <v>0</v>
      </c>
      <c r="W2648">
        <v>0</v>
      </c>
      <c r="X2648">
        <v>0</v>
      </c>
      <c r="Z2648">
        <v>2</v>
      </c>
      <c r="AA2648">
        <v>0</v>
      </c>
      <c r="AB2648">
        <v>0</v>
      </c>
      <c r="AC2648">
        <v>0</v>
      </c>
      <c r="AD2648" t="s">
        <v>5229</v>
      </c>
    </row>
    <row r="2649" spans="1:30" x14ac:dyDescent="0.25">
      <c r="H2649" t="s">
        <v>5233</v>
      </c>
    </row>
    <row r="2650" spans="1:30" x14ac:dyDescent="0.25">
      <c r="A2650">
        <v>1322</v>
      </c>
      <c r="B2650">
        <v>3534</v>
      </c>
      <c r="C2650" t="s">
        <v>5234</v>
      </c>
      <c r="D2650" t="s">
        <v>32</v>
      </c>
      <c r="E2650" t="s">
        <v>254</v>
      </c>
      <c r="F2650" t="s">
        <v>5235</v>
      </c>
      <c r="G2650" t="str">
        <f>"00343046"</f>
        <v>00343046</v>
      </c>
      <c r="H2650" t="s">
        <v>144</v>
      </c>
      <c r="I2650">
        <v>0</v>
      </c>
      <c r="J2650">
        <v>0</v>
      </c>
      <c r="K2650">
        <v>0</v>
      </c>
      <c r="L2650">
        <v>0</v>
      </c>
      <c r="M2650">
        <v>0</v>
      </c>
      <c r="N2650">
        <v>70</v>
      </c>
      <c r="O2650">
        <v>0</v>
      </c>
      <c r="P2650">
        <v>0</v>
      </c>
      <c r="Q2650">
        <v>0</v>
      </c>
      <c r="R2650">
        <v>0</v>
      </c>
      <c r="S2650">
        <v>0</v>
      </c>
      <c r="T2650">
        <v>0</v>
      </c>
      <c r="U2650">
        <v>0</v>
      </c>
      <c r="V2650">
        <v>0</v>
      </c>
      <c r="W2650">
        <v>0</v>
      </c>
      <c r="X2650">
        <v>0</v>
      </c>
      <c r="Z2650">
        <v>0</v>
      </c>
      <c r="AA2650">
        <v>0</v>
      </c>
      <c r="AB2650">
        <v>0</v>
      </c>
      <c r="AC2650">
        <v>0</v>
      </c>
      <c r="AD2650" t="s">
        <v>5236</v>
      </c>
    </row>
    <row r="2651" spans="1:30" x14ac:dyDescent="0.25">
      <c r="H2651" t="s">
        <v>5237</v>
      </c>
    </row>
    <row r="2652" spans="1:30" x14ac:dyDescent="0.25">
      <c r="A2652">
        <v>1323</v>
      </c>
      <c r="B2652">
        <v>576</v>
      </c>
      <c r="C2652" t="s">
        <v>5238</v>
      </c>
      <c r="D2652" t="s">
        <v>180</v>
      </c>
      <c r="E2652" t="s">
        <v>28</v>
      </c>
      <c r="F2652" t="s">
        <v>5239</v>
      </c>
      <c r="G2652" t="str">
        <f>"00223329"</f>
        <v>00223329</v>
      </c>
      <c r="H2652" t="s">
        <v>1915</v>
      </c>
      <c r="I2652">
        <v>0</v>
      </c>
      <c r="J2652">
        <v>0</v>
      </c>
      <c r="K2652">
        <v>0</v>
      </c>
      <c r="L2652">
        <v>0</v>
      </c>
      <c r="M2652">
        <v>0</v>
      </c>
      <c r="N2652">
        <v>50</v>
      </c>
      <c r="O2652">
        <v>0</v>
      </c>
      <c r="P2652">
        <v>0</v>
      </c>
      <c r="Q2652">
        <v>0</v>
      </c>
      <c r="R2652">
        <v>0</v>
      </c>
      <c r="S2652">
        <v>0</v>
      </c>
      <c r="T2652">
        <v>0</v>
      </c>
      <c r="U2652">
        <v>0</v>
      </c>
      <c r="V2652">
        <v>0</v>
      </c>
      <c r="W2652">
        <v>0</v>
      </c>
      <c r="X2652">
        <v>0</v>
      </c>
      <c r="Z2652">
        <v>0</v>
      </c>
      <c r="AA2652">
        <v>0</v>
      </c>
      <c r="AB2652">
        <v>0</v>
      </c>
      <c r="AC2652">
        <v>0</v>
      </c>
      <c r="AD2652" t="s">
        <v>5240</v>
      </c>
    </row>
    <row r="2653" spans="1:30" x14ac:dyDescent="0.25">
      <c r="H2653" t="s">
        <v>301</v>
      </c>
    </row>
    <row r="2654" spans="1:30" x14ac:dyDescent="0.25">
      <c r="A2654">
        <v>1324</v>
      </c>
      <c r="B2654">
        <v>5620</v>
      </c>
      <c r="C2654" t="s">
        <v>2676</v>
      </c>
      <c r="D2654" t="s">
        <v>815</v>
      </c>
      <c r="E2654" t="s">
        <v>337</v>
      </c>
      <c r="F2654" t="s">
        <v>5241</v>
      </c>
      <c r="G2654" t="str">
        <f>"00150306"</f>
        <v>00150306</v>
      </c>
      <c r="H2654">
        <v>759</v>
      </c>
      <c r="I2654">
        <v>0</v>
      </c>
      <c r="J2654">
        <v>0</v>
      </c>
      <c r="K2654">
        <v>0</v>
      </c>
      <c r="L2654">
        <v>0</v>
      </c>
      <c r="M2654">
        <v>0</v>
      </c>
      <c r="N2654">
        <v>30</v>
      </c>
      <c r="O2654">
        <v>0</v>
      </c>
      <c r="P2654">
        <v>0</v>
      </c>
      <c r="Q2654">
        <v>0</v>
      </c>
      <c r="R2654">
        <v>0</v>
      </c>
      <c r="S2654">
        <v>0</v>
      </c>
      <c r="T2654">
        <v>0</v>
      </c>
      <c r="U2654">
        <v>0</v>
      </c>
      <c r="V2654">
        <v>0</v>
      </c>
      <c r="W2654">
        <v>0</v>
      </c>
      <c r="X2654">
        <v>0</v>
      </c>
      <c r="Z2654">
        <v>0</v>
      </c>
      <c r="AA2654">
        <v>0</v>
      </c>
      <c r="AB2654">
        <v>0</v>
      </c>
      <c r="AC2654">
        <v>0</v>
      </c>
      <c r="AD2654">
        <v>789</v>
      </c>
    </row>
    <row r="2655" spans="1:30" x14ac:dyDescent="0.25">
      <c r="H2655" t="s">
        <v>1204</v>
      </c>
    </row>
    <row r="2656" spans="1:30" x14ac:dyDescent="0.25">
      <c r="A2656">
        <v>1325</v>
      </c>
      <c r="B2656">
        <v>1278</v>
      </c>
      <c r="C2656" t="s">
        <v>5242</v>
      </c>
      <c r="D2656" t="s">
        <v>180</v>
      </c>
      <c r="E2656" t="s">
        <v>325</v>
      </c>
      <c r="F2656" t="s">
        <v>5243</v>
      </c>
      <c r="G2656" t="str">
        <f>"200801001547"</f>
        <v>200801001547</v>
      </c>
      <c r="H2656">
        <v>682</v>
      </c>
      <c r="I2656">
        <v>0</v>
      </c>
      <c r="J2656">
        <v>0</v>
      </c>
      <c r="K2656">
        <v>0</v>
      </c>
      <c r="L2656">
        <v>0</v>
      </c>
      <c r="M2656">
        <v>0</v>
      </c>
      <c r="N2656">
        <v>30</v>
      </c>
      <c r="O2656">
        <v>0</v>
      </c>
      <c r="P2656">
        <v>0</v>
      </c>
      <c r="Q2656">
        <v>0</v>
      </c>
      <c r="R2656">
        <v>0</v>
      </c>
      <c r="S2656">
        <v>0</v>
      </c>
      <c r="T2656">
        <v>0</v>
      </c>
      <c r="U2656">
        <v>0</v>
      </c>
      <c r="V2656">
        <v>11</v>
      </c>
      <c r="W2656">
        <v>77</v>
      </c>
      <c r="X2656">
        <v>0</v>
      </c>
      <c r="Z2656">
        <v>0</v>
      </c>
      <c r="AA2656">
        <v>0</v>
      </c>
      <c r="AB2656">
        <v>0</v>
      </c>
      <c r="AC2656">
        <v>0</v>
      </c>
      <c r="AD2656">
        <v>789</v>
      </c>
    </row>
    <row r="2657" spans="1:30" x14ac:dyDescent="0.25">
      <c r="H2657" t="s">
        <v>5244</v>
      </c>
    </row>
    <row r="2658" spans="1:30" x14ac:dyDescent="0.25">
      <c r="A2658">
        <v>1326</v>
      </c>
      <c r="B2658">
        <v>5368</v>
      </c>
      <c r="C2658" t="s">
        <v>2023</v>
      </c>
      <c r="D2658" t="s">
        <v>5245</v>
      </c>
      <c r="E2658" t="s">
        <v>76</v>
      </c>
      <c r="F2658" t="s">
        <v>5246</v>
      </c>
      <c r="G2658" t="str">
        <f>"201511029506"</f>
        <v>201511029506</v>
      </c>
      <c r="H2658" t="s">
        <v>4346</v>
      </c>
      <c r="I2658">
        <v>0</v>
      </c>
      <c r="J2658">
        <v>0</v>
      </c>
      <c r="K2658">
        <v>0</v>
      </c>
      <c r="L2658">
        <v>0</v>
      </c>
      <c r="M2658">
        <v>0</v>
      </c>
      <c r="N2658">
        <v>0</v>
      </c>
      <c r="O2658">
        <v>0</v>
      </c>
      <c r="P2658">
        <v>0</v>
      </c>
      <c r="Q2658">
        <v>0</v>
      </c>
      <c r="R2658">
        <v>0</v>
      </c>
      <c r="S2658">
        <v>0</v>
      </c>
      <c r="T2658">
        <v>0</v>
      </c>
      <c r="U2658">
        <v>0</v>
      </c>
      <c r="V2658">
        <v>21</v>
      </c>
      <c r="W2658">
        <v>147</v>
      </c>
      <c r="X2658">
        <v>0</v>
      </c>
      <c r="Z2658">
        <v>0</v>
      </c>
      <c r="AA2658">
        <v>0</v>
      </c>
      <c r="AB2658">
        <v>0</v>
      </c>
      <c r="AC2658">
        <v>0</v>
      </c>
      <c r="AD2658" t="s">
        <v>5247</v>
      </c>
    </row>
    <row r="2659" spans="1:30" x14ac:dyDescent="0.25">
      <c r="H2659" t="s">
        <v>5248</v>
      </c>
    </row>
    <row r="2660" spans="1:30" x14ac:dyDescent="0.25">
      <c r="A2660">
        <v>1327</v>
      </c>
      <c r="B2660">
        <v>3809</v>
      </c>
      <c r="C2660" t="s">
        <v>5249</v>
      </c>
      <c r="D2660" t="s">
        <v>1034</v>
      </c>
      <c r="E2660" t="s">
        <v>102</v>
      </c>
      <c r="F2660" t="s">
        <v>5250</v>
      </c>
      <c r="G2660" t="str">
        <f>"00237141"</f>
        <v>00237141</v>
      </c>
      <c r="H2660" t="s">
        <v>652</v>
      </c>
      <c r="I2660">
        <v>0</v>
      </c>
      <c r="J2660">
        <v>0</v>
      </c>
      <c r="K2660">
        <v>0</v>
      </c>
      <c r="L2660">
        <v>0</v>
      </c>
      <c r="M2660">
        <v>0</v>
      </c>
      <c r="N2660">
        <v>30</v>
      </c>
      <c r="O2660">
        <v>0</v>
      </c>
      <c r="P2660">
        <v>0</v>
      </c>
      <c r="Q2660">
        <v>0</v>
      </c>
      <c r="R2660">
        <v>0</v>
      </c>
      <c r="S2660">
        <v>0</v>
      </c>
      <c r="T2660">
        <v>0</v>
      </c>
      <c r="U2660">
        <v>0</v>
      </c>
      <c r="V2660">
        <v>6</v>
      </c>
      <c r="W2660">
        <v>42</v>
      </c>
      <c r="X2660">
        <v>0</v>
      </c>
      <c r="Z2660">
        <v>2</v>
      </c>
      <c r="AA2660">
        <v>0</v>
      </c>
      <c r="AB2660">
        <v>0</v>
      </c>
      <c r="AC2660">
        <v>0</v>
      </c>
      <c r="AD2660" t="s">
        <v>5251</v>
      </c>
    </row>
    <row r="2661" spans="1:30" x14ac:dyDescent="0.25">
      <c r="H2661" t="s">
        <v>5252</v>
      </c>
    </row>
    <row r="2662" spans="1:30" x14ac:dyDescent="0.25">
      <c r="A2662">
        <v>1328</v>
      </c>
      <c r="B2662">
        <v>937</v>
      </c>
      <c r="C2662" t="s">
        <v>3858</v>
      </c>
      <c r="D2662" t="s">
        <v>283</v>
      </c>
      <c r="E2662" t="s">
        <v>181</v>
      </c>
      <c r="F2662" t="s">
        <v>5253</v>
      </c>
      <c r="G2662" t="str">
        <f>"00002292"</f>
        <v>00002292</v>
      </c>
      <c r="H2662" t="s">
        <v>1368</v>
      </c>
      <c r="I2662">
        <v>0</v>
      </c>
      <c r="J2662">
        <v>0</v>
      </c>
      <c r="K2662">
        <v>0</v>
      </c>
      <c r="L2662">
        <v>0</v>
      </c>
      <c r="M2662">
        <v>0</v>
      </c>
      <c r="N2662">
        <v>0</v>
      </c>
      <c r="O2662">
        <v>0</v>
      </c>
      <c r="P2662">
        <v>0</v>
      </c>
      <c r="Q2662">
        <v>0</v>
      </c>
      <c r="R2662">
        <v>0</v>
      </c>
      <c r="S2662">
        <v>0</v>
      </c>
      <c r="T2662">
        <v>0</v>
      </c>
      <c r="U2662">
        <v>0</v>
      </c>
      <c r="V2662">
        <v>12</v>
      </c>
      <c r="W2662">
        <v>84</v>
      </c>
      <c r="X2662">
        <v>0</v>
      </c>
      <c r="Z2662">
        <v>0</v>
      </c>
      <c r="AA2662">
        <v>0</v>
      </c>
      <c r="AB2662">
        <v>0</v>
      </c>
      <c r="AC2662">
        <v>0</v>
      </c>
      <c r="AD2662" t="s">
        <v>5254</v>
      </c>
    </row>
    <row r="2663" spans="1:30" x14ac:dyDescent="0.25">
      <c r="H2663" t="s">
        <v>4656</v>
      </c>
    </row>
    <row r="2664" spans="1:30" x14ac:dyDescent="0.25">
      <c r="A2664">
        <v>1329</v>
      </c>
      <c r="B2664">
        <v>4824</v>
      </c>
      <c r="C2664" t="s">
        <v>5255</v>
      </c>
      <c r="D2664" t="s">
        <v>70</v>
      </c>
      <c r="E2664" t="s">
        <v>64</v>
      </c>
      <c r="F2664" t="s">
        <v>5256</v>
      </c>
      <c r="G2664" t="str">
        <f>"201412000134"</f>
        <v>201412000134</v>
      </c>
      <c r="H2664" t="s">
        <v>1791</v>
      </c>
      <c r="I2664">
        <v>0</v>
      </c>
      <c r="J2664">
        <v>0</v>
      </c>
      <c r="K2664">
        <v>0</v>
      </c>
      <c r="L2664">
        <v>0</v>
      </c>
      <c r="M2664">
        <v>0</v>
      </c>
      <c r="N2664">
        <v>0</v>
      </c>
      <c r="O2664">
        <v>0</v>
      </c>
      <c r="P2664">
        <v>0</v>
      </c>
      <c r="Q2664">
        <v>0</v>
      </c>
      <c r="R2664">
        <v>0</v>
      </c>
      <c r="S2664">
        <v>0</v>
      </c>
      <c r="T2664">
        <v>0</v>
      </c>
      <c r="U2664">
        <v>0</v>
      </c>
      <c r="V2664">
        <v>6</v>
      </c>
      <c r="W2664">
        <v>42</v>
      </c>
      <c r="X2664">
        <v>0</v>
      </c>
      <c r="Z2664">
        <v>0</v>
      </c>
      <c r="AA2664">
        <v>0</v>
      </c>
      <c r="AB2664">
        <v>0</v>
      </c>
      <c r="AC2664">
        <v>0</v>
      </c>
      <c r="AD2664" t="s">
        <v>5257</v>
      </c>
    </row>
    <row r="2665" spans="1:30" x14ac:dyDescent="0.25">
      <c r="H2665" t="s">
        <v>5258</v>
      </c>
    </row>
    <row r="2666" spans="1:30" x14ac:dyDescent="0.25">
      <c r="A2666">
        <v>1330</v>
      </c>
      <c r="B2666">
        <v>5124</v>
      </c>
      <c r="C2666" t="s">
        <v>5259</v>
      </c>
      <c r="D2666" t="s">
        <v>358</v>
      </c>
      <c r="E2666" t="s">
        <v>167</v>
      </c>
      <c r="F2666" t="s">
        <v>5260</v>
      </c>
      <c r="G2666" t="str">
        <f>"00347599"</f>
        <v>00347599</v>
      </c>
      <c r="H2666" t="s">
        <v>900</v>
      </c>
      <c r="I2666">
        <v>0</v>
      </c>
      <c r="J2666">
        <v>0</v>
      </c>
      <c r="K2666">
        <v>0</v>
      </c>
      <c r="L2666">
        <v>0</v>
      </c>
      <c r="M2666">
        <v>0</v>
      </c>
      <c r="N2666">
        <v>30</v>
      </c>
      <c r="O2666">
        <v>0</v>
      </c>
      <c r="P2666">
        <v>0</v>
      </c>
      <c r="Q2666">
        <v>0</v>
      </c>
      <c r="R2666">
        <v>0</v>
      </c>
      <c r="S2666">
        <v>0</v>
      </c>
      <c r="T2666">
        <v>0</v>
      </c>
      <c r="U2666">
        <v>0</v>
      </c>
      <c r="V2666">
        <v>8</v>
      </c>
      <c r="W2666">
        <v>56</v>
      </c>
      <c r="X2666">
        <v>0</v>
      </c>
      <c r="Z2666">
        <v>0</v>
      </c>
      <c r="AA2666">
        <v>0</v>
      </c>
      <c r="AB2666">
        <v>0</v>
      </c>
      <c r="AC2666">
        <v>0</v>
      </c>
      <c r="AD2666" t="s">
        <v>5257</v>
      </c>
    </row>
    <row r="2667" spans="1:30" x14ac:dyDescent="0.25">
      <c r="H2667" t="s">
        <v>5261</v>
      </c>
    </row>
    <row r="2668" spans="1:30" x14ac:dyDescent="0.25">
      <c r="A2668">
        <v>1331</v>
      </c>
      <c r="B2668">
        <v>4140</v>
      </c>
      <c r="C2668" t="s">
        <v>5262</v>
      </c>
      <c r="D2668" t="s">
        <v>151</v>
      </c>
      <c r="E2668" t="s">
        <v>102</v>
      </c>
      <c r="F2668" t="s">
        <v>5263</v>
      </c>
      <c r="G2668" t="str">
        <f>"00362264"</f>
        <v>00362264</v>
      </c>
      <c r="H2668" t="s">
        <v>427</v>
      </c>
      <c r="I2668">
        <v>0</v>
      </c>
      <c r="J2668">
        <v>0</v>
      </c>
      <c r="K2668">
        <v>0</v>
      </c>
      <c r="L2668">
        <v>0</v>
      </c>
      <c r="M2668">
        <v>0</v>
      </c>
      <c r="N2668">
        <v>0</v>
      </c>
      <c r="O2668">
        <v>0</v>
      </c>
      <c r="P2668">
        <v>0</v>
      </c>
      <c r="Q2668">
        <v>0</v>
      </c>
      <c r="R2668">
        <v>0</v>
      </c>
      <c r="S2668">
        <v>0</v>
      </c>
      <c r="T2668">
        <v>0</v>
      </c>
      <c r="U2668">
        <v>0</v>
      </c>
      <c r="V2668">
        <v>11</v>
      </c>
      <c r="W2668">
        <v>77</v>
      </c>
      <c r="X2668">
        <v>0</v>
      </c>
      <c r="Z2668">
        <v>0</v>
      </c>
      <c r="AA2668">
        <v>0</v>
      </c>
      <c r="AB2668">
        <v>0</v>
      </c>
      <c r="AC2668">
        <v>0</v>
      </c>
      <c r="AD2668" t="s">
        <v>52</v>
      </c>
    </row>
    <row r="2669" spans="1:30" x14ac:dyDescent="0.25">
      <c r="H2669">
        <v>1255</v>
      </c>
    </row>
    <row r="2670" spans="1:30" x14ac:dyDescent="0.25">
      <c r="A2670">
        <v>1332</v>
      </c>
      <c r="B2670">
        <v>1469</v>
      </c>
      <c r="C2670" t="s">
        <v>5264</v>
      </c>
      <c r="D2670" t="s">
        <v>102</v>
      </c>
      <c r="E2670" t="s">
        <v>32</v>
      </c>
      <c r="F2670" t="s">
        <v>5265</v>
      </c>
      <c r="G2670" t="str">
        <f>"201406012696"</f>
        <v>201406012696</v>
      </c>
      <c r="H2670" t="s">
        <v>427</v>
      </c>
      <c r="I2670">
        <v>0</v>
      </c>
      <c r="J2670">
        <v>0</v>
      </c>
      <c r="K2670">
        <v>0</v>
      </c>
      <c r="L2670">
        <v>0</v>
      </c>
      <c r="M2670">
        <v>0</v>
      </c>
      <c r="N2670">
        <v>0</v>
      </c>
      <c r="O2670">
        <v>0</v>
      </c>
      <c r="P2670">
        <v>0</v>
      </c>
      <c r="Q2670">
        <v>0</v>
      </c>
      <c r="R2670">
        <v>0</v>
      </c>
      <c r="S2670">
        <v>0</v>
      </c>
      <c r="T2670">
        <v>0</v>
      </c>
      <c r="U2670">
        <v>0</v>
      </c>
      <c r="V2670">
        <v>11</v>
      </c>
      <c r="W2670">
        <v>77</v>
      </c>
      <c r="X2670">
        <v>0</v>
      </c>
      <c r="Z2670">
        <v>0</v>
      </c>
      <c r="AA2670">
        <v>0</v>
      </c>
      <c r="AB2670">
        <v>0</v>
      </c>
      <c r="AC2670">
        <v>0</v>
      </c>
      <c r="AD2670" t="s">
        <v>52</v>
      </c>
    </row>
    <row r="2671" spans="1:30" x14ac:dyDescent="0.25">
      <c r="H2671" t="s">
        <v>2914</v>
      </c>
    </row>
    <row r="2672" spans="1:30" x14ac:dyDescent="0.25">
      <c r="A2672">
        <v>1333</v>
      </c>
      <c r="B2672">
        <v>5993</v>
      </c>
      <c r="C2672" t="s">
        <v>5266</v>
      </c>
      <c r="D2672" t="s">
        <v>1469</v>
      </c>
      <c r="E2672" t="s">
        <v>76</v>
      </c>
      <c r="F2672" t="s">
        <v>5267</v>
      </c>
      <c r="G2672" t="str">
        <f>"00320625"</f>
        <v>00320625</v>
      </c>
      <c r="H2672" t="s">
        <v>1326</v>
      </c>
      <c r="I2672">
        <v>0</v>
      </c>
      <c r="J2672">
        <v>0</v>
      </c>
      <c r="K2672">
        <v>0</v>
      </c>
      <c r="L2672">
        <v>0</v>
      </c>
      <c r="M2672">
        <v>0</v>
      </c>
      <c r="N2672">
        <v>30</v>
      </c>
      <c r="O2672">
        <v>0</v>
      </c>
      <c r="P2672">
        <v>0</v>
      </c>
      <c r="Q2672">
        <v>0</v>
      </c>
      <c r="R2672">
        <v>0</v>
      </c>
      <c r="S2672">
        <v>0</v>
      </c>
      <c r="T2672">
        <v>0</v>
      </c>
      <c r="U2672">
        <v>0</v>
      </c>
      <c r="V2672">
        <v>0</v>
      </c>
      <c r="W2672">
        <v>0</v>
      </c>
      <c r="X2672">
        <v>0</v>
      </c>
      <c r="Z2672">
        <v>0</v>
      </c>
      <c r="AA2672">
        <v>0</v>
      </c>
      <c r="AB2672">
        <v>0</v>
      </c>
      <c r="AC2672">
        <v>0</v>
      </c>
      <c r="AD2672" t="s">
        <v>5268</v>
      </c>
    </row>
    <row r="2673" spans="1:30" x14ac:dyDescent="0.25">
      <c r="H2673" t="s">
        <v>5269</v>
      </c>
    </row>
    <row r="2674" spans="1:30" x14ac:dyDescent="0.25">
      <c r="A2674">
        <v>1334</v>
      </c>
      <c r="B2674">
        <v>4994</v>
      </c>
      <c r="C2674" t="s">
        <v>5270</v>
      </c>
      <c r="D2674" t="s">
        <v>1439</v>
      </c>
      <c r="E2674" t="s">
        <v>5271</v>
      </c>
      <c r="F2674" t="s">
        <v>5272</v>
      </c>
      <c r="G2674" t="str">
        <f>"00234048"</f>
        <v>00234048</v>
      </c>
      <c r="H2674" t="s">
        <v>1588</v>
      </c>
      <c r="I2674">
        <v>0</v>
      </c>
      <c r="J2674">
        <v>0</v>
      </c>
      <c r="K2674">
        <v>0</v>
      </c>
      <c r="L2674">
        <v>0</v>
      </c>
      <c r="M2674">
        <v>0</v>
      </c>
      <c r="N2674">
        <v>70</v>
      </c>
      <c r="O2674">
        <v>0</v>
      </c>
      <c r="P2674">
        <v>0</v>
      </c>
      <c r="Q2674">
        <v>0</v>
      </c>
      <c r="R2674">
        <v>0</v>
      </c>
      <c r="S2674">
        <v>0</v>
      </c>
      <c r="T2674">
        <v>0</v>
      </c>
      <c r="U2674">
        <v>0</v>
      </c>
      <c r="V2674">
        <v>0</v>
      </c>
      <c r="W2674">
        <v>0</v>
      </c>
      <c r="X2674">
        <v>0</v>
      </c>
      <c r="Z2674">
        <v>0</v>
      </c>
      <c r="AA2674">
        <v>0</v>
      </c>
      <c r="AB2674">
        <v>0</v>
      </c>
      <c r="AC2674">
        <v>0</v>
      </c>
      <c r="AD2674" t="s">
        <v>5273</v>
      </c>
    </row>
    <row r="2675" spans="1:30" x14ac:dyDescent="0.25">
      <c r="H2675" t="s">
        <v>5274</v>
      </c>
    </row>
    <row r="2676" spans="1:30" x14ac:dyDescent="0.25">
      <c r="A2676">
        <v>1335</v>
      </c>
      <c r="B2676">
        <v>5890</v>
      </c>
      <c r="C2676" t="s">
        <v>5275</v>
      </c>
      <c r="D2676" t="s">
        <v>32</v>
      </c>
      <c r="E2676" t="s">
        <v>102</v>
      </c>
      <c r="F2676" t="s">
        <v>5276</v>
      </c>
      <c r="G2676" t="str">
        <f>"201406013158"</f>
        <v>201406013158</v>
      </c>
      <c r="H2676" t="s">
        <v>1588</v>
      </c>
      <c r="I2676">
        <v>0</v>
      </c>
      <c r="J2676">
        <v>0</v>
      </c>
      <c r="K2676">
        <v>0</v>
      </c>
      <c r="L2676">
        <v>0</v>
      </c>
      <c r="M2676">
        <v>0</v>
      </c>
      <c r="N2676">
        <v>70</v>
      </c>
      <c r="O2676">
        <v>0</v>
      </c>
      <c r="P2676">
        <v>0</v>
      </c>
      <c r="Q2676">
        <v>0</v>
      </c>
      <c r="R2676">
        <v>0</v>
      </c>
      <c r="S2676">
        <v>0</v>
      </c>
      <c r="T2676">
        <v>0</v>
      </c>
      <c r="U2676">
        <v>0</v>
      </c>
      <c r="V2676">
        <v>0</v>
      </c>
      <c r="W2676">
        <v>0</v>
      </c>
      <c r="X2676">
        <v>0</v>
      </c>
      <c r="Z2676">
        <v>0</v>
      </c>
      <c r="AA2676">
        <v>0</v>
      </c>
      <c r="AB2676">
        <v>0</v>
      </c>
      <c r="AC2676">
        <v>0</v>
      </c>
      <c r="AD2676" t="s">
        <v>5273</v>
      </c>
    </row>
    <row r="2677" spans="1:30" x14ac:dyDescent="0.25">
      <c r="H2677" t="s">
        <v>5277</v>
      </c>
    </row>
    <row r="2678" spans="1:30" x14ac:dyDescent="0.25">
      <c r="A2678">
        <v>1336</v>
      </c>
      <c r="B2678">
        <v>4901</v>
      </c>
      <c r="C2678" t="s">
        <v>5278</v>
      </c>
      <c r="D2678" t="s">
        <v>225</v>
      </c>
      <c r="E2678" t="s">
        <v>28</v>
      </c>
      <c r="F2678" t="s">
        <v>5279</v>
      </c>
      <c r="G2678" t="str">
        <f>"201511031069"</f>
        <v>201511031069</v>
      </c>
      <c r="H2678" t="s">
        <v>1356</v>
      </c>
      <c r="I2678">
        <v>0</v>
      </c>
      <c r="J2678">
        <v>0</v>
      </c>
      <c r="K2678">
        <v>0</v>
      </c>
      <c r="L2678">
        <v>0</v>
      </c>
      <c r="M2678">
        <v>0</v>
      </c>
      <c r="N2678">
        <v>30</v>
      </c>
      <c r="O2678">
        <v>0</v>
      </c>
      <c r="P2678">
        <v>0</v>
      </c>
      <c r="Q2678">
        <v>0</v>
      </c>
      <c r="R2678">
        <v>0</v>
      </c>
      <c r="S2678">
        <v>0</v>
      </c>
      <c r="T2678">
        <v>0</v>
      </c>
      <c r="U2678">
        <v>0</v>
      </c>
      <c r="V2678">
        <v>5</v>
      </c>
      <c r="W2678">
        <v>35</v>
      </c>
      <c r="X2678">
        <v>0</v>
      </c>
      <c r="Z2678">
        <v>0</v>
      </c>
      <c r="AA2678">
        <v>0</v>
      </c>
      <c r="AB2678">
        <v>0</v>
      </c>
      <c r="AC2678">
        <v>0</v>
      </c>
      <c r="AD2678" t="s">
        <v>5280</v>
      </c>
    </row>
    <row r="2679" spans="1:30" x14ac:dyDescent="0.25">
      <c r="H2679" t="s">
        <v>5281</v>
      </c>
    </row>
    <row r="2680" spans="1:30" x14ac:dyDescent="0.25">
      <c r="A2680">
        <v>1337</v>
      </c>
      <c r="B2680">
        <v>5893</v>
      </c>
      <c r="C2680" t="s">
        <v>5282</v>
      </c>
      <c r="D2680" t="s">
        <v>397</v>
      </c>
      <c r="E2680" t="s">
        <v>49</v>
      </c>
      <c r="F2680" t="s">
        <v>5283</v>
      </c>
      <c r="G2680" t="str">
        <f>"00357541"</f>
        <v>00357541</v>
      </c>
      <c r="H2680" t="s">
        <v>591</v>
      </c>
      <c r="I2680">
        <v>0</v>
      </c>
      <c r="J2680">
        <v>0</v>
      </c>
      <c r="K2680">
        <v>0</v>
      </c>
      <c r="L2680">
        <v>0</v>
      </c>
      <c r="M2680">
        <v>0</v>
      </c>
      <c r="N2680">
        <v>70</v>
      </c>
      <c r="O2680">
        <v>0</v>
      </c>
      <c r="P2680">
        <v>0</v>
      </c>
      <c r="Q2680">
        <v>0</v>
      </c>
      <c r="R2680">
        <v>0</v>
      </c>
      <c r="S2680">
        <v>0</v>
      </c>
      <c r="T2680">
        <v>0</v>
      </c>
      <c r="U2680">
        <v>0</v>
      </c>
      <c r="V2680">
        <v>0</v>
      </c>
      <c r="W2680">
        <v>0</v>
      </c>
      <c r="X2680">
        <v>0</v>
      </c>
      <c r="Z2680">
        <v>0</v>
      </c>
      <c r="AA2680">
        <v>0</v>
      </c>
      <c r="AB2680">
        <v>0</v>
      </c>
      <c r="AC2680">
        <v>0</v>
      </c>
      <c r="AD2680" t="s">
        <v>5284</v>
      </c>
    </row>
    <row r="2681" spans="1:30" x14ac:dyDescent="0.25">
      <c r="H2681" t="s">
        <v>5285</v>
      </c>
    </row>
    <row r="2682" spans="1:30" x14ac:dyDescent="0.25">
      <c r="A2682">
        <v>1338</v>
      </c>
      <c r="B2682">
        <v>3839</v>
      </c>
      <c r="C2682" t="s">
        <v>5286</v>
      </c>
      <c r="D2682" t="s">
        <v>5287</v>
      </c>
      <c r="E2682" t="s">
        <v>2525</v>
      </c>
      <c r="F2682" t="s">
        <v>5288</v>
      </c>
      <c r="G2682" t="str">
        <f>"201402001037"</f>
        <v>201402001037</v>
      </c>
      <c r="H2682" t="s">
        <v>3311</v>
      </c>
      <c r="I2682">
        <v>0</v>
      </c>
      <c r="J2682">
        <v>0</v>
      </c>
      <c r="K2682">
        <v>0</v>
      </c>
      <c r="L2682">
        <v>0</v>
      </c>
      <c r="M2682">
        <v>0</v>
      </c>
      <c r="N2682">
        <v>30</v>
      </c>
      <c r="O2682">
        <v>0</v>
      </c>
      <c r="P2682">
        <v>0</v>
      </c>
      <c r="Q2682">
        <v>0</v>
      </c>
      <c r="R2682">
        <v>0</v>
      </c>
      <c r="S2682">
        <v>0</v>
      </c>
      <c r="T2682">
        <v>0</v>
      </c>
      <c r="U2682">
        <v>0</v>
      </c>
      <c r="V2682">
        <v>16</v>
      </c>
      <c r="W2682">
        <v>112</v>
      </c>
      <c r="X2682">
        <v>0</v>
      </c>
      <c r="Z2682">
        <v>1</v>
      </c>
      <c r="AA2682">
        <v>0</v>
      </c>
      <c r="AB2682">
        <v>0</v>
      </c>
      <c r="AC2682">
        <v>0</v>
      </c>
      <c r="AD2682" t="s">
        <v>5289</v>
      </c>
    </row>
    <row r="2683" spans="1:30" x14ac:dyDescent="0.25">
      <c r="H2683" t="s">
        <v>2739</v>
      </c>
    </row>
    <row r="2684" spans="1:30" x14ac:dyDescent="0.25">
      <c r="A2684">
        <v>1339</v>
      </c>
      <c r="B2684">
        <v>2081</v>
      </c>
      <c r="C2684" t="s">
        <v>5290</v>
      </c>
      <c r="D2684" t="s">
        <v>615</v>
      </c>
      <c r="E2684" t="s">
        <v>49</v>
      </c>
      <c r="F2684" t="s">
        <v>5291</v>
      </c>
      <c r="G2684" t="str">
        <f>"00317127"</f>
        <v>00317127</v>
      </c>
      <c r="H2684" t="s">
        <v>2413</v>
      </c>
      <c r="I2684">
        <v>0</v>
      </c>
      <c r="J2684">
        <v>0</v>
      </c>
      <c r="K2684">
        <v>0</v>
      </c>
      <c r="L2684">
        <v>0</v>
      </c>
      <c r="M2684">
        <v>0</v>
      </c>
      <c r="N2684">
        <v>0</v>
      </c>
      <c r="O2684">
        <v>0</v>
      </c>
      <c r="P2684">
        <v>0</v>
      </c>
      <c r="Q2684">
        <v>0</v>
      </c>
      <c r="R2684">
        <v>0</v>
      </c>
      <c r="S2684">
        <v>0</v>
      </c>
      <c r="T2684">
        <v>0</v>
      </c>
      <c r="U2684">
        <v>0</v>
      </c>
      <c r="V2684">
        <v>13</v>
      </c>
      <c r="W2684">
        <v>91</v>
      </c>
      <c r="X2684">
        <v>0</v>
      </c>
      <c r="Z2684">
        <v>0</v>
      </c>
      <c r="AA2684">
        <v>0</v>
      </c>
      <c r="AB2684">
        <v>0</v>
      </c>
      <c r="AC2684">
        <v>0</v>
      </c>
      <c r="AD2684" t="s">
        <v>5292</v>
      </c>
    </row>
    <row r="2685" spans="1:30" x14ac:dyDescent="0.25">
      <c r="H2685" t="s">
        <v>5293</v>
      </c>
    </row>
    <row r="2686" spans="1:30" x14ac:dyDescent="0.25">
      <c r="A2686">
        <v>1340</v>
      </c>
      <c r="B2686">
        <v>5970</v>
      </c>
      <c r="C2686" t="s">
        <v>5294</v>
      </c>
      <c r="D2686" t="s">
        <v>218</v>
      </c>
      <c r="E2686" t="s">
        <v>5295</v>
      </c>
      <c r="F2686" t="s">
        <v>5296</v>
      </c>
      <c r="G2686" t="str">
        <f>"00365171"</f>
        <v>00365171</v>
      </c>
      <c r="H2686" t="s">
        <v>1223</v>
      </c>
      <c r="I2686">
        <v>0</v>
      </c>
      <c r="J2686">
        <v>0</v>
      </c>
      <c r="K2686">
        <v>0</v>
      </c>
      <c r="L2686">
        <v>0</v>
      </c>
      <c r="M2686">
        <v>0</v>
      </c>
      <c r="N2686">
        <v>30</v>
      </c>
      <c r="O2686">
        <v>0</v>
      </c>
      <c r="P2686">
        <v>0</v>
      </c>
      <c r="Q2686">
        <v>0</v>
      </c>
      <c r="R2686">
        <v>0</v>
      </c>
      <c r="S2686">
        <v>0</v>
      </c>
      <c r="T2686">
        <v>0</v>
      </c>
      <c r="U2686">
        <v>0</v>
      </c>
      <c r="V2686">
        <v>0</v>
      </c>
      <c r="W2686">
        <v>0</v>
      </c>
      <c r="X2686">
        <v>0</v>
      </c>
      <c r="Z2686">
        <v>0</v>
      </c>
      <c r="AA2686">
        <v>0</v>
      </c>
      <c r="AB2686">
        <v>0</v>
      </c>
      <c r="AC2686">
        <v>0</v>
      </c>
      <c r="AD2686" t="s">
        <v>5297</v>
      </c>
    </row>
    <row r="2687" spans="1:30" x14ac:dyDescent="0.25">
      <c r="H2687" t="s">
        <v>5298</v>
      </c>
    </row>
    <row r="2688" spans="1:30" x14ac:dyDescent="0.25">
      <c r="A2688">
        <v>1341</v>
      </c>
      <c r="B2688">
        <v>797</v>
      </c>
      <c r="C2688" t="s">
        <v>5299</v>
      </c>
      <c r="D2688" t="s">
        <v>180</v>
      </c>
      <c r="E2688" t="s">
        <v>76</v>
      </c>
      <c r="F2688" t="s">
        <v>5300</v>
      </c>
      <c r="G2688" t="str">
        <f>"00292681"</f>
        <v>00292681</v>
      </c>
      <c r="H2688" t="s">
        <v>1223</v>
      </c>
      <c r="I2688">
        <v>0</v>
      </c>
      <c r="J2688">
        <v>0</v>
      </c>
      <c r="K2688">
        <v>0</v>
      </c>
      <c r="L2688">
        <v>0</v>
      </c>
      <c r="M2688">
        <v>0</v>
      </c>
      <c r="N2688">
        <v>30</v>
      </c>
      <c r="O2688">
        <v>0</v>
      </c>
      <c r="P2688">
        <v>0</v>
      </c>
      <c r="Q2688">
        <v>0</v>
      </c>
      <c r="R2688">
        <v>0</v>
      </c>
      <c r="S2688">
        <v>0</v>
      </c>
      <c r="T2688">
        <v>0</v>
      </c>
      <c r="U2688">
        <v>0</v>
      </c>
      <c r="V2688">
        <v>0</v>
      </c>
      <c r="W2688">
        <v>0</v>
      </c>
      <c r="X2688">
        <v>0</v>
      </c>
      <c r="Z2688">
        <v>0</v>
      </c>
      <c r="AA2688">
        <v>0</v>
      </c>
      <c r="AB2688">
        <v>0</v>
      </c>
      <c r="AC2688">
        <v>0</v>
      </c>
      <c r="AD2688" t="s">
        <v>5297</v>
      </c>
    </row>
    <row r="2689" spans="1:30" x14ac:dyDescent="0.25">
      <c r="H2689" t="s">
        <v>5301</v>
      </c>
    </row>
    <row r="2690" spans="1:30" x14ac:dyDescent="0.25">
      <c r="A2690">
        <v>1342</v>
      </c>
      <c r="B2690">
        <v>5523</v>
      </c>
      <c r="C2690" t="s">
        <v>5302</v>
      </c>
      <c r="D2690" t="s">
        <v>32</v>
      </c>
      <c r="E2690" t="s">
        <v>102</v>
      </c>
      <c r="F2690" t="s">
        <v>5303</v>
      </c>
      <c r="G2690" t="str">
        <f>"00214916"</f>
        <v>00214916</v>
      </c>
      <c r="H2690">
        <v>638</v>
      </c>
      <c r="I2690">
        <v>0</v>
      </c>
      <c r="J2690">
        <v>0</v>
      </c>
      <c r="K2690">
        <v>0</v>
      </c>
      <c r="L2690">
        <v>0</v>
      </c>
      <c r="M2690">
        <v>0</v>
      </c>
      <c r="N2690">
        <v>30</v>
      </c>
      <c r="O2690">
        <v>0</v>
      </c>
      <c r="P2690">
        <v>0</v>
      </c>
      <c r="Q2690">
        <v>0</v>
      </c>
      <c r="R2690">
        <v>0</v>
      </c>
      <c r="S2690">
        <v>0</v>
      </c>
      <c r="T2690">
        <v>0</v>
      </c>
      <c r="U2690">
        <v>0</v>
      </c>
      <c r="V2690">
        <v>16</v>
      </c>
      <c r="W2690">
        <v>112</v>
      </c>
      <c r="X2690">
        <v>0</v>
      </c>
      <c r="Z2690">
        <v>0</v>
      </c>
      <c r="AA2690">
        <v>0</v>
      </c>
      <c r="AB2690">
        <v>0</v>
      </c>
      <c r="AC2690">
        <v>0</v>
      </c>
      <c r="AD2690">
        <v>780</v>
      </c>
    </row>
    <row r="2691" spans="1:30" x14ac:dyDescent="0.25">
      <c r="H2691" t="s">
        <v>5304</v>
      </c>
    </row>
    <row r="2692" spans="1:30" x14ac:dyDescent="0.25">
      <c r="A2692">
        <v>1343</v>
      </c>
      <c r="B2692">
        <v>734</v>
      </c>
      <c r="C2692" t="s">
        <v>5305</v>
      </c>
      <c r="D2692" t="s">
        <v>3438</v>
      </c>
      <c r="E2692" t="s">
        <v>76</v>
      </c>
      <c r="F2692" t="s">
        <v>5306</v>
      </c>
      <c r="G2692" t="str">
        <f>"00088854"</f>
        <v>00088854</v>
      </c>
      <c r="H2692">
        <v>693</v>
      </c>
      <c r="I2692">
        <v>0</v>
      </c>
      <c r="J2692">
        <v>0</v>
      </c>
      <c r="K2692">
        <v>0</v>
      </c>
      <c r="L2692">
        <v>0</v>
      </c>
      <c r="M2692">
        <v>0</v>
      </c>
      <c r="N2692">
        <v>30</v>
      </c>
      <c r="O2692">
        <v>0</v>
      </c>
      <c r="P2692">
        <v>0</v>
      </c>
      <c r="Q2692">
        <v>0</v>
      </c>
      <c r="R2692">
        <v>0</v>
      </c>
      <c r="S2692">
        <v>0</v>
      </c>
      <c r="T2692">
        <v>0</v>
      </c>
      <c r="U2692">
        <v>0</v>
      </c>
      <c r="V2692">
        <v>8</v>
      </c>
      <c r="W2692">
        <v>56</v>
      </c>
      <c r="X2692">
        <v>0</v>
      </c>
      <c r="Z2692">
        <v>0</v>
      </c>
      <c r="AA2692">
        <v>0</v>
      </c>
      <c r="AB2692">
        <v>0</v>
      </c>
      <c r="AC2692">
        <v>0</v>
      </c>
      <c r="AD2692">
        <v>779</v>
      </c>
    </row>
    <row r="2693" spans="1:30" x14ac:dyDescent="0.25">
      <c r="H2693" t="s">
        <v>5307</v>
      </c>
    </row>
    <row r="2694" spans="1:30" x14ac:dyDescent="0.25">
      <c r="A2694">
        <v>1344</v>
      </c>
      <c r="B2694">
        <v>3019</v>
      </c>
      <c r="C2694" t="s">
        <v>5308</v>
      </c>
      <c r="D2694" t="s">
        <v>444</v>
      </c>
      <c r="E2694" t="s">
        <v>120</v>
      </c>
      <c r="F2694" t="s">
        <v>5309</v>
      </c>
      <c r="G2694" t="str">
        <f>"201406011089"</f>
        <v>201406011089</v>
      </c>
      <c r="H2694" t="s">
        <v>2228</v>
      </c>
      <c r="I2694">
        <v>0</v>
      </c>
      <c r="J2694">
        <v>0</v>
      </c>
      <c r="K2694">
        <v>0</v>
      </c>
      <c r="L2694">
        <v>0</v>
      </c>
      <c r="M2694">
        <v>0</v>
      </c>
      <c r="N2694">
        <v>70</v>
      </c>
      <c r="O2694">
        <v>0</v>
      </c>
      <c r="P2694">
        <v>0</v>
      </c>
      <c r="Q2694">
        <v>0</v>
      </c>
      <c r="R2694">
        <v>0</v>
      </c>
      <c r="S2694">
        <v>0</v>
      </c>
      <c r="T2694">
        <v>0</v>
      </c>
      <c r="U2694">
        <v>0</v>
      </c>
      <c r="V2694">
        <v>0</v>
      </c>
      <c r="W2694">
        <v>0</v>
      </c>
      <c r="X2694">
        <v>0</v>
      </c>
      <c r="Z2694">
        <v>0</v>
      </c>
      <c r="AA2694">
        <v>0</v>
      </c>
      <c r="AB2694">
        <v>0</v>
      </c>
      <c r="AC2694">
        <v>0</v>
      </c>
      <c r="AD2694" t="s">
        <v>5310</v>
      </c>
    </row>
    <row r="2695" spans="1:30" x14ac:dyDescent="0.25">
      <c r="H2695" t="s">
        <v>5311</v>
      </c>
    </row>
    <row r="2696" spans="1:30" x14ac:dyDescent="0.25">
      <c r="A2696">
        <v>1345</v>
      </c>
      <c r="B2696">
        <v>5748</v>
      </c>
      <c r="C2696" t="s">
        <v>5312</v>
      </c>
      <c r="D2696" t="s">
        <v>325</v>
      </c>
      <c r="E2696" t="s">
        <v>76</v>
      </c>
      <c r="F2696" t="s">
        <v>5313</v>
      </c>
      <c r="G2696" t="str">
        <f>"00269345"</f>
        <v>00269345</v>
      </c>
      <c r="H2696" t="s">
        <v>2228</v>
      </c>
      <c r="I2696">
        <v>0</v>
      </c>
      <c r="J2696">
        <v>0</v>
      </c>
      <c r="K2696">
        <v>0</v>
      </c>
      <c r="L2696">
        <v>0</v>
      </c>
      <c r="M2696">
        <v>0</v>
      </c>
      <c r="N2696">
        <v>70</v>
      </c>
      <c r="O2696">
        <v>0</v>
      </c>
      <c r="P2696">
        <v>0</v>
      </c>
      <c r="Q2696">
        <v>0</v>
      </c>
      <c r="R2696">
        <v>0</v>
      </c>
      <c r="S2696">
        <v>0</v>
      </c>
      <c r="T2696">
        <v>0</v>
      </c>
      <c r="U2696">
        <v>0</v>
      </c>
      <c r="V2696">
        <v>0</v>
      </c>
      <c r="W2696">
        <v>0</v>
      </c>
      <c r="X2696">
        <v>0</v>
      </c>
      <c r="Z2696">
        <v>0</v>
      </c>
      <c r="AA2696">
        <v>0</v>
      </c>
      <c r="AB2696">
        <v>0</v>
      </c>
      <c r="AC2696">
        <v>0</v>
      </c>
      <c r="AD2696" t="s">
        <v>5310</v>
      </c>
    </row>
    <row r="2697" spans="1:30" x14ac:dyDescent="0.25">
      <c r="H2697" t="s">
        <v>570</v>
      </c>
    </row>
    <row r="2698" spans="1:30" x14ac:dyDescent="0.25">
      <c r="A2698">
        <v>1346</v>
      </c>
      <c r="B2698">
        <v>1273</v>
      </c>
      <c r="C2698" t="s">
        <v>5314</v>
      </c>
      <c r="D2698" t="s">
        <v>367</v>
      </c>
      <c r="E2698" t="s">
        <v>32</v>
      </c>
      <c r="F2698" t="s">
        <v>5315</v>
      </c>
      <c r="G2698" t="str">
        <f>"200802007992"</f>
        <v>200802007992</v>
      </c>
      <c r="H2698">
        <v>748</v>
      </c>
      <c r="I2698">
        <v>0</v>
      </c>
      <c r="J2698">
        <v>0</v>
      </c>
      <c r="K2698">
        <v>0</v>
      </c>
      <c r="L2698">
        <v>0</v>
      </c>
      <c r="M2698">
        <v>0</v>
      </c>
      <c r="N2698">
        <v>30</v>
      </c>
      <c r="O2698">
        <v>0</v>
      </c>
      <c r="P2698">
        <v>0</v>
      </c>
      <c r="Q2698">
        <v>0</v>
      </c>
      <c r="R2698">
        <v>0</v>
      </c>
      <c r="S2698">
        <v>0</v>
      </c>
      <c r="T2698">
        <v>0</v>
      </c>
      <c r="U2698">
        <v>0</v>
      </c>
      <c r="V2698">
        <v>0</v>
      </c>
      <c r="W2698">
        <v>0</v>
      </c>
      <c r="X2698">
        <v>0</v>
      </c>
      <c r="Z2698">
        <v>0</v>
      </c>
      <c r="AA2698">
        <v>0</v>
      </c>
      <c r="AB2698">
        <v>0</v>
      </c>
      <c r="AC2698">
        <v>0</v>
      </c>
      <c r="AD2698">
        <v>778</v>
      </c>
    </row>
    <row r="2699" spans="1:30" x14ac:dyDescent="0.25">
      <c r="H2699" t="s">
        <v>5316</v>
      </c>
    </row>
    <row r="2700" spans="1:30" x14ac:dyDescent="0.25">
      <c r="A2700">
        <v>1347</v>
      </c>
      <c r="B2700">
        <v>2225</v>
      </c>
      <c r="C2700" t="s">
        <v>5317</v>
      </c>
      <c r="D2700" t="s">
        <v>389</v>
      </c>
      <c r="E2700" t="s">
        <v>358</v>
      </c>
      <c r="F2700" t="s">
        <v>5318</v>
      </c>
      <c r="G2700" t="str">
        <f>"200803000738"</f>
        <v>200803000738</v>
      </c>
      <c r="H2700">
        <v>748</v>
      </c>
      <c r="I2700">
        <v>0</v>
      </c>
      <c r="J2700">
        <v>0</v>
      </c>
      <c r="K2700">
        <v>0</v>
      </c>
      <c r="L2700">
        <v>0</v>
      </c>
      <c r="M2700">
        <v>0</v>
      </c>
      <c r="N2700">
        <v>30</v>
      </c>
      <c r="O2700">
        <v>0</v>
      </c>
      <c r="P2700">
        <v>0</v>
      </c>
      <c r="Q2700">
        <v>0</v>
      </c>
      <c r="R2700">
        <v>0</v>
      </c>
      <c r="S2700">
        <v>0</v>
      </c>
      <c r="T2700">
        <v>0</v>
      </c>
      <c r="U2700">
        <v>0</v>
      </c>
      <c r="V2700">
        <v>0</v>
      </c>
      <c r="W2700">
        <v>0</v>
      </c>
      <c r="X2700">
        <v>0</v>
      </c>
      <c r="Z2700">
        <v>0</v>
      </c>
      <c r="AA2700">
        <v>0</v>
      </c>
      <c r="AB2700">
        <v>0</v>
      </c>
      <c r="AC2700">
        <v>0</v>
      </c>
      <c r="AD2700">
        <v>778</v>
      </c>
    </row>
    <row r="2701" spans="1:30" x14ac:dyDescent="0.25">
      <c r="H2701" t="s">
        <v>301</v>
      </c>
    </row>
    <row r="2702" spans="1:30" x14ac:dyDescent="0.25">
      <c r="A2702">
        <v>1348</v>
      </c>
      <c r="B2702">
        <v>2551</v>
      </c>
      <c r="C2702" t="s">
        <v>5319</v>
      </c>
      <c r="D2702" t="s">
        <v>76</v>
      </c>
      <c r="E2702" t="s">
        <v>309</v>
      </c>
      <c r="F2702" t="s">
        <v>5320</v>
      </c>
      <c r="G2702" t="str">
        <f>"201402001328"</f>
        <v>201402001328</v>
      </c>
      <c r="H2702">
        <v>748</v>
      </c>
      <c r="I2702">
        <v>0</v>
      </c>
      <c r="J2702">
        <v>0</v>
      </c>
      <c r="K2702">
        <v>0</v>
      </c>
      <c r="L2702">
        <v>0</v>
      </c>
      <c r="M2702">
        <v>0</v>
      </c>
      <c r="N2702">
        <v>30</v>
      </c>
      <c r="O2702">
        <v>0</v>
      </c>
      <c r="P2702">
        <v>0</v>
      </c>
      <c r="Q2702">
        <v>0</v>
      </c>
      <c r="R2702">
        <v>0</v>
      </c>
      <c r="S2702">
        <v>0</v>
      </c>
      <c r="T2702">
        <v>0</v>
      </c>
      <c r="U2702">
        <v>0</v>
      </c>
      <c r="V2702">
        <v>0</v>
      </c>
      <c r="W2702">
        <v>0</v>
      </c>
      <c r="X2702">
        <v>0</v>
      </c>
      <c r="Z2702">
        <v>0</v>
      </c>
      <c r="AA2702">
        <v>0</v>
      </c>
      <c r="AB2702">
        <v>0</v>
      </c>
      <c r="AC2702">
        <v>0</v>
      </c>
      <c r="AD2702">
        <v>778</v>
      </c>
    </row>
    <row r="2703" spans="1:30" x14ac:dyDescent="0.25">
      <c r="H2703" t="s">
        <v>5028</v>
      </c>
    </row>
    <row r="2704" spans="1:30" x14ac:dyDescent="0.25">
      <c r="A2704">
        <v>1349</v>
      </c>
      <c r="B2704">
        <v>5287</v>
      </c>
      <c r="C2704" t="s">
        <v>1396</v>
      </c>
      <c r="D2704" t="s">
        <v>490</v>
      </c>
      <c r="E2704" t="s">
        <v>76</v>
      </c>
      <c r="F2704" t="s">
        <v>5321</v>
      </c>
      <c r="G2704" t="str">
        <f>"00166094"</f>
        <v>00166094</v>
      </c>
      <c r="H2704">
        <v>671</v>
      </c>
      <c r="I2704">
        <v>0</v>
      </c>
      <c r="J2704">
        <v>0</v>
      </c>
      <c r="K2704">
        <v>0</v>
      </c>
      <c r="L2704">
        <v>0</v>
      </c>
      <c r="M2704">
        <v>0</v>
      </c>
      <c r="N2704">
        <v>30</v>
      </c>
      <c r="O2704">
        <v>0</v>
      </c>
      <c r="P2704">
        <v>0</v>
      </c>
      <c r="Q2704">
        <v>0</v>
      </c>
      <c r="R2704">
        <v>0</v>
      </c>
      <c r="S2704">
        <v>0</v>
      </c>
      <c r="T2704">
        <v>0</v>
      </c>
      <c r="U2704">
        <v>0</v>
      </c>
      <c r="V2704">
        <v>11</v>
      </c>
      <c r="W2704">
        <v>77</v>
      </c>
      <c r="X2704">
        <v>0</v>
      </c>
      <c r="Z2704">
        <v>2</v>
      </c>
      <c r="AA2704">
        <v>0</v>
      </c>
      <c r="AB2704">
        <v>0</v>
      </c>
      <c r="AC2704">
        <v>0</v>
      </c>
      <c r="AD2704">
        <v>778</v>
      </c>
    </row>
    <row r="2705" spans="1:30" x14ac:dyDescent="0.25">
      <c r="H2705" t="s">
        <v>5322</v>
      </c>
    </row>
    <row r="2706" spans="1:30" x14ac:dyDescent="0.25">
      <c r="A2706">
        <v>1350</v>
      </c>
      <c r="B2706">
        <v>1527</v>
      </c>
      <c r="C2706" t="s">
        <v>5323</v>
      </c>
      <c r="D2706" t="s">
        <v>236</v>
      </c>
      <c r="E2706" t="s">
        <v>32</v>
      </c>
      <c r="F2706" t="s">
        <v>5324</v>
      </c>
      <c r="G2706" t="str">
        <f>"00219130"</f>
        <v>00219130</v>
      </c>
      <c r="H2706" t="s">
        <v>882</v>
      </c>
      <c r="I2706">
        <v>0</v>
      </c>
      <c r="J2706">
        <v>0</v>
      </c>
      <c r="K2706">
        <v>0</v>
      </c>
      <c r="L2706">
        <v>0</v>
      </c>
      <c r="M2706">
        <v>0</v>
      </c>
      <c r="N2706">
        <v>0</v>
      </c>
      <c r="O2706">
        <v>0</v>
      </c>
      <c r="P2706">
        <v>0</v>
      </c>
      <c r="Q2706">
        <v>0</v>
      </c>
      <c r="R2706">
        <v>0</v>
      </c>
      <c r="S2706">
        <v>0</v>
      </c>
      <c r="T2706">
        <v>0</v>
      </c>
      <c r="U2706">
        <v>0</v>
      </c>
      <c r="V2706">
        <v>0</v>
      </c>
      <c r="W2706">
        <v>0</v>
      </c>
      <c r="X2706">
        <v>0</v>
      </c>
      <c r="Z2706">
        <v>0</v>
      </c>
      <c r="AA2706">
        <v>0</v>
      </c>
      <c r="AB2706">
        <v>0</v>
      </c>
      <c r="AC2706">
        <v>0</v>
      </c>
      <c r="AD2706" t="s">
        <v>882</v>
      </c>
    </row>
    <row r="2707" spans="1:30" x14ac:dyDescent="0.25">
      <c r="H2707" t="s">
        <v>5325</v>
      </c>
    </row>
    <row r="2708" spans="1:30" x14ac:dyDescent="0.25">
      <c r="A2708">
        <v>1351</v>
      </c>
      <c r="B2708">
        <v>3165</v>
      </c>
      <c r="C2708" t="s">
        <v>5326</v>
      </c>
      <c r="D2708" t="s">
        <v>27</v>
      </c>
      <c r="E2708" t="s">
        <v>1265</v>
      </c>
      <c r="F2708" t="s">
        <v>5327</v>
      </c>
      <c r="G2708" t="str">
        <f>"00362058"</f>
        <v>00362058</v>
      </c>
      <c r="H2708" t="s">
        <v>5328</v>
      </c>
      <c r="I2708">
        <v>0</v>
      </c>
      <c r="J2708">
        <v>0</v>
      </c>
      <c r="K2708">
        <v>0</v>
      </c>
      <c r="L2708">
        <v>0</v>
      </c>
      <c r="M2708">
        <v>0</v>
      </c>
      <c r="N2708">
        <v>70</v>
      </c>
      <c r="O2708">
        <v>0</v>
      </c>
      <c r="P2708">
        <v>0</v>
      </c>
      <c r="Q2708">
        <v>0</v>
      </c>
      <c r="R2708">
        <v>0</v>
      </c>
      <c r="S2708">
        <v>0</v>
      </c>
      <c r="T2708">
        <v>0</v>
      </c>
      <c r="U2708">
        <v>0</v>
      </c>
      <c r="V2708">
        <v>20</v>
      </c>
      <c r="W2708">
        <v>140</v>
      </c>
      <c r="X2708">
        <v>0</v>
      </c>
      <c r="Z2708">
        <v>0</v>
      </c>
      <c r="AA2708">
        <v>0</v>
      </c>
      <c r="AB2708">
        <v>0</v>
      </c>
      <c r="AC2708">
        <v>0</v>
      </c>
      <c r="AD2708" t="s">
        <v>5329</v>
      </c>
    </row>
    <row r="2709" spans="1:30" x14ac:dyDescent="0.25">
      <c r="H2709" t="s">
        <v>1798</v>
      </c>
    </row>
    <row r="2710" spans="1:30" x14ac:dyDescent="0.25">
      <c r="A2710">
        <v>1352</v>
      </c>
      <c r="B2710">
        <v>3296</v>
      </c>
      <c r="C2710" t="s">
        <v>5330</v>
      </c>
      <c r="D2710" t="s">
        <v>49</v>
      </c>
      <c r="E2710" t="s">
        <v>76</v>
      </c>
      <c r="F2710" t="s">
        <v>5331</v>
      </c>
      <c r="G2710" t="str">
        <f>"00218641"</f>
        <v>00218641</v>
      </c>
      <c r="H2710" t="s">
        <v>431</v>
      </c>
      <c r="I2710">
        <v>0</v>
      </c>
      <c r="J2710">
        <v>0</v>
      </c>
      <c r="K2710">
        <v>0</v>
      </c>
      <c r="L2710">
        <v>0</v>
      </c>
      <c r="M2710">
        <v>0</v>
      </c>
      <c r="N2710">
        <v>30</v>
      </c>
      <c r="O2710">
        <v>0</v>
      </c>
      <c r="P2710">
        <v>0</v>
      </c>
      <c r="Q2710">
        <v>0</v>
      </c>
      <c r="R2710">
        <v>0</v>
      </c>
      <c r="S2710">
        <v>0</v>
      </c>
      <c r="T2710">
        <v>0</v>
      </c>
      <c r="U2710">
        <v>0</v>
      </c>
      <c r="V2710">
        <v>12</v>
      </c>
      <c r="W2710">
        <v>84</v>
      </c>
      <c r="X2710">
        <v>0</v>
      </c>
      <c r="Z2710">
        <v>0</v>
      </c>
      <c r="AA2710">
        <v>0</v>
      </c>
      <c r="AB2710">
        <v>0</v>
      </c>
      <c r="AC2710">
        <v>0</v>
      </c>
      <c r="AD2710" t="s">
        <v>5332</v>
      </c>
    </row>
    <row r="2711" spans="1:30" x14ac:dyDescent="0.25">
      <c r="H2711" t="s">
        <v>5333</v>
      </c>
    </row>
    <row r="2712" spans="1:30" x14ac:dyDescent="0.25">
      <c r="A2712">
        <v>1353</v>
      </c>
      <c r="B2712">
        <v>4294</v>
      </c>
      <c r="C2712" t="s">
        <v>5334</v>
      </c>
      <c r="D2712" t="s">
        <v>218</v>
      </c>
      <c r="E2712" t="s">
        <v>368</v>
      </c>
      <c r="F2712" t="s">
        <v>5335</v>
      </c>
      <c r="G2712" t="str">
        <f>"201511030715"</f>
        <v>201511030715</v>
      </c>
      <c r="H2712">
        <v>704</v>
      </c>
      <c r="I2712">
        <v>0</v>
      </c>
      <c r="J2712">
        <v>0</v>
      </c>
      <c r="K2712">
        <v>0</v>
      </c>
      <c r="L2712">
        <v>0</v>
      </c>
      <c r="M2712">
        <v>0</v>
      </c>
      <c r="N2712">
        <v>0</v>
      </c>
      <c r="O2712">
        <v>0</v>
      </c>
      <c r="P2712">
        <v>0</v>
      </c>
      <c r="Q2712">
        <v>0</v>
      </c>
      <c r="R2712">
        <v>0</v>
      </c>
      <c r="S2712">
        <v>0</v>
      </c>
      <c r="T2712">
        <v>0</v>
      </c>
      <c r="U2712">
        <v>0</v>
      </c>
      <c r="V2712">
        <v>10</v>
      </c>
      <c r="W2712">
        <v>70</v>
      </c>
      <c r="X2712">
        <v>0</v>
      </c>
      <c r="Z2712">
        <v>2</v>
      </c>
      <c r="AA2712">
        <v>0</v>
      </c>
      <c r="AB2712">
        <v>0</v>
      </c>
      <c r="AC2712">
        <v>0</v>
      </c>
      <c r="AD2712">
        <v>774</v>
      </c>
    </row>
    <row r="2713" spans="1:30" x14ac:dyDescent="0.25">
      <c r="H2713" t="s">
        <v>5336</v>
      </c>
    </row>
    <row r="2714" spans="1:30" x14ac:dyDescent="0.25">
      <c r="A2714">
        <v>1354</v>
      </c>
      <c r="B2714">
        <v>4178</v>
      </c>
      <c r="C2714" t="s">
        <v>5337</v>
      </c>
      <c r="D2714" t="s">
        <v>5338</v>
      </c>
      <c r="E2714" t="s">
        <v>167</v>
      </c>
      <c r="F2714" t="s">
        <v>5339</v>
      </c>
      <c r="G2714" t="str">
        <f>"201406003117"</f>
        <v>201406003117</v>
      </c>
      <c r="H2714">
        <v>704</v>
      </c>
      <c r="I2714">
        <v>0</v>
      </c>
      <c r="J2714">
        <v>0</v>
      </c>
      <c r="K2714">
        <v>0</v>
      </c>
      <c r="L2714">
        <v>0</v>
      </c>
      <c r="M2714">
        <v>0</v>
      </c>
      <c r="N2714">
        <v>70</v>
      </c>
      <c r="O2714">
        <v>0</v>
      </c>
      <c r="P2714">
        <v>0</v>
      </c>
      <c r="Q2714">
        <v>0</v>
      </c>
      <c r="R2714">
        <v>0</v>
      </c>
      <c r="S2714">
        <v>0</v>
      </c>
      <c r="T2714">
        <v>0</v>
      </c>
      <c r="U2714">
        <v>0</v>
      </c>
      <c r="V2714">
        <v>0</v>
      </c>
      <c r="W2714">
        <v>0</v>
      </c>
      <c r="X2714">
        <v>0</v>
      </c>
      <c r="Z2714">
        <v>0</v>
      </c>
      <c r="AA2714">
        <v>0</v>
      </c>
      <c r="AB2714">
        <v>0</v>
      </c>
      <c r="AC2714">
        <v>0</v>
      </c>
      <c r="AD2714">
        <v>774</v>
      </c>
    </row>
    <row r="2715" spans="1:30" x14ac:dyDescent="0.25">
      <c r="H2715" t="s">
        <v>5340</v>
      </c>
    </row>
    <row r="2716" spans="1:30" x14ac:dyDescent="0.25">
      <c r="A2716">
        <v>1355</v>
      </c>
      <c r="B2716">
        <v>2043</v>
      </c>
      <c r="C2716" t="s">
        <v>5341</v>
      </c>
      <c r="D2716" t="s">
        <v>218</v>
      </c>
      <c r="E2716" t="s">
        <v>84</v>
      </c>
      <c r="F2716" t="s">
        <v>5342</v>
      </c>
      <c r="G2716" t="str">
        <f>"201506001203"</f>
        <v>201506001203</v>
      </c>
      <c r="H2716" t="s">
        <v>1719</v>
      </c>
      <c r="I2716">
        <v>0</v>
      </c>
      <c r="J2716">
        <v>0</v>
      </c>
      <c r="K2716">
        <v>0</v>
      </c>
      <c r="L2716">
        <v>0</v>
      </c>
      <c r="M2716">
        <v>0</v>
      </c>
      <c r="N2716">
        <v>30</v>
      </c>
      <c r="O2716">
        <v>0</v>
      </c>
      <c r="P2716">
        <v>30</v>
      </c>
      <c r="Q2716">
        <v>0</v>
      </c>
      <c r="R2716">
        <v>0</v>
      </c>
      <c r="S2716">
        <v>0</v>
      </c>
      <c r="T2716">
        <v>0</v>
      </c>
      <c r="U2716">
        <v>0</v>
      </c>
      <c r="V2716">
        <v>0</v>
      </c>
      <c r="W2716">
        <v>0</v>
      </c>
      <c r="X2716">
        <v>0</v>
      </c>
      <c r="Z2716">
        <v>0</v>
      </c>
      <c r="AA2716">
        <v>0</v>
      </c>
      <c r="AB2716">
        <v>0</v>
      </c>
      <c r="AC2716">
        <v>0</v>
      </c>
      <c r="AD2716" t="s">
        <v>5343</v>
      </c>
    </row>
    <row r="2717" spans="1:30" x14ac:dyDescent="0.25">
      <c r="H2717" t="s">
        <v>4186</v>
      </c>
    </row>
    <row r="2718" spans="1:30" x14ac:dyDescent="0.25">
      <c r="A2718">
        <v>1356</v>
      </c>
      <c r="B2718">
        <v>1260</v>
      </c>
      <c r="C2718" t="s">
        <v>3938</v>
      </c>
      <c r="D2718" t="s">
        <v>218</v>
      </c>
      <c r="E2718" t="s">
        <v>49</v>
      </c>
      <c r="F2718" t="s">
        <v>5344</v>
      </c>
      <c r="G2718" t="str">
        <f>"00258719"</f>
        <v>00258719</v>
      </c>
      <c r="H2718" t="s">
        <v>2497</v>
      </c>
      <c r="I2718">
        <v>0</v>
      </c>
      <c r="J2718">
        <v>0</v>
      </c>
      <c r="K2718">
        <v>0</v>
      </c>
      <c r="L2718">
        <v>0</v>
      </c>
      <c r="M2718">
        <v>0</v>
      </c>
      <c r="N2718">
        <v>30</v>
      </c>
      <c r="O2718">
        <v>0</v>
      </c>
      <c r="P2718">
        <v>0</v>
      </c>
      <c r="Q2718">
        <v>0</v>
      </c>
      <c r="R2718">
        <v>0</v>
      </c>
      <c r="S2718">
        <v>0</v>
      </c>
      <c r="T2718">
        <v>0</v>
      </c>
      <c r="U2718">
        <v>0</v>
      </c>
      <c r="V2718">
        <v>9</v>
      </c>
      <c r="W2718">
        <v>63</v>
      </c>
      <c r="X2718">
        <v>0</v>
      </c>
      <c r="Z2718">
        <v>0</v>
      </c>
      <c r="AA2718">
        <v>0</v>
      </c>
      <c r="AB2718">
        <v>0</v>
      </c>
      <c r="AC2718">
        <v>0</v>
      </c>
      <c r="AD2718" t="s">
        <v>5343</v>
      </c>
    </row>
    <row r="2719" spans="1:30" x14ac:dyDescent="0.25">
      <c r="H2719" t="s">
        <v>301</v>
      </c>
    </row>
    <row r="2720" spans="1:30" x14ac:dyDescent="0.25">
      <c r="A2720">
        <v>1357</v>
      </c>
      <c r="B2720">
        <v>3119</v>
      </c>
      <c r="C2720" t="s">
        <v>3471</v>
      </c>
      <c r="D2720" t="s">
        <v>83</v>
      </c>
      <c r="E2720" t="s">
        <v>859</v>
      </c>
      <c r="F2720" t="s">
        <v>5345</v>
      </c>
      <c r="G2720" t="str">
        <f>"200802001493"</f>
        <v>200802001493</v>
      </c>
      <c r="H2720" t="s">
        <v>521</v>
      </c>
      <c r="I2720">
        <v>0</v>
      </c>
      <c r="J2720">
        <v>0</v>
      </c>
      <c r="K2720">
        <v>0</v>
      </c>
      <c r="L2720">
        <v>0</v>
      </c>
      <c r="M2720">
        <v>0</v>
      </c>
      <c r="N2720">
        <v>50</v>
      </c>
      <c r="O2720">
        <v>0</v>
      </c>
      <c r="P2720">
        <v>0</v>
      </c>
      <c r="Q2720">
        <v>0</v>
      </c>
      <c r="R2720">
        <v>0</v>
      </c>
      <c r="S2720">
        <v>0</v>
      </c>
      <c r="T2720">
        <v>0</v>
      </c>
      <c r="U2720">
        <v>0</v>
      </c>
      <c r="V2720">
        <v>0</v>
      </c>
      <c r="W2720">
        <v>0</v>
      </c>
      <c r="X2720">
        <v>0</v>
      </c>
      <c r="Z2720">
        <v>0</v>
      </c>
      <c r="AA2720">
        <v>0</v>
      </c>
      <c r="AB2720">
        <v>0</v>
      </c>
      <c r="AC2720">
        <v>0</v>
      </c>
      <c r="AD2720" t="s">
        <v>5346</v>
      </c>
    </row>
    <row r="2721" spans="1:30" x14ac:dyDescent="0.25">
      <c r="H2721" t="s">
        <v>5347</v>
      </c>
    </row>
    <row r="2722" spans="1:30" x14ac:dyDescent="0.25">
      <c r="A2722">
        <v>1358</v>
      </c>
      <c r="B2722">
        <v>4838</v>
      </c>
      <c r="C2722" t="s">
        <v>1611</v>
      </c>
      <c r="D2722" t="s">
        <v>135</v>
      </c>
      <c r="E2722" t="s">
        <v>49</v>
      </c>
      <c r="F2722" t="s">
        <v>5348</v>
      </c>
      <c r="G2722" t="str">
        <f>"00338940"</f>
        <v>00338940</v>
      </c>
      <c r="H2722" t="s">
        <v>1202</v>
      </c>
      <c r="I2722">
        <v>0</v>
      </c>
      <c r="J2722">
        <v>0</v>
      </c>
      <c r="K2722">
        <v>0</v>
      </c>
      <c r="L2722">
        <v>0</v>
      </c>
      <c r="M2722">
        <v>0</v>
      </c>
      <c r="N2722">
        <v>70</v>
      </c>
      <c r="O2722">
        <v>0</v>
      </c>
      <c r="P2722">
        <v>0</v>
      </c>
      <c r="Q2722">
        <v>0</v>
      </c>
      <c r="R2722">
        <v>0</v>
      </c>
      <c r="S2722">
        <v>0</v>
      </c>
      <c r="T2722">
        <v>0</v>
      </c>
      <c r="U2722">
        <v>0</v>
      </c>
      <c r="V2722">
        <v>0</v>
      </c>
      <c r="W2722">
        <v>0</v>
      </c>
      <c r="X2722">
        <v>0</v>
      </c>
      <c r="Z2722">
        <v>2</v>
      </c>
      <c r="AA2722">
        <v>0</v>
      </c>
      <c r="AB2722">
        <v>0</v>
      </c>
      <c r="AC2722">
        <v>0</v>
      </c>
      <c r="AD2722" t="s">
        <v>5349</v>
      </c>
    </row>
    <row r="2723" spans="1:30" x14ac:dyDescent="0.25">
      <c r="H2723" t="s">
        <v>5350</v>
      </c>
    </row>
    <row r="2724" spans="1:30" x14ac:dyDescent="0.25">
      <c r="A2724">
        <v>1359</v>
      </c>
      <c r="B2724">
        <v>3413</v>
      </c>
      <c r="C2724" t="s">
        <v>5351</v>
      </c>
      <c r="D2724" t="s">
        <v>106</v>
      </c>
      <c r="E2724" t="s">
        <v>102</v>
      </c>
      <c r="F2724" t="s">
        <v>5352</v>
      </c>
      <c r="G2724" t="str">
        <f>"00369800"</f>
        <v>00369800</v>
      </c>
      <c r="H2724" t="s">
        <v>1791</v>
      </c>
      <c r="I2724">
        <v>0</v>
      </c>
      <c r="J2724">
        <v>0</v>
      </c>
      <c r="K2724">
        <v>0</v>
      </c>
      <c r="L2724">
        <v>0</v>
      </c>
      <c r="M2724">
        <v>0</v>
      </c>
      <c r="N2724">
        <v>30</v>
      </c>
      <c r="O2724">
        <v>0</v>
      </c>
      <c r="P2724">
        <v>0</v>
      </c>
      <c r="Q2724">
        <v>0</v>
      </c>
      <c r="R2724">
        <v>0</v>
      </c>
      <c r="S2724">
        <v>0</v>
      </c>
      <c r="T2724">
        <v>0</v>
      </c>
      <c r="U2724">
        <v>0</v>
      </c>
      <c r="V2724">
        <v>0</v>
      </c>
      <c r="W2724">
        <v>0</v>
      </c>
      <c r="X2724">
        <v>0</v>
      </c>
      <c r="Z2724">
        <v>0</v>
      </c>
      <c r="AA2724">
        <v>0</v>
      </c>
      <c r="AB2724">
        <v>0</v>
      </c>
      <c r="AC2724">
        <v>0</v>
      </c>
      <c r="AD2724" t="s">
        <v>5353</v>
      </c>
    </row>
    <row r="2725" spans="1:30" x14ac:dyDescent="0.25">
      <c r="H2725" t="s">
        <v>5354</v>
      </c>
    </row>
    <row r="2726" spans="1:30" x14ac:dyDescent="0.25">
      <c r="A2726">
        <v>1360</v>
      </c>
      <c r="B2726">
        <v>5837</v>
      </c>
      <c r="C2726" t="s">
        <v>5355</v>
      </c>
      <c r="D2726" t="s">
        <v>988</v>
      </c>
      <c r="E2726" t="s">
        <v>102</v>
      </c>
      <c r="F2726" t="s">
        <v>5356</v>
      </c>
      <c r="G2726" t="str">
        <f>"00161545"</f>
        <v>00161545</v>
      </c>
      <c r="H2726" t="s">
        <v>1791</v>
      </c>
      <c r="I2726">
        <v>0</v>
      </c>
      <c r="J2726">
        <v>0</v>
      </c>
      <c r="K2726">
        <v>0</v>
      </c>
      <c r="L2726">
        <v>0</v>
      </c>
      <c r="M2726">
        <v>0</v>
      </c>
      <c r="N2726">
        <v>30</v>
      </c>
      <c r="O2726">
        <v>0</v>
      </c>
      <c r="P2726">
        <v>0</v>
      </c>
      <c r="Q2726">
        <v>0</v>
      </c>
      <c r="R2726">
        <v>0</v>
      </c>
      <c r="S2726">
        <v>0</v>
      </c>
      <c r="T2726">
        <v>0</v>
      </c>
      <c r="U2726">
        <v>0</v>
      </c>
      <c r="V2726">
        <v>0</v>
      </c>
      <c r="W2726">
        <v>0</v>
      </c>
      <c r="X2726">
        <v>0</v>
      </c>
      <c r="Z2726">
        <v>0</v>
      </c>
      <c r="AA2726">
        <v>0</v>
      </c>
      <c r="AB2726">
        <v>0</v>
      </c>
      <c r="AC2726">
        <v>0</v>
      </c>
      <c r="AD2726" t="s">
        <v>5353</v>
      </c>
    </row>
    <row r="2727" spans="1:30" x14ac:dyDescent="0.25">
      <c r="H2727" t="s">
        <v>5357</v>
      </c>
    </row>
    <row r="2728" spans="1:30" x14ac:dyDescent="0.25">
      <c r="A2728">
        <v>1361</v>
      </c>
      <c r="B2728">
        <v>2919</v>
      </c>
      <c r="C2728" t="s">
        <v>2368</v>
      </c>
      <c r="D2728" t="s">
        <v>57</v>
      </c>
      <c r="E2728" t="s">
        <v>1034</v>
      </c>
      <c r="F2728" t="s">
        <v>5358</v>
      </c>
      <c r="G2728" t="str">
        <f>"00246324"</f>
        <v>00246324</v>
      </c>
      <c r="H2728" t="s">
        <v>1163</v>
      </c>
      <c r="I2728">
        <v>0</v>
      </c>
      <c r="J2728">
        <v>0</v>
      </c>
      <c r="K2728">
        <v>0</v>
      </c>
      <c r="L2728">
        <v>0</v>
      </c>
      <c r="M2728">
        <v>0</v>
      </c>
      <c r="N2728">
        <v>30</v>
      </c>
      <c r="O2728">
        <v>0</v>
      </c>
      <c r="P2728">
        <v>0</v>
      </c>
      <c r="Q2728">
        <v>0</v>
      </c>
      <c r="R2728">
        <v>0</v>
      </c>
      <c r="S2728">
        <v>0</v>
      </c>
      <c r="T2728">
        <v>0</v>
      </c>
      <c r="U2728">
        <v>0</v>
      </c>
      <c r="V2728">
        <v>1</v>
      </c>
      <c r="W2728">
        <v>7</v>
      </c>
      <c r="X2728">
        <v>0</v>
      </c>
      <c r="Z2728">
        <v>2</v>
      </c>
      <c r="AA2728">
        <v>0</v>
      </c>
      <c r="AB2728">
        <v>0</v>
      </c>
      <c r="AC2728">
        <v>0</v>
      </c>
      <c r="AD2728" t="s">
        <v>5359</v>
      </c>
    </row>
    <row r="2729" spans="1:30" x14ac:dyDescent="0.25">
      <c r="H2729" t="s">
        <v>5360</v>
      </c>
    </row>
    <row r="2730" spans="1:30" x14ac:dyDescent="0.25">
      <c r="A2730">
        <v>1362</v>
      </c>
      <c r="B2730">
        <v>3462</v>
      </c>
      <c r="C2730" t="s">
        <v>5361</v>
      </c>
      <c r="D2730" t="s">
        <v>5362</v>
      </c>
      <c r="E2730" t="s">
        <v>57</v>
      </c>
      <c r="F2730" t="s">
        <v>5363</v>
      </c>
      <c r="G2730" t="str">
        <f>"00364405"</f>
        <v>00364405</v>
      </c>
      <c r="H2730" t="s">
        <v>872</v>
      </c>
      <c r="I2730">
        <v>0</v>
      </c>
      <c r="J2730">
        <v>0</v>
      </c>
      <c r="K2730">
        <v>0</v>
      </c>
      <c r="L2730">
        <v>0</v>
      </c>
      <c r="M2730">
        <v>0</v>
      </c>
      <c r="N2730">
        <v>70</v>
      </c>
      <c r="O2730">
        <v>0</v>
      </c>
      <c r="P2730">
        <v>0</v>
      </c>
      <c r="Q2730">
        <v>0</v>
      </c>
      <c r="R2730">
        <v>0</v>
      </c>
      <c r="S2730">
        <v>0</v>
      </c>
      <c r="T2730">
        <v>0</v>
      </c>
      <c r="U2730">
        <v>0</v>
      </c>
      <c r="V2730">
        <v>0</v>
      </c>
      <c r="W2730">
        <v>0</v>
      </c>
      <c r="X2730">
        <v>0</v>
      </c>
      <c r="Z2730">
        <v>2</v>
      </c>
      <c r="AA2730">
        <v>0</v>
      </c>
      <c r="AB2730">
        <v>0</v>
      </c>
      <c r="AC2730">
        <v>0</v>
      </c>
      <c r="AD2730" t="s">
        <v>5359</v>
      </c>
    </row>
    <row r="2731" spans="1:30" x14ac:dyDescent="0.25">
      <c r="H2731" t="s">
        <v>5364</v>
      </c>
    </row>
    <row r="2732" spans="1:30" x14ac:dyDescent="0.25">
      <c r="A2732">
        <v>1363</v>
      </c>
      <c r="B2732">
        <v>3640</v>
      </c>
      <c r="C2732" t="s">
        <v>2495</v>
      </c>
      <c r="D2732" t="s">
        <v>2034</v>
      </c>
      <c r="E2732" t="s">
        <v>1507</v>
      </c>
      <c r="F2732" t="s">
        <v>5365</v>
      </c>
      <c r="G2732" t="str">
        <f>"00199063"</f>
        <v>00199063</v>
      </c>
      <c r="H2732" t="s">
        <v>631</v>
      </c>
      <c r="I2732">
        <v>0</v>
      </c>
      <c r="J2732">
        <v>0</v>
      </c>
      <c r="K2732">
        <v>0</v>
      </c>
      <c r="L2732">
        <v>0</v>
      </c>
      <c r="M2732">
        <v>0</v>
      </c>
      <c r="N2732">
        <v>0</v>
      </c>
      <c r="O2732">
        <v>0</v>
      </c>
      <c r="P2732">
        <v>0</v>
      </c>
      <c r="Q2732">
        <v>0</v>
      </c>
      <c r="R2732">
        <v>0</v>
      </c>
      <c r="S2732">
        <v>0</v>
      </c>
      <c r="T2732">
        <v>0</v>
      </c>
      <c r="U2732">
        <v>0</v>
      </c>
      <c r="V2732">
        <v>7</v>
      </c>
      <c r="W2732">
        <v>49</v>
      </c>
      <c r="X2732">
        <v>0</v>
      </c>
      <c r="Z2732">
        <v>2</v>
      </c>
      <c r="AA2732">
        <v>0</v>
      </c>
      <c r="AB2732">
        <v>0</v>
      </c>
      <c r="AC2732">
        <v>0</v>
      </c>
      <c r="AD2732" t="s">
        <v>5366</v>
      </c>
    </row>
    <row r="2733" spans="1:30" x14ac:dyDescent="0.25">
      <c r="H2733" t="s">
        <v>727</v>
      </c>
    </row>
    <row r="2734" spans="1:30" x14ac:dyDescent="0.25">
      <c r="A2734">
        <v>1364</v>
      </c>
      <c r="B2734">
        <v>3913</v>
      </c>
      <c r="C2734" t="s">
        <v>5367</v>
      </c>
      <c r="D2734" t="s">
        <v>5368</v>
      </c>
      <c r="E2734" t="s">
        <v>49</v>
      </c>
      <c r="F2734" t="s">
        <v>5369</v>
      </c>
      <c r="G2734" t="str">
        <f>"00207897"</f>
        <v>00207897</v>
      </c>
      <c r="H2734" t="s">
        <v>1086</v>
      </c>
      <c r="I2734">
        <v>0</v>
      </c>
      <c r="J2734">
        <v>0</v>
      </c>
      <c r="K2734">
        <v>0</v>
      </c>
      <c r="L2734">
        <v>0</v>
      </c>
      <c r="M2734">
        <v>0</v>
      </c>
      <c r="N2734">
        <v>30</v>
      </c>
      <c r="O2734">
        <v>0</v>
      </c>
      <c r="P2734">
        <v>0</v>
      </c>
      <c r="Q2734">
        <v>0</v>
      </c>
      <c r="R2734">
        <v>0</v>
      </c>
      <c r="S2734">
        <v>0</v>
      </c>
      <c r="T2734">
        <v>0</v>
      </c>
      <c r="U2734">
        <v>0</v>
      </c>
      <c r="V2734">
        <v>0</v>
      </c>
      <c r="W2734">
        <v>0</v>
      </c>
      <c r="X2734">
        <v>0</v>
      </c>
      <c r="Z2734">
        <v>0</v>
      </c>
      <c r="AA2734">
        <v>0</v>
      </c>
      <c r="AB2734">
        <v>0</v>
      </c>
      <c r="AC2734">
        <v>0</v>
      </c>
      <c r="AD2734" t="s">
        <v>5370</v>
      </c>
    </row>
    <row r="2735" spans="1:30" x14ac:dyDescent="0.25">
      <c r="H2735" t="s">
        <v>5371</v>
      </c>
    </row>
    <row r="2736" spans="1:30" x14ac:dyDescent="0.25">
      <c r="A2736">
        <v>1365</v>
      </c>
      <c r="B2736">
        <v>696</v>
      </c>
      <c r="C2736" t="s">
        <v>5372</v>
      </c>
      <c r="D2736" t="s">
        <v>1237</v>
      </c>
      <c r="E2736" t="s">
        <v>445</v>
      </c>
      <c r="F2736" t="s">
        <v>5373</v>
      </c>
      <c r="G2736" t="str">
        <f>"00199720"</f>
        <v>00199720</v>
      </c>
      <c r="H2736" t="s">
        <v>3464</v>
      </c>
      <c r="I2736">
        <v>0</v>
      </c>
      <c r="J2736">
        <v>0</v>
      </c>
      <c r="K2736">
        <v>0</v>
      </c>
      <c r="L2736">
        <v>0</v>
      </c>
      <c r="M2736">
        <v>0</v>
      </c>
      <c r="N2736">
        <v>30</v>
      </c>
      <c r="O2736">
        <v>50</v>
      </c>
      <c r="P2736">
        <v>0</v>
      </c>
      <c r="Q2736">
        <v>0</v>
      </c>
      <c r="R2736">
        <v>0</v>
      </c>
      <c r="S2736">
        <v>0</v>
      </c>
      <c r="T2736">
        <v>0</v>
      </c>
      <c r="U2736">
        <v>0</v>
      </c>
      <c r="V2736">
        <v>0</v>
      </c>
      <c r="W2736">
        <v>0</v>
      </c>
      <c r="X2736">
        <v>0</v>
      </c>
      <c r="Z2736">
        <v>2</v>
      </c>
      <c r="AA2736">
        <v>0</v>
      </c>
      <c r="AB2736">
        <v>0</v>
      </c>
      <c r="AC2736">
        <v>0</v>
      </c>
      <c r="AD2736" t="s">
        <v>5374</v>
      </c>
    </row>
    <row r="2737" spans="1:30" x14ac:dyDescent="0.25">
      <c r="H2737" t="s">
        <v>5375</v>
      </c>
    </row>
    <row r="2738" spans="1:30" x14ac:dyDescent="0.25">
      <c r="A2738">
        <v>1366</v>
      </c>
      <c r="B2738">
        <v>4392</v>
      </c>
      <c r="C2738" t="s">
        <v>5376</v>
      </c>
      <c r="D2738" t="s">
        <v>1563</v>
      </c>
      <c r="E2738" t="s">
        <v>32</v>
      </c>
      <c r="F2738" t="s">
        <v>5377</v>
      </c>
      <c r="G2738" t="str">
        <f>"201511027823"</f>
        <v>201511027823</v>
      </c>
      <c r="H2738" t="s">
        <v>956</v>
      </c>
      <c r="I2738">
        <v>0</v>
      </c>
      <c r="J2738">
        <v>0</v>
      </c>
      <c r="K2738">
        <v>0</v>
      </c>
      <c r="L2738">
        <v>0</v>
      </c>
      <c r="M2738">
        <v>0</v>
      </c>
      <c r="N2738">
        <v>0</v>
      </c>
      <c r="O2738">
        <v>0</v>
      </c>
      <c r="P2738">
        <v>0</v>
      </c>
      <c r="Q2738">
        <v>0</v>
      </c>
      <c r="R2738">
        <v>0</v>
      </c>
      <c r="S2738">
        <v>0</v>
      </c>
      <c r="T2738">
        <v>0</v>
      </c>
      <c r="U2738">
        <v>0</v>
      </c>
      <c r="V2738">
        <v>13</v>
      </c>
      <c r="W2738">
        <v>91</v>
      </c>
      <c r="X2738">
        <v>0</v>
      </c>
      <c r="Z2738">
        <v>0</v>
      </c>
      <c r="AA2738">
        <v>0</v>
      </c>
      <c r="AB2738">
        <v>0</v>
      </c>
      <c r="AC2738">
        <v>0</v>
      </c>
      <c r="AD2738" t="s">
        <v>5374</v>
      </c>
    </row>
    <row r="2739" spans="1:30" x14ac:dyDescent="0.25">
      <c r="H2739" t="s">
        <v>5378</v>
      </c>
    </row>
    <row r="2740" spans="1:30" x14ac:dyDescent="0.25">
      <c r="A2740">
        <v>1367</v>
      </c>
      <c r="B2740">
        <v>3445</v>
      </c>
      <c r="C2740" t="s">
        <v>5379</v>
      </c>
      <c r="D2740" t="s">
        <v>218</v>
      </c>
      <c r="E2740" t="s">
        <v>2197</v>
      </c>
      <c r="F2740" t="s">
        <v>5380</v>
      </c>
      <c r="G2740" t="str">
        <f>"00246410"</f>
        <v>00246410</v>
      </c>
      <c r="H2740" t="s">
        <v>137</v>
      </c>
      <c r="I2740">
        <v>0</v>
      </c>
      <c r="J2740">
        <v>0</v>
      </c>
      <c r="K2740">
        <v>0</v>
      </c>
      <c r="L2740">
        <v>0</v>
      </c>
      <c r="M2740">
        <v>0</v>
      </c>
      <c r="N2740">
        <v>50</v>
      </c>
      <c r="O2740">
        <v>0</v>
      </c>
      <c r="P2740">
        <v>0</v>
      </c>
      <c r="Q2740">
        <v>0</v>
      </c>
      <c r="R2740">
        <v>0</v>
      </c>
      <c r="S2740">
        <v>0</v>
      </c>
      <c r="T2740">
        <v>0</v>
      </c>
      <c r="U2740">
        <v>0</v>
      </c>
      <c r="V2740">
        <v>0</v>
      </c>
      <c r="W2740">
        <v>0</v>
      </c>
      <c r="X2740">
        <v>0</v>
      </c>
      <c r="Z2740">
        <v>1</v>
      </c>
      <c r="AA2740">
        <v>0</v>
      </c>
      <c r="AB2740">
        <v>0</v>
      </c>
      <c r="AC2740">
        <v>0</v>
      </c>
      <c r="AD2740" t="s">
        <v>5381</v>
      </c>
    </row>
    <row r="2741" spans="1:30" x14ac:dyDescent="0.25">
      <c r="H2741" t="s">
        <v>5382</v>
      </c>
    </row>
    <row r="2742" spans="1:30" x14ac:dyDescent="0.25">
      <c r="A2742">
        <v>1368</v>
      </c>
      <c r="B2742">
        <v>1344</v>
      </c>
      <c r="C2742" t="s">
        <v>5383</v>
      </c>
      <c r="D2742" t="s">
        <v>5384</v>
      </c>
      <c r="E2742" t="s">
        <v>120</v>
      </c>
      <c r="F2742" t="s">
        <v>5385</v>
      </c>
      <c r="G2742" t="str">
        <f>"201402010038"</f>
        <v>201402010038</v>
      </c>
      <c r="H2742" t="s">
        <v>511</v>
      </c>
      <c r="I2742">
        <v>0</v>
      </c>
      <c r="J2742">
        <v>0</v>
      </c>
      <c r="K2742">
        <v>0</v>
      </c>
      <c r="L2742">
        <v>0</v>
      </c>
      <c r="M2742">
        <v>0</v>
      </c>
      <c r="N2742">
        <v>30</v>
      </c>
      <c r="O2742">
        <v>0</v>
      </c>
      <c r="P2742">
        <v>0</v>
      </c>
      <c r="Q2742">
        <v>0</v>
      </c>
      <c r="R2742">
        <v>0</v>
      </c>
      <c r="S2742">
        <v>0</v>
      </c>
      <c r="T2742">
        <v>0</v>
      </c>
      <c r="U2742">
        <v>0</v>
      </c>
      <c r="V2742">
        <v>5</v>
      </c>
      <c r="W2742">
        <v>35</v>
      </c>
      <c r="X2742">
        <v>0</v>
      </c>
      <c r="Z2742">
        <v>0</v>
      </c>
      <c r="AA2742">
        <v>0</v>
      </c>
      <c r="AB2742">
        <v>0</v>
      </c>
      <c r="AC2742">
        <v>0</v>
      </c>
      <c r="AD2742" t="s">
        <v>5386</v>
      </c>
    </row>
    <row r="2743" spans="1:30" x14ac:dyDescent="0.25">
      <c r="H2743" t="s">
        <v>5387</v>
      </c>
    </row>
    <row r="2744" spans="1:30" x14ac:dyDescent="0.25">
      <c r="A2744">
        <v>1369</v>
      </c>
      <c r="B2744">
        <v>2368</v>
      </c>
      <c r="C2744" t="s">
        <v>5388</v>
      </c>
      <c r="D2744" t="s">
        <v>191</v>
      </c>
      <c r="E2744" t="s">
        <v>5389</v>
      </c>
      <c r="F2744" t="s">
        <v>5390</v>
      </c>
      <c r="G2744" t="str">
        <f>"00330565"</f>
        <v>00330565</v>
      </c>
      <c r="H2744">
        <v>770</v>
      </c>
      <c r="I2744">
        <v>0</v>
      </c>
      <c r="J2744">
        <v>0</v>
      </c>
      <c r="K2744">
        <v>0</v>
      </c>
      <c r="L2744">
        <v>0</v>
      </c>
      <c r="M2744">
        <v>0</v>
      </c>
      <c r="N2744">
        <v>0</v>
      </c>
      <c r="O2744">
        <v>0</v>
      </c>
      <c r="P2744">
        <v>0</v>
      </c>
      <c r="Q2744">
        <v>0</v>
      </c>
      <c r="R2744">
        <v>0</v>
      </c>
      <c r="S2744">
        <v>0</v>
      </c>
      <c r="T2744">
        <v>0</v>
      </c>
      <c r="U2744">
        <v>0</v>
      </c>
      <c r="V2744">
        <v>0</v>
      </c>
      <c r="W2744">
        <v>0</v>
      </c>
      <c r="X2744">
        <v>0</v>
      </c>
      <c r="Z2744">
        <v>0</v>
      </c>
      <c r="AA2744">
        <v>0</v>
      </c>
      <c r="AB2744">
        <v>0</v>
      </c>
      <c r="AC2744">
        <v>0</v>
      </c>
      <c r="AD2744">
        <v>770</v>
      </c>
    </row>
    <row r="2745" spans="1:30" x14ac:dyDescent="0.25">
      <c r="H2745" t="s">
        <v>5391</v>
      </c>
    </row>
    <row r="2746" spans="1:30" x14ac:dyDescent="0.25">
      <c r="A2746">
        <v>1370</v>
      </c>
      <c r="B2746">
        <v>4303</v>
      </c>
      <c r="C2746" t="s">
        <v>5392</v>
      </c>
      <c r="D2746" t="s">
        <v>102</v>
      </c>
      <c r="E2746" t="s">
        <v>389</v>
      </c>
      <c r="F2746" t="s">
        <v>5393</v>
      </c>
      <c r="G2746" t="str">
        <f>"00154967"</f>
        <v>00154967</v>
      </c>
      <c r="H2746" t="s">
        <v>144</v>
      </c>
      <c r="I2746">
        <v>0</v>
      </c>
      <c r="J2746">
        <v>0</v>
      </c>
      <c r="K2746">
        <v>0</v>
      </c>
      <c r="L2746">
        <v>0</v>
      </c>
      <c r="M2746">
        <v>0</v>
      </c>
      <c r="N2746">
        <v>50</v>
      </c>
      <c r="O2746">
        <v>0</v>
      </c>
      <c r="P2746">
        <v>0</v>
      </c>
      <c r="Q2746">
        <v>0</v>
      </c>
      <c r="R2746">
        <v>0</v>
      </c>
      <c r="S2746">
        <v>0</v>
      </c>
      <c r="T2746">
        <v>0</v>
      </c>
      <c r="U2746">
        <v>0</v>
      </c>
      <c r="V2746">
        <v>0</v>
      </c>
      <c r="W2746">
        <v>0</v>
      </c>
      <c r="X2746">
        <v>0</v>
      </c>
      <c r="Z2746">
        <v>0</v>
      </c>
      <c r="AA2746">
        <v>0</v>
      </c>
      <c r="AB2746">
        <v>0</v>
      </c>
      <c r="AC2746">
        <v>0</v>
      </c>
      <c r="AD2746" t="s">
        <v>5394</v>
      </c>
    </row>
    <row r="2747" spans="1:30" x14ac:dyDescent="0.25">
      <c r="H2747" t="s">
        <v>5395</v>
      </c>
    </row>
    <row r="2748" spans="1:30" x14ac:dyDescent="0.25">
      <c r="A2748">
        <v>1371</v>
      </c>
      <c r="B2748">
        <v>181</v>
      </c>
      <c r="C2748" t="s">
        <v>5396</v>
      </c>
      <c r="D2748" t="s">
        <v>76</v>
      </c>
      <c r="E2748" t="s">
        <v>84</v>
      </c>
      <c r="F2748" t="s">
        <v>5397</v>
      </c>
      <c r="G2748" t="str">
        <f>"201302000051"</f>
        <v>201302000051</v>
      </c>
      <c r="H2748" t="s">
        <v>900</v>
      </c>
      <c r="I2748">
        <v>0</v>
      </c>
      <c r="J2748">
        <v>0</v>
      </c>
      <c r="K2748">
        <v>0</v>
      </c>
      <c r="L2748">
        <v>0</v>
      </c>
      <c r="M2748">
        <v>0</v>
      </c>
      <c r="N2748">
        <v>0</v>
      </c>
      <c r="O2748">
        <v>0</v>
      </c>
      <c r="P2748">
        <v>0</v>
      </c>
      <c r="Q2748">
        <v>0</v>
      </c>
      <c r="R2748">
        <v>0</v>
      </c>
      <c r="S2748">
        <v>0</v>
      </c>
      <c r="T2748">
        <v>0</v>
      </c>
      <c r="U2748">
        <v>0</v>
      </c>
      <c r="V2748">
        <v>10</v>
      </c>
      <c r="W2748">
        <v>70</v>
      </c>
      <c r="X2748">
        <v>0</v>
      </c>
      <c r="Z2748">
        <v>0</v>
      </c>
      <c r="AA2748">
        <v>0</v>
      </c>
      <c r="AB2748">
        <v>0</v>
      </c>
      <c r="AC2748">
        <v>0</v>
      </c>
      <c r="AD2748" t="s">
        <v>5398</v>
      </c>
    </row>
    <row r="2749" spans="1:30" x14ac:dyDescent="0.25">
      <c r="H2749" t="s">
        <v>5399</v>
      </c>
    </row>
    <row r="2750" spans="1:30" x14ac:dyDescent="0.25">
      <c r="A2750">
        <v>1372</v>
      </c>
      <c r="B2750">
        <v>3665</v>
      </c>
      <c r="C2750" t="s">
        <v>5400</v>
      </c>
      <c r="D2750" t="s">
        <v>1304</v>
      </c>
      <c r="E2750" t="s">
        <v>5401</v>
      </c>
      <c r="F2750" t="s">
        <v>5402</v>
      </c>
      <c r="G2750" t="str">
        <f>"201412005916"</f>
        <v>201412005916</v>
      </c>
      <c r="H2750" t="s">
        <v>285</v>
      </c>
      <c r="I2750">
        <v>0</v>
      </c>
      <c r="J2750">
        <v>0</v>
      </c>
      <c r="K2750">
        <v>0</v>
      </c>
      <c r="L2750">
        <v>0</v>
      </c>
      <c r="M2750">
        <v>0</v>
      </c>
      <c r="N2750">
        <v>30</v>
      </c>
      <c r="O2750">
        <v>0</v>
      </c>
      <c r="P2750">
        <v>0</v>
      </c>
      <c r="Q2750">
        <v>0</v>
      </c>
      <c r="R2750">
        <v>0</v>
      </c>
      <c r="S2750">
        <v>0</v>
      </c>
      <c r="T2750">
        <v>0</v>
      </c>
      <c r="U2750">
        <v>0</v>
      </c>
      <c r="V2750">
        <v>7</v>
      </c>
      <c r="W2750">
        <v>49</v>
      </c>
      <c r="X2750">
        <v>0</v>
      </c>
      <c r="Z2750">
        <v>0</v>
      </c>
      <c r="AA2750">
        <v>0</v>
      </c>
      <c r="AB2750">
        <v>0</v>
      </c>
      <c r="AC2750">
        <v>0</v>
      </c>
      <c r="AD2750" t="s">
        <v>5403</v>
      </c>
    </row>
    <row r="2751" spans="1:30" x14ac:dyDescent="0.25">
      <c r="H2751" t="s">
        <v>5404</v>
      </c>
    </row>
    <row r="2752" spans="1:30" x14ac:dyDescent="0.25">
      <c r="A2752">
        <v>1373</v>
      </c>
      <c r="B2752">
        <v>2793</v>
      </c>
      <c r="C2752" t="s">
        <v>3911</v>
      </c>
      <c r="D2752" t="s">
        <v>95</v>
      </c>
      <c r="E2752" t="s">
        <v>181</v>
      </c>
      <c r="F2752" t="s">
        <v>5405</v>
      </c>
      <c r="G2752" t="str">
        <f>"00339815"</f>
        <v>00339815</v>
      </c>
      <c r="H2752" t="s">
        <v>1796</v>
      </c>
      <c r="I2752">
        <v>0</v>
      </c>
      <c r="J2752">
        <v>0</v>
      </c>
      <c r="K2752">
        <v>0</v>
      </c>
      <c r="L2752">
        <v>0</v>
      </c>
      <c r="M2752">
        <v>0</v>
      </c>
      <c r="N2752">
        <v>50</v>
      </c>
      <c r="O2752">
        <v>0</v>
      </c>
      <c r="P2752">
        <v>0</v>
      </c>
      <c r="Q2752">
        <v>0</v>
      </c>
      <c r="R2752">
        <v>0</v>
      </c>
      <c r="S2752">
        <v>30</v>
      </c>
      <c r="T2752">
        <v>0</v>
      </c>
      <c r="U2752">
        <v>0</v>
      </c>
      <c r="V2752">
        <v>0</v>
      </c>
      <c r="W2752">
        <v>0</v>
      </c>
      <c r="X2752">
        <v>0</v>
      </c>
      <c r="Z2752">
        <v>0</v>
      </c>
      <c r="AA2752">
        <v>0</v>
      </c>
      <c r="AB2752">
        <v>0</v>
      </c>
      <c r="AC2752">
        <v>0</v>
      </c>
      <c r="AD2752" t="s">
        <v>5406</v>
      </c>
    </row>
    <row r="2753" spans="1:30" x14ac:dyDescent="0.25">
      <c r="H2753" t="s">
        <v>5407</v>
      </c>
    </row>
    <row r="2754" spans="1:30" x14ac:dyDescent="0.25">
      <c r="A2754">
        <v>1374</v>
      </c>
      <c r="B2754">
        <v>2998</v>
      </c>
      <c r="C2754" t="s">
        <v>5408</v>
      </c>
      <c r="D2754" t="s">
        <v>106</v>
      </c>
      <c r="E2754" t="s">
        <v>77</v>
      </c>
      <c r="F2754" t="s">
        <v>5409</v>
      </c>
      <c r="G2754" t="str">
        <f>"201406010207"</f>
        <v>201406010207</v>
      </c>
      <c r="H2754">
        <v>737</v>
      </c>
      <c r="I2754">
        <v>0</v>
      </c>
      <c r="J2754">
        <v>0</v>
      </c>
      <c r="K2754">
        <v>0</v>
      </c>
      <c r="L2754">
        <v>0</v>
      </c>
      <c r="M2754">
        <v>0</v>
      </c>
      <c r="N2754">
        <v>30</v>
      </c>
      <c r="O2754">
        <v>0</v>
      </c>
      <c r="P2754">
        <v>0</v>
      </c>
      <c r="Q2754">
        <v>0</v>
      </c>
      <c r="R2754">
        <v>0</v>
      </c>
      <c r="S2754">
        <v>0</v>
      </c>
      <c r="T2754">
        <v>0</v>
      </c>
      <c r="U2754">
        <v>0</v>
      </c>
      <c r="V2754">
        <v>0</v>
      </c>
      <c r="W2754">
        <v>0</v>
      </c>
      <c r="X2754">
        <v>0</v>
      </c>
      <c r="Z2754">
        <v>0</v>
      </c>
      <c r="AA2754">
        <v>0</v>
      </c>
      <c r="AB2754">
        <v>0</v>
      </c>
      <c r="AC2754">
        <v>0</v>
      </c>
      <c r="AD2754">
        <v>767</v>
      </c>
    </row>
    <row r="2755" spans="1:30" x14ac:dyDescent="0.25">
      <c r="H2755" t="s">
        <v>5410</v>
      </c>
    </row>
    <row r="2756" spans="1:30" x14ac:dyDescent="0.25">
      <c r="A2756">
        <v>1375</v>
      </c>
      <c r="B2756">
        <v>6246</v>
      </c>
      <c r="C2756" t="s">
        <v>5411</v>
      </c>
      <c r="D2756" t="s">
        <v>5412</v>
      </c>
      <c r="E2756" t="s">
        <v>155</v>
      </c>
      <c r="F2756" t="s">
        <v>5413</v>
      </c>
      <c r="G2756" t="str">
        <f>"00201967"</f>
        <v>00201967</v>
      </c>
      <c r="H2756">
        <v>737</v>
      </c>
      <c r="I2756">
        <v>0</v>
      </c>
      <c r="J2756">
        <v>0</v>
      </c>
      <c r="K2756">
        <v>0</v>
      </c>
      <c r="L2756">
        <v>0</v>
      </c>
      <c r="M2756">
        <v>0</v>
      </c>
      <c r="N2756">
        <v>30</v>
      </c>
      <c r="O2756">
        <v>0</v>
      </c>
      <c r="P2756">
        <v>0</v>
      </c>
      <c r="Q2756">
        <v>0</v>
      </c>
      <c r="R2756">
        <v>0</v>
      </c>
      <c r="S2756">
        <v>0</v>
      </c>
      <c r="T2756">
        <v>0</v>
      </c>
      <c r="U2756">
        <v>0</v>
      </c>
      <c r="V2756">
        <v>0</v>
      </c>
      <c r="W2756">
        <v>0</v>
      </c>
      <c r="X2756">
        <v>0</v>
      </c>
      <c r="Z2756">
        <v>0</v>
      </c>
      <c r="AA2756">
        <v>0</v>
      </c>
      <c r="AB2756">
        <v>0</v>
      </c>
      <c r="AC2756">
        <v>0</v>
      </c>
      <c r="AD2756">
        <v>767</v>
      </c>
    </row>
    <row r="2757" spans="1:30" x14ac:dyDescent="0.25">
      <c r="H2757" t="s">
        <v>5414</v>
      </c>
    </row>
    <row r="2758" spans="1:30" x14ac:dyDescent="0.25">
      <c r="A2758">
        <v>1376</v>
      </c>
      <c r="B2758">
        <v>3211</v>
      </c>
      <c r="C2758" t="s">
        <v>5415</v>
      </c>
      <c r="D2758" t="s">
        <v>5416</v>
      </c>
      <c r="E2758" t="s">
        <v>102</v>
      </c>
      <c r="F2758" t="s">
        <v>5417</v>
      </c>
      <c r="G2758" t="str">
        <f>"00151606"</f>
        <v>00151606</v>
      </c>
      <c r="H2758">
        <v>627</v>
      </c>
      <c r="I2758">
        <v>0</v>
      </c>
      <c r="J2758">
        <v>0</v>
      </c>
      <c r="K2758">
        <v>0</v>
      </c>
      <c r="L2758">
        <v>0</v>
      </c>
      <c r="M2758">
        <v>0</v>
      </c>
      <c r="N2758">
        <v>0</v>
      </c>
      <c r="O2758">
        <v>0</v>
      </c>
      <c r="P2758">
        <v>0</v>
      </c>
      <c r="Q2758">
        <v>0</v>
      </c>
      <c r="R2758">
        <v>0</v>
      </c>
      <c r="S2758">
        <v>0</v>
      </c>
      <c r="T2758">
        <v>0</v>
      </c>
      <c r="U2758">
        <v>0</v>
      </c>
      <c r="V2758">
        <v>20</v>
      </c>
      <c r="W2758">
        <v>140</v>
      </c>
      <c r="X2758">
        <v>0</v>
      </c>
      <c r="Z2758">
        <v>0</v>
      </c>
      <c r="AA2758">
        <v>0</v>
      </c>
      <c r="AB2758">
        <v>0</v>
      </c>
      <c r="AC2758">
        <v>0</v>
      </c>
      <c r="AD2758">
        <v>767</v>
      </c>
    </row>
    <row r="2759" spans="1:30" x14ac:dyDescent="0.25">
      <c r="H2759" t="s">
        <v>5418</v>
      </c>
    </row>
    <row r="2760" spans="1:30" x14ac:dyDescent="0.25">
      <c r="A2760">
        <v>1377</v>
      </c>
      <c r="B2760">
        <v>1059</v>
      </c>
      <c r="C2760" t="s">
        <v>5419</v>
      </c>
      <c r="D2760" t="s">
        <v>135</v>
      </c>
      <c r="E2760" t="s">
        <v>167</v>
      </c>
      <c r="F2760" t="s">
        <v>5420</v>
      </c>
      <c r="G2760" t="str">
        <f>"201410007769"</f>
        <v>201410007769</v>
      </c>
      <c r="H2760" t="s">
        <v>573</v>
      </c>
      <c r="I2760">
        <v>0</v>
      </c>
      <c r="J2760">
        <v>0</v>
      </c>
      <c r="K2760">
        <v>0</v>
      </c>
      <c r="L2760">
        <v>0</v>
      </c>
      <c r="M2760">
        <v>0</v>
      </c>
      <c r="N2760">
        <v>0</v>
      </c>
      <c r="O2760">
        <v>0</v>
      </c>
      <c r="P2760">
        <v>0</v>
      </c>
      <c r="Q2760">
        <v>0</v>
      </c>
      <c r="R2760">
        <v>0</v>
      </c>
      <c r="S2760">
        <v>0</v>
      </c>
      <c r="T2760">
        <v>0</v>
      </c>
      <c r="U2760">
        <v>0</v>
      </c>
      <c r="V2760">
        <v>0</v>
      </c>
      <c r="W2760">
        <v>0</v>
      </c>
      <c r="X2760">
        <v>0</v>
      </c>
      <c r="Z2760">
        <v>1</v>
      </c>
      <c r="AA2760">
        <v>0</v>
      </c>
      <c r="AB2760">
        <v>0</v>
      </c>
      <c r="AC2760">
        <v>0</v>
      </c>
      <c r="AD2760" t="s">
        <v>573</v>
      </c>
    </row>
    <row r="2761" spans="1:30" x14ac:dyDescent="0.25">
      <c r="H2761" t="s">
        <v>5421</v>
      </c>
    </row>
    <row r="2762" spans="1:30" x14ac:dyDescent="0.25">
      <c r="A2762">
        <v>1378</v>
      </c>
      <c r="B2762">
        <v>3932</v>
      </c>
      <c r="C2762" t="s">
        <v>5295</v>
      </c>
      <c r="D2762" t="s">
        <v>337</v>
      </c>
      <c r="E2762" t="s">
        <v>120</v>
      </c>
      <c r="F2762" t="s">
        <v>5422</v>
      </c>
      <c r="G2762" t="str">
        <f>"00218951"</f>
        <v>00218951</v>
      </c>
      <c r="H2762" t="s">
        <v>1796</v>
      </c>
      <c r="I2762">
        <v>0</v>
      </c>
      <c r="J2762">
        <v>0</v>
      </c>
      <c r="K2762">
        <v>0</v>
      </c>
      <c r="L2762">
        <v>0</v>
      </c>
      <c r="M2762">
        <v>0</v>
      </c>
      <c r="N2762">
        <v>30</v>
      </c>
      <c r="O2762">
        <v>0</v>
      </c>
      <c r="P2762">
        <v>0</v>
      </c>
      <c r="Q2762">
        <v>0</v>
      </c>
      <c r="R2762">
        <v>0</v>
      </c>
      <c r="S2762">
        <v>0</v>
      </c>
      <c r="T2762">
        <v>0</v>
      </c>
      <c r="U2762">
        <v>0</v>
      </c>
      <c r="V2762">
        <v>7</v>
      </c>
      <c r="W2762">
        <v>49</v>
      </c>
      <c r="X2762">
        <v>0</v>
      </c>
      <c r="Z2762">
        <v>2</v>
      </c>
      <c r="AA2762">
        <v>0</v>
      </c>
      <c r="AB2762">
        <v>0</v>
      </c>
      <c r="AC2762">
        <v>0</v>
      </c>
      <c r="AD2762" t="s">
        <v>5423</v>
      </c>
    </row>
    <row r="2763" spans="1:30" x14ac:dyDescent="0.25">
      <c r="H2763" t="s">
        <v>5424</v>
      </c>
    </row>
    <row r="2764" spans="1:30" x14ac:dyDescent="0.25">
      <c r="A2764">
        <v>1379</v>
      </c>
      <c r="B2764">
        <v>5307</v>
      </c>
      <c r="C2764" t="s">
        <v>4520</v>
      </c>
      <c r="D2764" t="s">
        <v>283</v>
      </c>
      <c r="E2764" t="s">
        <v>107</v>
      </c>
      <c r="F2764" t="s">
        <v>5425</v>
      </c>
      <c r="G2764" t="str">
        <f>"201406015246"</f>
        <v>201406015246</v>
      </c>
      <c r="H2764" t="s">
        <v>877</v>
      </c>
      <c r="I2764">
        <v>0</v>
      </c>
      <c r="J2764">
        <v>0</v>
      </c>
      <c r="K2764">
        <v>0</v>
      </c>
      <c r="L2764">
        <v>0</v>
      </c>
      <c r="M2764">
        <v>0</v>
      </c>
      <c r="N2764">
        <v>70</v>
      </c>
      <c r="O2764">
        <v>0</v>
      </c>
      <c r="P2764">
        <v>0</v>
      </c>
      <c r="Q2764">
        <v>0</v>
      </c>
      <c r="R2764">
        <v>0</v>
      </c>
      <c r="S2764">
        <v>0</v>
      </c>
      <c r="T2764">
        <v>0</v>
      </c>
      <c r="U2764">
        <v>0</v>
      </c>
      <c r="V2764">
        <v>0</v>
      </c>
      <c r="W2764">
        <v>0</v>
      </c>
      <c r="X2764">
        <v>0</v>
      </c>
      <c r="Z2764">
        <v>0</v>
      </c>
      <c r="AA2764">
        <v>0</v>
      </c>
      <c r="AB2764">
        <v>0</v>
      </c>
      <c r="AC2764">
        <v>0</v>
      </c>
      <c r="AD2764" t="s">
        <v>5426</v>
      </c>
    </row>
    <row r="2765" spans="1:30" x14ac:dyDescent="0.25">
      <c r="H2765" t="s">
        <v>5427</v>
      </c>
    </row>
    <row r="2766" spans="1:30" x14ac:dyDescent="0.25">
      <c r="A2766">
        <v>1380</v>
      </c>
      <c r="B2766">
        <v>646</v>
      </c>
      <c r="C2766" t="s">
        <v>5428</v>
      </c>
      <c r="D2766" t="s">
        <v>120</v>
      </c>
      <c r="E2766" t="s">
        <v>107</v>
      </c>
      <c r="F2766" t="s">
        <v>5429</v>
      </c>
      <c r="G2766" t="str">
        <f>"00190117"</f>
        <v>00190117</v>
      </c>
      <c r="H2766" t="s">
        <v>652</v>
      </c>
      <c r="I2766">
        <v>0</v>
      </c>
      <c r="J2766">
        <v>0</v>
      </c>
      <c r="K2766">
        <v>0</v>
      </c>
      <c r="L2766">
        <v>0</v>
      </c>
      <c r="M2766">
        <v>0</v>
      </c>
      <c r="N2766">
        <v>50</v>
      </c>
      <c r="O2766">
        <v>0</v>
      </c>
      <c r="P2766">
        <v>0</v>
      </c>
      <c r="Q2766">
        <v>0</v>
      </c>
      <c r="R2766">
        <v>0</v>
      </c>
      <c r="S2766">
        <v>0</v>
      </c>
      <c r="T2766">
        <v>0</v>
      </c>
      <c r="U2766">
        <v>0</v>
      </c>
      <c r="V2766">
        <v>0</v>
      </c>
      <c r="W2766">
        <v>0</v>
      </c>
      <c r="X2766">
        <v>0</v>
      </c>
      <c r="Z2766">
        <v>0</v>
      </c>
      <c r="AA2766">
        <v>0</v>
      </c>
      <c r="AB2766">
        <v>0</v>
      </c>
      <c r="AC2766">
        <v>0</v>
      </c>
      <c r="AD2766" t="s">
        <v>5430</v>
      </c>
    </row>
    <row r="2767" spans="1:30" x14ac:dyDescent="0.25">
      <c r="H2767" t="s">
        <v>5028</v>
      </c>
    </row>
    <row r="2768" spans="1:30" x14ac:dyDescent="0.25">
      <c r="A2768">
        <v>1381</v>
      </c>
      <c r="B2768">
        <v>3662</v>
      </c>
      <c r="C2768" t="s">
        <v>5431</v>
      </c>
      <c r="D2768" t="s">
        <v>5432</v>
      </c>
      <c r="E2768" t="s">
        <v>102</v>
      </c>
      <c r="F2768" t="s">
        <v>5433</v>
      </c>
      <c r="G2768" t="str">
        <f>"00363418"</f>
        <v>00363418</v>
      </c>
      <c r="H2768" t="s">
        <v>855</v>
      </c>
      <c r="I2768">
        <v>0</v>
      </c>
      <c r="J2768">
        <v>0</v>
      </c>
      <c r="K2768">
        <v>0</v>
      </c>
      <c r="L2768">
        <v>0</v>
      </c>
      <c r="M2768">
        <v>0</v>
      </c>
      <c r="N2768">
        <v>70</v>
      </c>
      <c r="O2768">
        <v>0</v>
      </c>
      <c r="P2768">
        <v>0</v>
      </c>
      <c r="Q2768">
        <v>0</v>
      </c>
      <c r="R2768">
        <v>0</v>
      </c>
      <c r="S2768">
        <v>0</v>
      </c>
      <c r="T2768">
        <v>0</v>
      </c>
      <c r="U2768">
        <v>0</v>
      </c>
      <c r="V2768">
        <v>0</v>
      </c>
      <c r="W2768">
        <v>0</v>
      </c>
      <c r="X2768">
        <v>0</v>
      </c>
      <c r="Z2768">
        <v>0</v>
      </c>
      <c r="AA2768">
        <v>0</v>
      </c>
      <c r="AB2768">
        <v>0</v>
      </c>
      <c r="AC2768">
        <v>0</v>
      </c>
      <c r="AD2768" t="s">
        <v>5434</v>
      </c>
    </row>
    <row r="2769" spans="1:30" x14ac:dyDescent="0.25">
      <c r="H2769" t="s">
        <v>5435</v>
      </c>
    </row>
    <row r="2770" spans="1:30" x14ac:dyDescent="0.25">
      <c r="A2770">
        <v>1382</v>
      </c>
      <c r="B2770">
        <v>2752</v>
      </c>
      <c r="C2770" t="s">
        <v>5436</v>
      </c>
      <c r="D2770" t="s">
        <v>445</v>
      </c>
      <c r="E2770" t="s">
        <v>120</v>
      </c>
      <c r="F2770" t="s">
        <v>5437</v>
      </c>
      <c r="G2770" t="str">
        <f>"00299279"</f>
        <v>00299279</v>
      </c>
      <c r="H2770">
        <v>715</v>
      </c>
      <c r="I2770">
        <v>0</v>
      </c>
      <c r="J2770">
        <v>0</v>
      </c>
      <c r="K2770">
        <v>0</v>
      </c>
      <c r="L2770">
        <v>0</v>
      </c>
      <c r="M2770">
        <v>0</v>
      </c>
      <c r="N2770">
        <v>50</v>
      </c>
      <c r="O2770">
        <v>0</v>
      </c>
      <c r="P2770">
        <v>0</v>
      </c>
      <c r="Q2770">
        <v>0</v>
      </c>
      <c r="R2770">
        <v>0</v>
      </c>
      <c r="S2770">
        <v>0</v>
      </c>
      <c r="T2770">
        <v>0</v>
      </c>
      <c r="U2770">
        <v>0</v>
      </c>
      <c r="V2770">
        <v>0</v>
      </c>
      <c r="W2770">
        <v>0</v>
      </c>
      <c r="X2770">
        <v>0</v>
      </c>
      <c r="Z2770">
        <v>0</v>
      </c>
      <c r="AA2770">
        <v>0</v>
      </c>
      <c r="AB2770">
        <v>0</v>
      </c>
      <c r="AC2770">
        <v>0</v>
      </c>
      <c r="AD2770">
        <v>765</v>
      </c>
    </row>
    <row r="2771" spans="1:30" x14ac:dyDescent="0.25">
      <c r="H2771" t="s">
        <v>5438</v>
      </c>
    </row>
    <row r="2772" spans="1:30" x14ac:dyDescent="0.25">
      <c r="A2772">
        <v>1383</v>
      </c>
      <c r="B2772">
        <v>762</v>
      </c>
      <c r="C2772" t="s">
        <v>5439</v>
      </c>
      <c r="D2772" t="s">
        <v>107</v>
      </c>
      <c r="E2772" t="s">
        <v>102</v>
      </c>
      <c r="F2772" t="s">
        <v>5440</v>
      </c>
      <c r="G2772" t="str">
        <f>"00176069"</f>
        <v>00176069</v>
      </c>
      <c r="H2772" t="s">
        <v>1163</v>
      </c>
      <c r="I2772">
        <v>0</v>
      </c>
      <c r="J2772">
        <v>0</v>
      </c>
      <c r="K2772">
        <v>0</v>
      </c>
      <c r="L2772">
        <v>0</v>
      </c>
      <c r="M2772">
        <v>0</v>
      </c>
      <c r="N2772">
        <v>30</v>
      </c>
      <c r="O2772">
        <v>0</v>
      </c>
      <c r="P2772">
        <v>0</v>
      </c>
      <c r="Q2772">
        <v>0</v>
      </c>
      <c r="R2772">
        <v>0</v>
      </c>
      <c r="S2772">
        <v>0</v>
      </c>
      <c r="T2772">
        <v>0</v>
      </c>
      <c r="U2772">
        <v>0</v>
      </c>
      <c r="V2772">
        <v>0</v>
      </c>
      <c r="W2772">
        <v>0</v>
      </c>
      <c r="X2772">
        <v>0</v>
      </c>
      <c r="Z2772">
        <v>0</v>
      </c>
      <c r="AA2772">
        <v>0</v>
      </c>
      <c r="AB2772">
        <v>0</v>
      </c>
      <c r="AC2772">
        <v>0</v>
      </c>
      <c r="AD2772" t="s">
        <v>5441</v>
      </c>
    </row>
    <row r="2773" spans="1:30" x14ac:dyDescent="0.25">
      <c r="H2773" t="s">
        <v>5442</v>
      </c>
    </row>
    <row r="2774" spans="1:30" x14ac:dyDescent="0.25">
      <c r="A2774">
        <v>1384</v>
      </c>
      <c r="B2774">
        <v>1872</v>
      </c>
      <c r="C2774" t="s">
        <v>5238</v>
      </c>
      <c r="D2774" t="s">
        <v>449</v>
      </c>
      <c r="E2774" t="s">
        <v>4459</v>
      </c>
      <c r="F2774" t="s">
        <v>5443</v>
      </c>
      <c r="G2774" t="str">
        <f>"00321861"</f>
        <v>00321861</v>
      </c>
      <c r="H2774" t="s">
        <v>476</v>
      </c>
      <c r="I2774">
        <v>0</v>
      </c>
      <c r="J2774">
        <v>0</v>
      </c>
      <c r="K2774">
        <v>0</v>
      </c>
      <c r="L2774">
        <v>0</v>
      </c>
      <c r="M2774">
        <v>0</v>
      </c>
      <c r="N2774">
        <v>30</v>
      </c>
      <c r="O2774">
        <v>0</v>
      </c>
      <c r="P2774">
        <v>0</v>
      </c>
      <c r="Q2774">
        <v>0</v>
      </c>
      <c r="R2774">
        <v>0</v>
      </c>
      <c r="S2774">
        <v>0</v>
      </c>
      <c r="T2774">
        <v>0</v>
      </c>
      <c r="U2774">
        <v>0</v>
      </c>
      <c r="V2774">
        <v>0</v>
      </c>
      <c r="W2774">
        <v>0</v>
      </c>
      <c r="X2774">
        <v>0</v>
      </c>
      <c r="Z2774">
        <v>2</v>
      </c>
      <c r="AA2774">
        <v>0</v>
      </c>
      <c r="AB2774">
        <v>0</v>
      </c>
      <c r="AC2774">
        <v>0</v>
      </c>
      <c r="AD2774" t="s">
        <v>5444</v>
      </c>
    </row>
    <row r="2775" spans="1:30" x14ac:dyDescent="0.25">
      <c r="H2775" t="s">
        <v>5445</v>
      </c>
    </row>
    <row r="2776" spans="1:30" x14ac:dyDescent="0.25">
      <c r="A2776">
        <v>1385</v>
      </c>
      <c r="B2776">
        <v>2813</v>
      </c>
      <c r="C2776" t="s">
        <v>5446</v>
      </c>
      <c r="D2776" t="s">
        <v>49</v>
      </c>
      <c r="E2776" t="s">
        <v>859</v>
      </c>
      <c r="F2776" t="s">
        <v>5447</v>
      </c>
      <c r="G2776" t="str">
        <f>"00337631"</f>
        <v>00337631</v>
      </c>
      <c r="H2776" t="s">
        <v>2861</v>
      </c>
      <c r="I2776">
        <v>0</v>
      </c>
      <c r="J2776">
        <v>0</v>
      </c>
      <c r="K2776">
        <v>0</v>
      </c>
      <c r="L2776">
        <v>0</v>
      </c>
      <c r="M2776">
        <v>0</v>
      </c>
      <c r="N2776">
        <v>0</v>
      </c>
      <c r="O2776">
        <v>0</v>
      </c>
      <c r="P2776">
        <v>0</v>
      </c>
      <c r="Q2776">
        <v>0</v>
      </c>
      <c r="R2776">
        <v>0</v>
      </c>
      <c r="S2776">
        <v>0</v>
      </c>
      <c r="T2776">
        <v>0</v>
      </c>
      <c r="U2776">
        <v>0</v>
      </c>
      <c r="V2776">
        <v>14</v>
      </c>
      <c r="W2776">
        <v>98</v>
      </c>
      <c r="X2776">
        <v>0</v>
      </c>
      <c r="Z2776">
        <v>0</v>
      </c>
      <c r="AA2776">
        <v>0</v>
      </c>
      <c r="AB2776">
        <v>0</v>
      </c>
      <c r="AC2776">
        <v>0</v>
      </c>
      <c r="AD2776" t="s">
        <v>5448</v>
      </c>
    </row>
    <row r="2777" spans="1:30" x14ac:dyDescent="0.25">
      <c r="H2777" t="s">
        <v>5449</v>
      </c>
    </row>
    <row r="2778" spans="1:30" x14ac:dyDescent="0.25">
      <c r="A2778">
        <v>1386</v>
      </c>
      <c r="B2778">
        <v>3707</v>
      </c>
      <c r="C2778" t="s">
        <v>5450</v>
      </c>
      <c r="D2778" t="s">
        <v>5451</v>
      </c>
      <c r="E2778" t="s">
        <v>743</v>
      </c>
      <c r="F2778" t="s">
        <v>5452</v>
      </c>
      <c r="G2778" t="str">
        <f>"00223380"</f>
        <v>00223380</v>
      </c>
      <c r="H2778" t="s">
        <v>861</v>
      </c>
      <c r="I2778">
        <v>0</v>
      </c>
      <c r="J2778">
        <v>0</v>
      </c>
      <c r="K2778">
        <v>0</v>
      </c>
      <c r="L2778">
        <v>0</v>
      </c>
      <c r="M2778">
        <v>0</v>
      </c>
      <c r="N2778">
        <v>70</v>
      </c>
      <c r="O2778">
        <v>0</v>
      </c>
      <c r="P2778">
        <v>30</v>
      </c>
      <c r="Q2778">
        <v>0</v>
      </c>
      <c r="R2778">
        <v>0</v>
      </c>
      <c r="S2778">
        <v>0</v>
      </c>
      <c r="T2778">
        <v>0</v>
      </c>
      <c r="U2778">
        <v>0</v>
      </c>
      <c r="V2778">
        <v>0</v>
      </c>
      <c r="W2778">
        <v>0</v>
      </c>
      <c r="X2778">
        <v>0</v>
      </c>
      <c r="Z2778">
        <v>2</v>
      </c>
      <c r="AA2778">
        <v>0</v>
      </c>
      <c r="AB2778">
        <v>0</v>
      </c>
      <c r="AC2778">
        <v>0</v>
      </c>
      <c r="AD2778" t="s">
        <v>5453</v>
      </c>
    </row>
    <row r="2779" spans="1:30" x14ac:dyDescent="0.25">
      <c r="H2779" t="s">
        <v>351</v>
      </c>
    </row>
    <row r="2780" spans="1:30" x14ac:dyDescent="0.25">
      <c r="A2780">
        <v>1387</v>
      </c>
      <c r="B2780">
        <v>4401</v>
      </c>
      <c r="C2780" t="s">
        <v>5454</v>
      </c>
      <c r="D2780" t="s">
        <v>5455</v>
      </c>
      <c r="E2780" t="s">
        <v>368</v>
      </c>
      <c r="F2780" t="s">
        <v>5456</v>
      </c>
      <c r="G2780" t="str">
        <f>"00085627"</f>
        <v>00085627</v>
      </c>
      <c r="H2780" t="s">
        <v>3464</v>
      </c>
      <c r="I2780">
        <v>0</v>
      </c>
      <c r="J2780">
        <v>0</v>
      </c>
      <c r="K2780">
        <v>0</v>
      </c>
      <c r="L2780">
        <v>0</v>
      </c>
      <c r="M2780">
        <v>0</v>
      </c>
      <c r="N2780">
        <v>30</v>
      </c>
      <c r="O2780">
        <v>0</v>
      </c>
      <c r="P2780">
        <v>0</v>
      </c>
      <c r="Q2780">
        <v>0</v>
      </c>
      <c r="R2780">
        <v>0</v>
      </c>
      <c r="S2780">
        <v>0</v>
      </c>
      <c r="T2780">
        <v>0</v>
      </c>
      <c r="U2780">
        <v>0</v>
      </c>
      <c r="V2780">
        <v>6</v>
      </c>
      <c r="W2780">
        <v>42</v>
      </c>
      <c r="X2780">
        <v>0</v>
      </c>
      <c r="Z2780">
        <v>0</v>
      </c>
      <c r="AA2780">
        <v>0</v>
      </c>
      <c r="AB2780">
        <v>0</v>
      </c>
      <c r="AC2780">
        <v>0</v>
      </c>
      <c r="AD2780" t="s">
        <v>5457</v>
      </c>
    </row>
    <row r="2781" spans="1:30" x14ac:dyDescent="0.25">
      <c r="H2781" t="s">
        <v>5458</v>
      </c>
    </row>
    <row r="2782" spans="1:30" x14ac:dyDescent="0.25">
      <c r="A2782">
        <v>1388</v>
      </c>
      <c r="B2782">
        <v>794</v>
      </c>
      <c r="C2782" t="s">
        <v>5459</v>
      </c>
      <c r="D2782" t="s">
        <v>917</v>
      </c>
      <c r="E2782" t="s">
        <v>309</v>
      </c>
      <c r="F2782" t="s">
        <v>5460</v>
      </c>
      <c r="G2782" t="str">
        <f>"00291754"</f>
        <v>00291754</v>
      </c>
      <c r="H2782" t="s">
        <v>3464</v>
      </c>
      <c r="I2782">
        <v>0</v>
      </c>
      <c r="J2782">
        <v>0</v>
      </c>
      <c r="K2782">
        <v>0</v>
      </c>
      <c r="L2782">
        <v>0</v>
      </c>
      <c r="M2782">
        <v>0</v>
      </c>
      <c r="N2782">
        <v>30</v>
      </c>
      <c r="O2782">
        <v>0</v>
      </c>
      <c r="P2782">
        <v>0</v>
      </c>
      <c r="Q2782">
        <v>0</v>
      </c>
      <c r="R2782">
        <v>0</v>
      </c>
      <c r="S2782">
        <v>0</v>
      </c>
      <c r="T2782">
        <v>0</v>
      </c>
      <c r="U2782">
        <v>0</v>
      </c>
      <c r="V2782">
        <v>6</v>
      </c>
      <c r="W2782">
        <v>42</v>
      </c>
      <c r="X2782">
        <v>0</v>
      </c>
      <c r="Z2782">
        <v>1</v>
      </c>
      <c r="AA2782">
        <v>0</v>
      </c>
      <c r="AB2782">
        <v>0</v>
      </c>
      <c r="AC2782">
        <v>0</v>
      </c>
      <c r="AD2782" t="s">
        <v>5457</v>
      </c>
    </row>
    <row r="2783" spans="1:30" x14ac:dyDescent="0.25">
      <c r="H2783" t="s">
        <v>5461</v>
      </c>
    </row>
    <row r="2784" spans="1:30" x14ac:dyDescent="0.25">
      <c r="A2784">
        <v>1389</v>
      </c>
      <c r="B2784">
        <v>6173</v>
      </c>
      <c r="C2784" t="s">
        <v>5462</v>
      </c>
      <c r="D2784" t="s">
        <v>40</v>
      </c>
      <c r="E2784" t="s">
        <v>49</v>
      </c>
      <c r="F2784" t="s">
        <v>5463</v>
      </c>
      <c r="G2784" t="str">
        <f>"00370656"</f>
        <v>00370656</v>
      </c>
      <c r="H2784" t="s">
        <v>215</v>
      </c>
      <c r="I2784">
        <v>0</v>
      </c>
      <c r="J2784">
        <v>0</v>
      </c>
      <c r="K2784">
        <v>0</v>
      </c>
      <c r="L2784">
        <v>0</v>
      </c>
      <c r="M2784">
        <v>0</v>
      </c>
      <c r="N2784">
        <v>30</v>
      </c>
      <c r="O2784">
        <v>0</v>
      </c>
      <c r="P2784">
        <v>0</v>
      </c>
      <c r="Q2784">
        <v>0</v>
      </c>
      <c r="R2784">
        <v>0</v>
      </c>
      <c r="S2784">
        <v>0</v>
      </c>
      <c r="T2784">
        <v>0</v>
      </c>
      <c r="U2784">
        <v>0</v>
      </c>
      <c r="V2784">
        <v>0</v>
      </c>
      <c r="W2784">
        <v>0</v>
      </c>
      <c r="X2784">
        <v>0</v>
      </c>
      <c r="Z2784">
        <v>2</v>
      </c>
      <c r="AA2784">
        <v>0</v>
      </c>
      <c r="AB2784">
        <v>0</v>
      </c>
      <c r="AC2784">
        <v>0</v>
      </c>
      <c r="AD2784" t="s">
        <v>5464</v>
      </c>
    </row>
    <row r="2785" spans="1:30" x14ac:dyDescent="0.25">
      <c r="H2785" t="s">
        <v>153</v>
      </c>
    </row>
    <row r="2786" spans="1:30" x14ac:dyDescent="0.25">
      <c r="A2786">
        <v>1390</v>
      </c>
      <c r="B2786">
        <v>3604</v>
      </c>
      <c r="C2786" t="s">
        <v>2609</v>
      </c>
      <c r="D2786" t="s">
        <v>1473</v>
      </c>
      <c r="E2786" t="s">
        <v>76</v>
      </c>
      <c r="F2786" t="s">
        <v>5465</v>
      </c>
      <c r="G2786" t="str">
        <f>"201604003358"</f>
        <v>201604003358</v>
      </c>
      <c r="H2786" t="s">
        <v>1281</v>
      </c>
      <c r="I2786">
        <v>0</v>
      </c>
      <c r="J2786">
        <v>0</v>
      </c>
      <c r="K2786">
        <v>0</v>
      </c>
      <c r="L2786">
        <v>0</v>
      </c>
      <c r="M2786">
        <v>0</v>
      </c>
      <c r="N2786">
        <v>0</v>
      </c>
      <c r="O2786">
        <v>0</v>
      </c>
      <c r="P2786">
        <v>0</v>
      </c>
      <c r="Q2786">
        <v>0</v>
      </c>
      <c r="R2786">
        <v>0</v>
      </c>
      <c r="S2786">
        <v>0</v>
      </c>
      <c r="T2786">
        <v>0</v>
      </c>
      <c r="U2786">
        <v>0</v>
      </c>
      <c r="V2786">
        <v>0</v>
      </c>
      <c r="W2786">
        <v>0</v>
      </c>
      <c r="X2786">
        <v>0</v>
      </c>
      <c r="Z2786">
        <v>0</v>
      </c>
      <c r="AA2786">
        <v>0</v>
      </c>
      <c r="AB2786">
        <v>0</v>
      </c>
      <c r="AC2786">
        <v>0</v>
      </c>
      <c r="AD2786" t="s">
        <v>1281</v>
      </c>
    </row>
    <row r="2787" spans="1:30" x14ac:dyDescent="0.25">
      <c r="H2787" t="s">
        <v>5466</v>
      </c>
    </row>
    <row r="2788" spans="1:30" x14ac:dyDescent="0.25">
      <c r="A2788">
        <v>1391</v>
      </c>
      <c r="B2788">
        <v>4939</v>
      </c>
      <c r="C2788" t="s">
        <v>2483</v>
      </c>
      <c r="D2788" t="s">
        <v>449</v>
      </c>
      <c r="E2788" t="s">
        <v>141</v>
      </c>
      <c r="F2788" t="s">
        <v>5467</v>
      </c>
      <c r="G2788" t="str">
        <f>"00358222"</f>
        <v>00358222</v>
      </c>
      <c r="H2788" t="s">
        <v>1281</v>
      </c>
      <c r="I2788">
        <v>0</v>
      </c>
      <c r="J2788">
        <v>0</v>
      </c>
      <c r="K2788">
        <v>0</v>
      </c>
      <c r="L2788">
        <v>0</v>
      </c>
      <c r="M2788">
        <v>0</v>
      </c>
      <c r="N2788">
        <v>0</v>
      </c>
      <c r="O2788">
        <v>0</v>
      </c>
      <c r="P2788">
        <v>0</v>
      </c>
      <c r="Q2788">
        <v>0</v>
      </c>
      <c r="R2788">
        <v>0</v>
      </c>
      <c r="S2788">
        <v>0</v>
      </c>
      <c r="T2788">
        <v>0</v>
      </c>
      <c r="U2788">
        <v>0</v>
      </c>
      <c r="V2788">
        <v>0</v>
      </c>
      <c r="W2788">
        <v>0</v>
      </c>
      <c r="X2788">
        <v>0</v>
      </c>
      <c r="Z2788">
        <v>0</v>
      </c>
      <c r="AA2788">
        <v>0</v>
      </c>
      <c r="AB2788">
        <v>0</v>
      </c>
      <c r="AC2788">
        <v>0</v>
      </c>
      <c r="AD2788" t="s">
        <v>1281</v>
      </c>
    </row>
    <row r="2789" spans="1:30" x14ac:dyDescent="0.25">
      <c r="H2789" t="s">
        <v>5468</v>
      </c>
    </row>
    <row r="2790" spans="1:30" x14ac:dyDescent="0.25">
      <c r="A2790">
        <v>1392</v>
      </c>
      <c r="B2790">
        <v>5936</v>
      </c>
      <c r="C2790" t="s">
        <v>5469</v>
      </c>
      <c r="D2790" t="s">
        <v>167</v>
      </c>
      <c r="E2790" t="s">
        <v>57</v>
      </c>
      <c r="F2790" t="s">
        <v>5470</v>
      </c>
      <c r="G2790" t="str">
        <f>"00146795"</f>
        <v>00146795</v>
      </c>
      <c r="H2790" t="s">
        <v>2937</v>
      </c>
      <c r="I2790">
        <v>0</v>
      </c>
      <c r="J2790">
        <v>0</v>
      </c>
      <c r="K2790">
        <v>0</v>
      </c>
      <c r="L2790">
        <v>0</v>
      </c>
      <c r="M2790">
        <v>0</v>
      </c>
      <c r="N2790">
        <v>70</v>
      </c>
      <c r="O2790">
        <v>0</v>
      </c>
      <c r="P2790">
        <v>0</v>
      </c>
      <c r="Q2790">
        <v>0</v>
      </c>
      <c r="R2790">
        <v>0</v>
      </c>
      <c r="S2790">
        <v>0</v>
      </c>
      <c r="T2790">
        <v>0</v>
      </c>
      <c r="U2790">
        <v>0</v>
      </c>
      <c r="V2790">
        <v>0</v>
      </c>
      <c r="W2790">
        <v>0</v>
      </c>
      <c r="X2790">
        <v>0</v>
      </c>
      <c r="Z2790">
        <v>0</v>
      </c>
      <c r="AA2790">
        <v>0</v>
      </c>
      <c r="AB2790">
        <v>0</v>
      </c>
      <c r="AC2790">
        <v>0</v>
      </c>
      <c r="AD2790" t="s">
        <v>5471</v>
      </c>
    </row>
    <row r="2791" spans="1:30" x14ac:dyDescent="0.25">
      <c r="H2791" t="s">
        <v>5472</v>
      </c>
    </row>
    <row r="2792" spans="1:30" x14ac:dyDescent="0.25">
      <c r="A2792">
        <v>1393</v>
      </c>
      <c r="B2792">
        <v>5514</v>
      </c>
      <c r="C2792" t="s">
        <v>5473</v>
      </c>
      <c r="D2792" t="s">
        <v>102</v>
      </c>
      <c r="E2792" t="s">
        <v>120</v>
      </c>
      <c r="F2792" t="s">
        <v>5474</v>
      </c>
      <c r="G2792" t="str">
        <f>"201511019057"</f>
        <v>201511019057</v>
      </c>
      <c r="H2792" t="s">
        <v>591</v>
      </c>
      <c r="I2792">
        <v>0</v>
      </c>
      <c r="J2792">
        <v>0</v>
      </c>
      <c r="K2792">
        <v>0</v>
      </c>
      <c r="L2792">
        <v>0</v>
      </c>
      <c r="M2792">
        <v>0</v>
      </c>
      <c r="N2792">
        <v>50</v>
      </c>
      <c r="O2792">
        <v>0</v>
      </c>
      <c r="P2792">
        <v>0</v>
      </c>
      <c r="Q2792">
        <v>0</v>
      </c>
      <c r="R2792">
        <v>0</v>
      </c>
      <c r="S2792">
        <v>0</v>
      </c>
      <c r="T2792">
        <v>0</v>
      </c>
      <c r="U2792">
        <v>0</v>
      </c>
      <c r="V2792">
        <v>0</v>
      </c>
      <c r="W2792">
        <v>0</v>
      </c>
      <c r="X2792">
        <v>0</v>
      </c>
      <c r="Z2792">
        <v>0</v>
      </c>
      <c r="AA2792">
        <v>0</v>
      </c>
      <c r="AB2792">
        <v>0</v>
      </c>
      <c r="AC2792">
        <v>0</v>
      </c>
      <c r="AD2792" t="s">
        <v>5475</v>
      </c>
    </row>
    <row r="2793" spans="1:30" x14ac:dyDescent="0.25">
      <c r="H2793" t="s">
        <v>5476</v>
      </c>
    </row>
    <row r="2794" spans="1:30" x14ac:dyDescent="0.25">
      <c r="A2794">
        <v>1394</v>
      </c>
      <c r="B2794">
        <v>885</v>
      </c>
      <c r="C2794" t="s">
        <v>5477</v>
      </c>
      <c r="D2794" t="s">
        <v>180</v>
      </c>
      <c r="E2794" t="s">
        <v>1710</v>
      </c>
      <c r="F2794" t="s">
        <v>5478</v>
      </c>
      <c r="G2794" t="str">
        <f>"201406007400"</f>
        <v>201406007400</v>
      </c>
      <c r="H2794" t="s">
        <v>591</v>
      </c>
      <c r="I2794">
        <v>0</v>
      </c>
      <c r="J2794">
        <v>0</v>
      </c>
      <c r="K2794">
        <v>0</v>
      </c>
      <c r="L2794">
        <v>0</v>
      </c>
      <c r="M2794">
        <v>0</v>
      </c>
      <c r="N2794">
        <v>50</v>
      </c>
      <c r="O2794">
        <v>0</v>
      </c>
      <c r="P2794">
        <v>0</v>
      </c>
      <c r="Q2794">
        <v>0</v>
      </c>
      <c r="R2794">
        <v>0</v>
      </c>
      <c r="S2794">
        <v>0</v>
      </c>
      <c r="T2794">
        <v>0</v>
      </c>
      <c r="U2794">
        <v>0</v>
      </c>
      <c r="V2794">
        <v>0</v>
      </c>
      <c r="W2794">
        <v>0</v>
      </c>
      <c r="X2794">
        <v>0</v>
      </c>
      <c r="Z2794">
        <v>1</v>
      </c>
      <c r="AA2794">
        <v>0</v>
      </c>
      <c r="AB2794">
        <v>0</v>
      </c>
      <c r="AC2794">
        <v>0</v>
      </c>
      <c r="AD2794" t="s">
        <v>5475</v>
      </c>
    </row>
    <row r="2795" spans="1:30" x14ac:dyDescent="0.25">
      <c r="H2795" t="s">
        <v>5479</v>
      </c>
    </row>
    <row r="2796" spans="1:30" x14ac:dyDescent="0.25">
      <c r="A2796">
        <v>1395</v>
      </c>
      <c r="B2796">
        <v>1738</v>
      </c>
      <c r="C2796" t="s">
        <v>5480</v>
      </c>
      <c r="D2796" t="s">
        <v>218</v>
      </c>
      <c r="E2796" t="s">
        <v>309</v>
      </c>
      <c r="F2796" t="s">
        <v>5481</v>
      </c>
      <c r="G2796" t="str">
        <f>"00312864"</f>
        <v>00312864</v>
      </c>
      <c r="H2796" t="s">
        <v>59</v>
      </c>
      <c r="I2796">
        <v>0</v>
      </c>
      <c r="J2796">
        <v>0</v>
      </c>
      <c r="K2796">
        <v>0</v>
      </c>
      <c r="L2796">
        <v>0</v>
      </c>
      <c r="M2796">
        <v>0</v>
      </c>
      <c r="N2796">
        <v>30</v>
      </c>
      <c r="O2796">
        <v>0</v>
      </c>
      <c r="P2796">
        <v>0</v>
      </c>
      <c r="Q2796">
        <v>0</v>
      </c>
      <c r="R2796">
        <v>0</v>
      </c>
      <c r="S2796">
        <v>0</v>
      </c>
      <c r="T2796">
        <v>0</v>
      </c>
      <c r="U2796">
        <v>0</v>
      </c>
      <c r="V2796">
        <v>0</v>
      </c>
      <c r="W2796">
        <v>0</v>
      </c>
      <c r="X2796">
        <v>0</v>
      </c>
      <c r="Z2796">
        <v>0</v>
      </c>
      <c r="AA2796">
        <v>0</v>
      </c>
      <c r="AB2796">
        <v>0</v>
      </c>
      <c r="AC2796">
        <v>0</v>
      </c>
      <c r="AD2796" t="s">
        <v>5482</v>
      </c>
    </row>
    <row r="2797" spans="1:30" x14ac:dyDescent="0.25">
      <c r="H2797" t="s">
        <v>5483</v>
      </c>
    </row>
    <row r="2798" spans="1:30" x14ac:dyDescent="0.25">
      <c r="A2798">
        <v>1396</v>
      </c>
      <c r="B2798">
        <v>4134</v>
      </c>
      <c r="C2798" t="s">
        <v>5484</v>
      </c>
      <c r="D2798" t="s">
        <v>1893</v>
      </c>
      <c r="E2798" t="s">
        <v>358</v>
      </c>
      <c r="F2798" t="s">
        <v>5485</v>
      </c>
      <c r="G2798" t="str">
        <f>"201502003436"</f>
        <v>201502003436</v>
      </c>
      <c r="H2798" t="s">
        <v>59</v>
      </c>
      <c r="I2798">
        <v>0</v>
      </c>
      <c r="J2798">
        <v>0</v>
      </c>
      <c r="K2798">
        <v>0</v>
      </c>
      <c r="L2798">
        <v>0</v>
      </c>
      <c r="M2798">
        <v>0</v>
      </c>
      <c r="N2798">
        <v>30</v>
      </c>
      <c r="O2798">
        <v>0</v>
      </c>
      <c r="P2798">
        <v>0</v>
      </c>
      <c r="Q2798">
        <v>0</v>
      </c>
      <c r="R2798">
        <v>0</v>
      </c>
      <c r="S2798">
        <v>0</v>
      </c>
      <c r="T2798">
        <v>0</v>
      </c>
      <c r="U2798">
        <v>0</v>
      </c>
      <c r="V2798">
        <v>0</v>
      </c>
      <c r="W2798">
        <v>0</v>
      </c>
      <c r="X2798">
        <v>0</v>
      </c>
      <c r="Z2798">
        <v>0</v>
      </c>
      <c r="AA2798">
        <v>0</v>
      </c>
      <c r="AB2798">
        <v>0</v>
      </c>
      <c r="AC2798">
        <v>0</v>
      </c>
      <c r="AD2798" t="s">
        <v>5482</v>
      </c>
    </row>
    <row r="2799" spans="1:30" x14ac:dyDescent="0.25">
      <c r="H2799" t="s">
        <v>5486</v>
      </c>
    </row>
    <row r="2800" spans="1:30" x14ac:dyDescent="0.25">
      <c r="A2800">
        <v>1397</v>
      </c>
      <c r="B2800">
        <v>5614</v>
      </c>
      <c r="C2800" t="s">
        <v>2102</v>
      </c>
      <c r="D2800" t="s">
        <v>167</v>
      </c>
      <c r="E2800" t="s">
        <v>1406</v>
      </c>
      <c r="F2800" t="s">
        <v>5487</v>
      </c>
      <c r="G2800" t="str">
        <f>"00347326"</f>
        <v>00347326</v>
      </c>
      <c r="H2800" t="s">
        <v>877</v>
      </c>
      <c r="I2800">
        <v>0</v>
      </c>
      <c r="J2800">
        <v>0</v>
      </c>
      <c r="K2800">
        <v>0</v>
      </c>
      <c r="L2800">
        <v>0</v>
      </c>
      <c r="M2800">
        <v>0</v>
      </c>
      <c r="N2800">
        <v>30</v>
      </c>
      <c r="O2800">
        <v>0</v>
      </c>
      <c r="P2800">
        <v>0</v>
      </c>
      <c r="Q2800">
        <v>0</v>
      </c>
      <c r="R2800">
        <v>0</v>
      </c>
      <c r="S2800">
        <v>0</v>
      </c>
      <c r="T2800">
        <v>0</v>
      </c>
      <c r="U2800">
        <v>0</v>
      </c>
      <c r="V2800">
        <v>5</v>
      </c>
      <c r="W2800">
        <v>35</v>
      </c>
      <c r="X2800">
        <v>0</v>
      </c>
      <c r="Z2800">
        <v>0</v>
      </c>
      <c r="AA2800">
        <v>0</v>
      </c>
      <c r="AB2800">
        <v>0</v>
      </c>
      <c r="AC2800">
        <v>0</v>
      </c>
      <c r="AD2800" t="s">
        <v>5488</v>
      </c>
    </row>
    <row r="2801" spans="1:30" x14ac:dyDescent="0.25">
      <c r="H2801" t="s">
        <v>5489</v>
      </c>
    </row>
    <row r="2802" spans="1:30" x14ac:dyDescent="0.25">
      <c r="A2802">
        <v>1398</v>
      </c>
      <c r="B2802">
        <v>5823</v>
      </c>
      <c r="C2802" t="s">
        <v>5490</v>
      </c>
      <c r="D2802" t="s">
        <v>3039</v>
      </c>
      <c r="E2802" t="s">
        <v>5491</v>
      </c>
      <c r="F2802" t="s">
        <v>5492</v>
      </c>
      <c r="G2802" t="str">
        <f>"00137687"</f>
        <v>00137687</v>
      </c>
      <c r="H2802" t="s">
        <v>1465</v>
      </c>
      <c r="I2802">
        <v>0</v>
      </c>
      <c r="J2802">
        <v>0</v>
      </c>
      <c r="K2802">
        <v>0</v>
      </c>
      <c r="L2802">
        <v>0</v>
      </c>
      <c r="M2802">
        <v>0</v>
      </c>
      <c r="N2802">
        <v>30</v>
      </c>
      <c r="O2802">
        <v>0</v>
      </c>
      <c r="P2802">
        <v>0</v>
      </c>
      <c r="Q2802">
        <v>0</v>
      </c>
      <c r="R2802">
        <v>0</v>
      </c>
      <c r="S2802">
        <v>0</v>
      </c>
      <c r="T2802">
        <v>0</v>
      </c>
      <c r="U2802">
        <v>0</v>
      </c>
      <c r="V2802">
        <v>0</v>
      </c>
      <c r="W2802">
        <v>0</v>
      </c>
      <c r="X2802">
        <v>0</v>
      </c>
      <c r="Z2802">
        <v>0</v>
      </c>
      <c r="AA2802">
        <v>0</v>
      </c>
      <c r="AB2802">
        <v>0</v>
      </c>
      <c r="AC2802">
        <v>0</v>
      </c>
      <c r="AD2802" t="s">
        <v>5493</v>
      </c>
    </row>
    <row r="2803" spans="1:30" x14ac:dyDescent="0.25">
      <c r="H2803" t="s">
        <v>5494</v>
      </c>
    </row>
    <row r="2804" spans="1:30" x14ac:dyDescent="0.25">
      <c r="A2804">
        <v>1399</v>
      </c>
      <c r="B2804">
        <v>4336</v>
      </c>
      <c r="C2804" t="s">
        <v>5495</v>
      </c>
      <c r="D2804" t="s">
        <v>95</v>
      </c>
      <c r="E2804" t="s">
        <v>107</v>
      </c>
      <c r="F2804" t="s">
        <v>5496</v>
      </c>
      <c r="G2804" t="str">
        <f>"00253414"</f>
        <v>00253414</v>
      </c>
      <c r="H2804" t="s">
        <v>1465</v>
      </c>
      <c r="I2804">
        <v>0</v>
      </c>
      <c r="J2804">
        <v>0</v>
      </c>
      <c r="K2804">
        <v>0</v>
      </c>
      <c r="L2804">
        <v>0</v>
      </c>
      <c r="M2804">
        <v>0</v>
      </c>
      <c r="N2804">
        <v>30</v>
      </c>
      <c r="O2804">
        <v>0</v>
      </c>
      <c r="P2804">
        <v>0</v>
      </c>
      <c r="Q2804">
        <v>0</v>
      </c>
      <c r="R2804">
        <v>0</v>
      </c>
      <c r="S2804">
        <v>0</v>
      </c>
      <c r="T2804">
        <v>0</v>
      </c>
      <c r="U2804">
        <v>0</v>
      </c>
      <c r="V2804">
        <v>0</v>
      </c>
      <c r="W2804">
        <v>0</v>
      </c>
      <c r="X2804">
        <v>0</v>
      </c>
      <c r="Z2804">
        <v>0</v>
      </c>
      <c r="AA2804">
        <v>0</v>
      </c>
      <c r="AB2804">
        <v>0</v>
      </c>
      <c r="AC2804">
        <v>0</v>
      </c>
      <c r="AD2804" t="s">
        <v>5493</v>
      </c>
    </row>
    <row r="2805" spans="1:30" x14ac:dyDescent="0.25">
      <c r="H2805" t="s">
        <v>5497</v>
      </c>
    </row>
    <row r="2806" spans="1:30" x14ac:dyDescent="0.25">
      <c r="A2806">
        <v>1400</v>
      </c>
      <c r="B2806">
        <v>6093</v>
      </c>
      <c r="C2806" t="s">
        <v>5498</v>
      </c>
      <c r="D2806" t="s">
        <v>191</v>
      </c>
      <c r="E2806" t="s">
        <v>167</v>
      </c>
      <c r="F2806" t="s">
        <v>5499</v>
      </c>
      <c r="G2806" t="str">
        <f>"201511041980"</f>
        <v>201511041980</v>
      </c>
      <c r="H2806" t="s">
        <v>652</v>
      </c>
      <c r="I2806">
        <v>0</v>
      </c>
      <c r="J2806">
        <v>0</v>
      </c>
      <c r="K2806">
        <v>0</v>
      </c>
      <c r="L2806">
        <v>0</v>
      </c>
      <c r="M2806">
        <v>0</v>
      </c>
      <c r="N2806">
        <v>30</v>
      </c>
      <c r="O2806">
        <v>0</v>
      </c>
      <c r="P2806">
        <v>0</v>
      </c>
      <c r="Q2806">
        <v>0</v>
      </c>
      <c r="R2806">
        <v>0</v>
      </c>
      <c r="S2806">
        <v>0</v>
      </c>
      <c r="T2806">
        <v>0</v>
      </c>
      <c r="U2806">
        <v>0</v>
      </c>
      <c r="V2806">
        <v>2</v>
      </c>
      <c r="W2806">
        <v>14</v>
      </c>
      <c r="X2806">
        <v>0</v>
      </c>
      <c r="Z2806">
        <v>0</v>
      </c>
      <c r="AA2806">
        <v>0</v>
      </c>
      <c r="AB2806">
        <v>0</v>
      </c>
      <c r="AC2806">
        <v>0</v>
      </c>
      <c r="AD2806" t="s">
        <v>532</v>
      </c>
    </row>
    <row r="2807" spans="1:30" x14ac:dyDescent="0.25">
      <c r="H2807" t="s">
        <v>5500</v>
      </c>
    </row>
    <row r="2808" spans="1:30" x14ac:dyDescent="0.25">
      <c r="A2808">
        <v>1401</v>
      </c>
      <c r="B2808">
        <v>4638</v>
      </c>
      <c r="C2808" t="s">
        <v>5501</v>
      </c>
      <c r="D2808" t="s">
        <v>5502</v>
      </c>
      <c r="E2808" t="s">
        <v>102</v>
      </c>
      <c r="F2808" t="s">
        <v>5503</v>
      </c>
      <c r="G2808" t="str">
        <f>"00156733"</f>
        <v>00156733</v>
      </c>
      <c r="H2808">
        <v>627</v>
      </c>
      <c r="I2808">
        <v>0</v>
      </c>
      <c r="J2808">
        <v>0</v>
      </c>
      <c r="K2808">
        <v>0</v>
      </c>
      <c r="L2808">
        <v>0</v>
      </c>
      <c r="M2808">
        <v>0</v>
      </c>
      <c r="N2808">
        <v>0</v>
      </c>
      <c r="O2808">
        <v>0</v>
      </c>
      <c r="P2808">
        <v>0</v>
      </c>
      <c r="Q2808">
        <v>0</v>
      </c>
      <c r="R2808">
        <v>0</v>
      </c>
      <c r="S2808">
        <v>0</v>
      </c>
      <c r="T2808">
        <v>0</v>
      </c>
      <c r="U2808">
        <v>0</v>
      </c>
      <c r="V2808">
        <v>19</v>
      </c>
      <c r="W2808">
        <v>133</v>
      </c>
      <c r="X2808">
        <v>0</v>
      </c>
      <c r="Z2808">
        <v>0</v>
      </c>
      <c r="AA2808">
        <v>0</v>
      </c>
      <c r="AB2808">
        <v>0</v>
      </c>
      <c r="AC2808">
        <v>0</v>
      </c>
      <c r="AD2808">
        <v>760</v>
      </c>
    </row>
    <row r="2809" spans="1:30" x14ac:dyDescent="0.25">
      <c r="H2809" t="s">
        <v>5504</v>
      </c>
    </row>
    <row r="2810" spans="1:30" x14ac:dyDescent="0.25">
      <c r="A2810">
        <v>1402</v>
      </c>
      <c r="B2810">
        <v>119</v>
      </c>
      <c r="C2810" t="s">
        <v>5505</v>
      </c>
      <c r="D2810" t="s">
        <v>76</v>
      </c>
      <c r="E2810" t="s">
        <v>28</v>
      </c>
      <c r="F2810" t="s">
        <v>5506</v>
      </c>
      <c r="G2810" t="str">
        <f>"201406015620"</f>
        <v>201406015620</v>
      </c>
      <c r="H2810" t="s">
        <v>2413</v>
      </c>
      <c r="I2810">
        <v>0</v>
      </c>
      <c r="J2810">
        <v>0</v>
      </c>
      <c r="K2810">
        <v>0</v>
      </c>
      <c r="L2810">
        <v>0</v>
      </c>
      <c r="M2810">
        <v>0</v>
      </c>
      <c r="N2810">
        <v>0</v>
      </c>
      <c r="O2810">
        <v>0</v>
      </c>
      <c r="P2810">
        <v>0</v>
      </c>
      <c r="Q2810">
        <v>0</v>
      </c>
      <c r="R2810">
        <v>0</v>
      </c>
      <c r="S2810">
        <v>0</v>
      </c>
      <c r="T2810">
        <v>0</v>
      </c>
      <c r="U2810">
        <v>0</v>
      </c>
      <c r="V2810">
        <v>10</v>
      </c>
      <c r="W2810">
        <v>70</v>
      </c>
      <c r="X2810">
        <v>0</v>
      </c>
      <c r="Z2810">
        <v>0</v>
      </c>
      <c r="AA2810">
        <v>0</v>
      </c>
      <c r="AB2810">
        <v>0</v>
      </c>
      <c r="AC2810">
        <v>0</v>
      </c>
      <c r="AD2810" t="s">
        <v>5507</v>
      </c>
    </row>
    <row r="2811" spans="1:30" x14ac:dyDescent="0.25">
      <c r="H2811" t="s">
        <v>5508</v>
      </c>
    </row>
    <row r="2812" spans="1:30" x14ac:dyDescent="0.25">
      <c r="A2812">
        <v>1403</v>
      </c>
      <c r="B2812">
        <v>1218</v>
      </c>
      <c r="C2812" t="s">
        <v>5509</v>
      </c>
      <c r="D2812" t="s">
        <v>5510</v>
      </c>
      <c r="E2812" t="s">
        <v>181</v>
      </c>
      <c r="F2812" t="s">
        <v>5511</v>
      </c>
      <c r="G2812" t="str">
        <f>"00155244"</f>
        <v>00155244</v>
      </c>
      <c r="H2812" t="s">
        <v>198</v>
      </c>
      <c r="I2812">
        <v>0</v>
      </c>
      <c r="J2812">
        <v>0</v>
      </c>
      <c r="K2812">
        <v>0</v>
      </c>
      <c r="L2812">
        <v>0</v>
      </c>
      <c r="M2812">
        <v>0</v>
      </c>
      <c r="N2812">
        <v>30</v>
      </c>
      <c r="O2812">
        <v>0</v>
      </c>
      <c r="P2812">
        <v>0</v>
      </c>
      <c r="Q2812">
        <v>0</v>
      </c>
      <c r="R2812">
        <v>0</v>
      </c>
      <c r="S2812">
        <v>0</v>
      </c>
      <c r="T2812">
        <v>0</v>
      </c>
      <c r="U2812">
        <v>0</v>
      </c>
      <c r="V2812">
        <v>0</v>
      </c>
      <c r="W2812">
        <v>0</v>
      </c>
      <c r="X2812">
        <v>0</v>
      </c>
      <c r="Z2812">
        <v>0</v>
      </c>
      <c r="AA2812">
        <v>0</v>
      </c>
      <c r="AB2812">
        <v>0</v>
      </c>
      <c r="AC2812">
        <v>0</v>
      </c>
      <c r="AD2812" t="s">
        <v>5512</v>
      </c>
    </row>
    <row r="2813" spans="1:30" x14ac:dyDescent="0.25">
      <c r="H2813" t="s">
        <v>5513</v>
      </c>
    </row>
    <row r="2814" spans="1:30" x14ac:dyDescent="0.25">
      <c r="A2814">
        <v>1404</v>
      </c>
      <c r="B2814">
        <v>1080</v>
      </c>
      <c r="C2814" t="s">
        <v>5514</v>
      </c>
      <c r="D2814" t="s">
        <v>5514</v>
      </c>
      <c r="E2814" t="s">
        <v>389</v>
      </c>
      <c r="F2814" t="s">
        <v>5515</v>
      </c>
      <c r="G2814" t="str">
        <f>"200910000763"</f>
        <v>200910000763</v>
      </c>
      <c r="H2814" t="s">
        <v>2703</v>
      </c>
      <c r="I2814">
        <v>0</v>
      </c>
      <c r="J2814">
        <v>0</v>
      </c>
      <c r="K2814">
        <v>0</v>
      </c>
      <c r="L2814">
        <v>0</v>
      </c>
      <c r="M2814">
        <v>0</v>
      </c>
      <c r="N2814">
        <v>70</v>
      </c>
      <c r="O2814">
        <v>0</v>
      </c>
      <c r="P2814">
        <v>0</v>
      </c>
      <c r="Q2814">
        <v>0</v>
      </c>
      <c r="R2814">
        <v>0</v>
      </c>
      <c r="S2814">
        <v>0</v>
      </c>
      <c r="T2814">
        <v>0</v>
      </c>
      <c r="U2814">
        <v>0</v>
      </c>
      <c r="V2814">
        <v>0</v>
      </c>
      <c r="W2814">
        <v>0</v>
      </c>
      <c r="X2814">
        <v>0</v>
      </c>
      <c r="Z2814">
        <v>0</v>
      </c>
      <c r="AA2814">
        <v>0</v>
      </c>
      <c r="AB2814">
        <v>0</v>
      </c>
      <c r="AC2814">
        <v>0</v>
      </c>
      <c r="AD2814" t="s">
        <v>5516</v>
      </c>
    </row>
    <row r="2815" spans="1:30" x14ac:dyDescent="0.25">
      <c r="H2815" t="s">
        <v>4606</v>
      </c>
    </row>
    <row r="2816" spans="1:30" x14ac:dyDescent="0.25">
      <c r="A2816">
        <v>1405</v>
      </c>
      <c r="B2816">
        <v>4306</v>
      </c>
      <c r="C2816" t="s">
        <v>5517</v>
      </c>
      <c r="D2816" t="s">
        <v>102</v>
      </c>
      <c r="E2816" t="s">
        <v>5518</v>
      </c>
      <c r="F2816" t="s">
        <v>5519</v>
      </c>
      <c r="G2816" t="str">
        <f>"00360234"</f>
        <v>00360234</v>
      </c>
      <c r="H2816">
        <v>726</v>
      </c>
      <c r="I2816">
        <v>0</v>
      </c>
      <c r="J2816">
        <v>0</v>
      </c>
      <c r="K2816">
        <v>0</v>
      </c>
      <c r="L2816">
        <v>0</v>
      </c>
      <c r="M2816">
        <v>0</v>
      </c>
      <c r="N2816">
        <v>30</v>
      </c>
      <c r="O2816">
        <v>0</v>
      </c>
      <c r="P2816">
        <v>0</v>
      </c>
      <c r="Q2816">
        <v>0</v>
      </c>
      <c r="R2816">
        <v>0</v>
      </c>
      <c r="S2816">
        <v>0</v>
      </c>
      <c r="T2816">
        <v>0</v>
      </c>
      <c r="U2816">
        <v>0</v>
      </c>
      <c r="V2816">
        <v>0</v>
      </c>
      <c r="W2816">
        <v>0</v>
      </c>
      <c r="X2816">
        <v>0</v>
      </c>
      <c r="Z2816">
        <v>0</v>
      </c>
      <c r="AA2816">
        <v>0</v>
      </c>
      <c r="AB2816">
        <v>0</v>
      </c>
      <c r="AC2816">
        <v>0</v>
      </c>
      <c r="AD2816">
        <v>756</v>
      </c>
    </row>
    <row r="2817" spans="1:30" x14ac:dyDescent="0.25">
      <c r="H2817" t="s">
        <v>301</v>
      </c>
    </row>
    <row r="2818" spans="1:30" x14ac:dyDescent="0.25">
      <c r="A2818">
        <v>1406</v>
      </c>
      <c r="B2818">
        <v>3924</v>
      </c>
      <c r="C2818" t="s">
        <v>5520</v>
      </c>
      <c r="D2818" t="s">
        <v>444</v>
      </c>
      <c r="E2818" t="s">
        <v>28</v>
      </c>
      <c r="F2818" t="s">
        <v>5521</v>
      </c>
      <c r="G2818" t="str">
        <f>"00358694"</f>
        <v>00358694</v>
      </c>
      <c r="H2818" t="s">
        <v>950</v>
      </c>
      <c r="I2818">
        <v>0</v>
      </c>
      <c r="J2818">
        <v>0</v>
      </c>
      <c r="K2818">
        <v>0</v>
      </c>
      <c r="L2818">
        <v>0</v>
      </c>
      <c r="M2818">
        <v>0</v>
      </c>
      <c r="N2818">
        <v>70</v>
      </c>
      <c r="O2818">
        <v>0</v>
      </c>
      <c r="P2818">
        <v>0</v>
      </c>
      <c r="Q2818">
        <v>0</v>
      </c>
      <c r="R2818">
        <v>0</v>
      </c>
      <c r="S2818">
        <v>0</v>
      </c>
      <c r="T2818">
        <v>0</v>
      </c>
      <c r="U2818">
        <v>0</v>
      </c>
      <c r="V2818">
        <v>5</v>
      </c>
      <c r="W2818">
        <v>35</v>
      </c>
      <c r="X2818">
        <v>0</v>
      </c>
      <c r="Z2818">
        <v>0</v>
      </c>
      <c r="AA2818">
        <v>0</v>
      </c>
      <c r="AB2818">
        <v>0</v>
      </c>
      <c r="AC2818">
        <v>0</v>
      </c>
      <c r="AD2818" t="s">
        <v>5522</v>
      </c>
    </row>
    <row r="2819" spans="1:30" x14ac:dyDescent="0.25">
      <c r="H2819" t="s">
        <v>5523</v>
      </c>
    </row>
    <row r="2820" spans="1:30" x14ac:dyDescent="0.25">
      <c r="A2820">
        <v>1407</v>
      </c>
      <c r="B2820">
        <v>5002</v>
      </c>
      <c r="C2820" t="s">
        <v>5524</v>
      </c>
      <c r="D2820" t="s">
        <v>181</v>
      </c>
      <c r="E2820" t="s">
        <v>120</v>
      </c>
      <c r="F2820" t="s">
        <v>5525</v>
      </c>
      <c r="G2820" t="str">
        <f>"00289879"</f>
        <v>00289879</v>
      </c>
      <c r="H2820" t="s">
        <v>3311</v>
      </c>
      <c r="I2820">
        <v>0</v>
      </c>
      <c r="J2820">
        <v>0</v>
      </c>
      <c r="K2820">
        <v>0</v>
      </c>
      <c r="L2820">
        <v>0</v>
      </c>
      <c r="M2820">
        <v>0</v>
      </c>
      <c r="N2820">
        <v>30</v>
      </c>
      <c r="O2820">
        <v>0</v>
      </c>
      <c r="P2820">
        <v>0</v>
      </c>
      <c r="Q2820">
        <v>0</v>
      </c>
      <c r="R2820">
        <v>0</v>
      </c>
      <c r="S2820">
        <v>0</v>
      </c>
      <c r="T2820">
        <v>0</v>
      </c>
      <c r="U2820">
        <v>0</v>
      </c>
      <c r="V2820">
        <v>0</v>
      </c>
      <c r="W2820">
        <v>0</v>
      </c>
      <c r="X2820">
        <v>0</v>
      </c>
      <c r="Z2820">
        <v>0</v>
      </c>
      <c r="AA2820">
        <v>0</v>
      </c>
      <c r="AB2820">
        <v>5</v>
      </c>
      <c r="AC2820">
        <v>85</v>
      </c>
      <c r="AD2820" t="s">
        <v>5526</v>
      </c>
    </row>
    <row r="2821" spans="1:30" x14ac:dyDescent="0.25">
      <c r="H2821" t="s">
        <v>5527</v>
      </c>
    </row>
    <row r="2822" spans="1:30" x14ac:dyDescent="0.25">
      <c r="A2822">
        <v>1408</v>
      </c>
      <c r="B2822">
        <v>1380</v>
      </c>
      <c r="C2822" t="s">
        <v>5528</v>
      </c>
      <c r="D2822" t="s">
        <v>120</v>
      </c>
      <c r="E2822" t="s">
        <v>445</v>
      </c>
      <c r="F2822" t="s">
        <v>5529</v>
      </c>
      <c r="G2822" t="str">
        <f>"00198691"</f>
        <v>00198691</v>
      </c>
      <c r="H2822">
        <v>704</v>
      </c>
      <c r="I2822">
        <v>0</v>
      </c>
      <c r="J2822">
        <v>0</v>
      </c>
      <c r="K2822">
        <v>0</v>
      </c>
      <c r="L2822">
        <v>0</v>
      </c>
      <c r="M2822">
        <v>0</v>
      </c>
      <c r="N2822">
        <v>50</v>
      </c>
      <c r="O2822">
        <v>0</v>
      </c>
      <c r="P2822">
        <v>0</v>
      </c>
      <c r="Q2822">
        <v>0</v>
      </c>
      <c r="R2822">
        <v>0</v>
      </c>
      <c r="S2822">
        <v>0</v>
      </c>
      <c r="T2822">
        <v>0</v>
      </c>
      <c r="U2822">
        <v>0</v>
      </c>
      <c r="V2822">
        <v>0</v>
      </c>
      <c r="W2822">
        <v>0</v>
      </c>
      <c r="X2822">
        <v>0</v>
      </c>
      <c r="Z2822">
        <v>2</v>
      </c>
      <c r="AA2822">
        <v>0</v>
      </c>
      <c r="AB2822">
        <v>0</v>
      </c>
      <c r="AC2822">
        <v>0</v>
      </c>
      <c r="AD2822">
        <v>754</v>
      </c>
    </row>
    <row r="2823" spans="1:30" x14ac:dyDescent="0.25">
      <c r="H2823" t="s">
        <v>1204</v>
      </c>
    </row>
    <row r="2824" spans="1:30" x14ac:dyDescent="0.25">
      <c r="A2824">
        <v>1409</v>
      </c>
      <c r="B2824">
        <v>5273</v>
      </c>
      <c r="C2824" t="s">
        <v>5530</v>
      </c>
      <c r="D2824" t="s">
        <v>102</v>
      </c>
      <c r="E2824" t="s">
        <v>347</v>
      </c>
      <c r="F2824" t="s">
        <v>5531</v>
      </c>
      <c r="G2824" t="str">
        <f>"201406003251"</f>
        <v>201406003251</v>
      </c>
      <c r="H2824" t="s">
        <v>521</v>
      </c>
      <c r="I2824">
        <v>0</v>
      </c>
      <c r="J2824">
        <v>0</v>
      </c>
      <c r="K2824">
        <v>0</v>
      </c>
      <c r="L2824">
        <v>0</v>
      </c>
      <c r="M2824">
        <v>0</v>
      </c>
      <c r="N2824">
        <v>30</v>
      </c>
      <c r="O2824">
        <v>0</v>
      </c>
      <c r="P2824">
        <v>0</v>
      </c>
      <c r="Q2824">
        <v>0</v>
      </c>
      <c r="R2824">
        <v>0</v>
      </c>
      <c r="S2824">
        <v>0</v>
      </c>
      <c r="T2824">
        <v>0</v>
      </c>
      <c r="U2824">
        <v>0</v>
      </c>
      <c r="V2824">
        <v>0</v>
      </c>
      <c r="W2824">
        <v>0</v>
      </c>
      <c r="X2824">
        <v>0</v>
      </c>
      <c r="Z2824">
        <v>0</v>
      </c>
      <c r="AA2824">
        <v>0</v>
      </c>
      <c r="AB2824">
        <v>0</v>
      </c>
      <c r="AC2824">
        <v>0</v>
      </c>
      <c r="AD2824" t="s">
        <v>5532</v>
      </c>
    </row>
    <row r="2825" spans="1:30" x14ac:dyDescent="0.25">
      <c r="H2825" t="s">
        <v>5533</v>
      </c>
    </row>
    <row r="2826" spans="1:30" x14ac:dyDescent="0.25">
      <c r="A2826">
        <v>1410</v>
      </c>
      <c r="B2826">
        <v>2999</v>
      </c>
      <c r="C2826" t="s">
        <v>5534</v>
      </c>
      <c r="D2826" t="s">
        <v>102</v>
      </c>
      <c r="E2826" t="s">
        <v>167</v>
      </c>
      <c r="F2826" t="s">
        <v>5535</v>
      </c>
      <c r="G2826" t="str">
        <f>"00368394"</f>
        <v>00368394</v>
      </c>
      <c r="H2826" t="s">
        <v>1915</v>
      </c>
      <c r="I2826">
        <v>0</v>
      </c>
      <c r="J2826">
        <v>0</v>
      </c>
      <c r="K2826">
        <v>0</v>
      </c>
      <c r="L2826">
        <v>0</v>
      </c>
      <c r="M2826">
        <v>0</v>
      </c>
      <c r="N2826">
        <v>0</v>
      </c>
      <c r="O2826">
        <v>0</v>
      </c>
      <c r="P2826">
        <v>0</v>
      </c>
      <c r="Q2826">
        <v>0</v>
      </c>
      <c r="R2826">
        <v>0</v>
      </c>
      <c r="S2826">
        <v>0</v>
      </c>
      <c r="T2826">
        <v>0</v>
      </c>
      <c r="U2826">
        <v>0</v>
      </c>
      <c r="V2826">
        <v>2</v>
      </c>
      <c r="W2826">
        <v>14</v>
      </c>
      <c r="X2826">
        <v>0</v>
      </c>
      <c r="Z2826">
        <v>1</v>
      </c>
      <c r="AA2826">
        <v>0</v>
      </c>
      <c r="AB2826">
        <v>0</v>
      </c>
      <c r="AC2826">
        <v>0</v>
      </c>
      <c r="AD2826" t="s">
        <v>5536</v>
      </c>
    </row>
    <row r="2827" spans="1:30" x14ac:dyDescent="0.25">
      <c r="H2827" t="s">
        <v>5537</v>
      </c>
    </row>
    <row r="2828" spans="1:30" x14ac:dyDescent="0.25">
      <c r="A2828">
        <v>1411</v>
      </c>
      <c r="B2828">
        <v>1958</v>
      </c>
      <c r="C2828" t="s">
        <v>5538</v>
      </c>
      <c r="D2828" t="s">
        <v>830</v>
      </c>
      <c r="E2828" t="s">
        <v>102</v>
      </c>
      <c r="F2828" t="s">
        <v>5539</v>
      </c>
      <c r="G2828" t="str">
        <f>"00310220"</f>
        <v>00310220</v>
      </c>
      <c r="H2828" t="s">
        <v>1734</v>
      </c>
      <c r="I2828">
        <v>0</v>
      </c>
      <c r="J2828">
        <v>0</v>
      </c>
      <c r="K2828">
        <v>0</v>
      </c>
      <c r="L2828">
        <v>0</v>
      </c>
      <c r="M2828">
        <v>0</v>
      </c>
      <c r="N2828">
        <v>50</v>
      </c>
      <c r="O2828">
        <v>0</v>
      </c>
      <c r="P2828">
        <v>50</v>
      </c>
      <c r="Q2828">
        <v>0</v>
      </c>
      <c r="R2828">
        <v>0</v>
      </c>
      <c r="S2828">
        <v>0</v>
      </c>
      <c r="T2828">
        <v>0</v>
      </c>
      <c r="U2828">
        <v>0</v>
      </c>
      <c r="V2828">
        <v>0</v>
      </c>
      <c r="W2828">
        <v>0</v>
      </c>
      <c r="X2828">
        <v>0</v>
      </c>
      <c r="Z2828">
        <v>2</v>
      </c>
      <c r="AA2828">
        <v>0</v>
      </c>
      <c r="AB2828">
        <v>0</v>
      </c>
      <c r="AC2828">
        <v>0</v>
      </c>
      <c r="AD2828" t="s">
        <v>5540</v>
      </c>
    </row>
    <row r="2829" spans="1:30" x14ac:dyDescent="0.25">
      <c r="H2829" t="s">
        <v>5541</v>
      </c>
    </row>
    <row r="2830" spans="1:30" x14ac:dyDescent="0.25">
      <c r="A2830">
        <v>1412</v>
      </c>
      <c r="B2830">
        <v>2289</v>
      </c>
      <c r="C2830" t="s">
        <v>5542</v>
      </c>
      <c r="D2830" t="s">
        <v>5543</v>
      </c>
      <c r="E2830" t="s">
        <v>5544</v>
      </c>
      <c r="F2830" t="s">
        <v>5545</v>
      </c>
      <c r="G2830" t="str">
        <f>"00315803"</f>
        <v>00315803</v>
      </c>
      <c r="H2830" t="s">
        <v>137</v>
      </c>
      <c r="I2830">
        <v>0</v>
      </c>
      <c r="J2830">
        <v>0</v>
      </c>
      <c r="K2830">
        <v>0</v>
      </c>
      <c r="L2830">
        <v>0</v>
      </c>
      <c r="M2830">
        <v>0</v>
      </c>
      <c r="N2830">
        <v>30</v>
      </c>
      <c r="O2830">
        <v>0</v>
      </c>
      <c r="P2830">
        <v>0</v>
      </c>
      <c r="Q2830">
        <v>0</v>
      </c>
      <c r="R2830">
        <v>0</v>
      </c>
      <c r="S2830">
        <v>0</v>
      </c>
      <c r="T2830">
        <v>0</v>
      </c>
      <c r="U2830">
        <v>0</v>
      </c>
      <c r="V2830">
        <v>0</v>
      </c>
      <c r="W2830">
        <v>0</v>
      </c>
      <c r="X2830">
        <v>0</v>
      </c>
      <c r="Z2830">
        <v>0</v>
      </c>
      <c r="AA2830">
        <v>0</v>
      </c>
      <c r="AB2830">
        <v>0</v>
      </c>
      <c r="AC2830">
        <v>0</v>
      </c>
      <c r="AD2830" t="s">
        <v>5546</v>
      </c>
    </row>
    <row r="2831" spans="1:30" x14ac:dyDescent="0.25">
      <c r="H2831" t="s">
        <v>5547</v>
      </c>
    </row>
    <row r="2832" spans="1:30" x14ac:dyDescent="0.25">
      <c r="A2832">
        <v>1413</v>
      </c>
      <c r="B2832">
        <v>2179</v>
      </c>
      <c r="C2832" t="s">
        <v>5548</v>
      </c>
      <c r="D2832" t="s">
        <v>866</v>
      </c>
      <c r="E2832" t="s">
        <v>368</v>
      </c>
      <c r="F2832" t="s">
        <v>5549</v>
      </c>
      <c r="G2832" t="str">
        <f>"201412005195"</f>
        <v>201412005195</v>
      </c>
      <c r="H2832" t="s">
        <v>1986</v>
      </c>
      <c r="I2832">
        <v>0</v>
      </c>
      <c r="J2832">
        <v>0</v>
      </c>
      <c r="K2832">
        <v>0</v>
      </c>
      <c r="L2832">
        <v>0</v>
      </c>
      <c r="M2832">
        <v>0</v>
      </c>
      <c r="N2832">
        <v>0</v>
      </c>
      <c r="O2832">
        <v>0</v>
      </c>
      <c r="P2832">
        <v>0</v>
      </c>
      <c r="Q2832">
        <v>0</v>
      </c>
      <c r="R2832">
        <v>0</v>
      </c>
      <c r="S2832">
        <v>0</v>
      </c>
      <c r="T2832">
        <v>0</v>
      </c>
      <c r="U2832">
        <v>0</v>
      </c>
      <c r="V2832">
        <v>14</v>
      </c>
      <c r="W2832">
        <v>98</v>
      </c>
      <c r="X2832">
        <v>0</v>
      </c>
      <c r="Z2832">
        <v>0</v>
      </c>
      <c r="AA2832">
        <v>0</v>
      </c>
      <c r="AB2832">
        <v>0</v>
      </c>
      <c r="AC2832">
        <v>0</v>
      </c>
      <c r="AD2832" t="s">
        <v>5550</v>
      </c>
    </row>
    <row r="2833" spans="1:30" x14ac:dyDescent="0.25">
      <c r="H2833" t="s">
        <v>5551</v>
      </c>
    </row>
    <row r="2834" spans="1:30" x14ac:dyDescent="0.25">
      <c r="A2834">
        <v>1414</v>
      </c>
      <c r="B2834">
        <v>919</v>
      </c>
      <c r="C2834" t="s">
        <v>5552</v>
      </c>
      <c r="D2834" t="s">
        <v>57</v>
      </c>
      <c r="E2834" t="s">
        <v>28</v>
      </c>
      <c r="F2834" t="s">
        <v>5553</v>
      </c>
      <c r="G2834" t="str">
        <f>"00298217"</f>
        <v>00298217</v>
      </c>
      <c r="H2834" t="s">
        <v>66</v>
      </c>
      <c r="I2834">
        <v>0</v>
      </c>
      <c r="J2834">
        <v>0</v>
      </c>
      <c r="K2834">
        <v>0</v>
      </c>
      <c r="L2834">
        <v>0</v>
      </c>
      <c r="M2834">
        <v>0</v>
      </c>
      <c r="N2834">
        <v>0</v>
      </c>
      <c r="O2834">
        <v>0</v>
      </c>
      <c r="P2834">
        <v>0</v>
      </c>
      <c r="Q2834">
        <v>0</v>
      </c>
      <c r="R2834">
        <v>0</v>
      </c>
      <c r="S2834">
        <v>0</v>
      </c>
      <c r="T2834">
        <v>0</v>
      </c>
      <c r="U2834">
        <v>0</v>
      </c>
      <c r="V2834">
        <v>2</v>
      </c>
      <c r="W2834">
        <v>14</v>
      </c>
      <c r="X2834">
        <v>0</v>
      </c>
      <c r="Z2834">
        <v>0</v>
      </c>
      <c r="AA2834">
        <v>0</v>
      </c>
      <c r="AB2834">
        <v>0</v>
      </c>
      <c r="AC2834">
        <v>0</v>
      </c>
      <c r="AD2834" t="s">
        <v>5554</v>
      </c>
    </row>
    <row r="2835" spans="1:30" x14ac:dyDescent="0.25">
      <c r="H2835" t="s">
        <v>5555</v>
      </c>
    </row>
    <row r="2836" spans="1:30" x14ac:dyDescent="0.25">
      <c r="A2836">
        <v>1415</v>
      </c>
      <c r="B2836">
        <v>5789</v>
      </c>
      <c r="C2836" t="s">
        <v>5556</v>
      </c>
      <c r="D2836" t="s">
        <v>1480</v>
      </c>
      <c r="E2836" t="s">
        <v>49</v>
      </c>
      <c r="F2836" t="s">
        <v>5557</v>
      </c>
      <c r="G2836" t="str">
        <f>"201402011397"</f>
        <v>201402011397</v>
      </c>
      <c r="H2836" t="s">
        <v>144</v>
      </c>
      <c r="I2836">
        <v>0</v>
      </c>
      <c r="J2836">
        <v>0</v>
      </c>
      <c r="K2836">
        <v>0</v>
      </c>
      <c r="L2836">
        <v>0</v>
      </c>
      <c r="M2836">
        <v>0</v>
      </c>
      <c r="N2836">
        <v>0</v>
      </c>
      <c r="O2836">
        <v>30</v>
      </c>
      <c r="P2836">
        <v>0</v>
      </c>
      <c r="Q2836">
        <v>0</v>
      </c>
      <c r="R2836">
        <v>0</v>
      </c>
      <c r="S2836">
        <v>0</v>
      </c>
      <c r="T2836">
        <v>0</v>
      </c>
      <c r="U2836">
        <v>0</v>
      </c>
      <c r="V2836">
        <v>0</v>
      </c>
      <c r="W2836">
        <v>0</v>
      </c>
      <c r="X2836">
        <v>0</v>
      </c>
      <c r="Z2836">
        <v>0</v>
      </c>
      <c r="AA2836">
        <v>0</v>
      </c>
      <c r="AB2836">
        <v>0</v>
      </c>
      <c r="AC2836">
        <v>0</v>
      </c>
      <c r="AD2836" t="s">
        <v>5558</v>
      </c>
    </row>
    <row r="2837" spans="1:30" x14ac:dyDescent="0.25">
      <c r="H2837" t="s">
        <v>5559</v>
      </c>
    </row>
    <row r="2838" spans="1:30" x14ac:dyDescent="0.25">
      <c r="A2838">
        <v>1416</v>
      </c>
      <c r="B2838">
        <v>274</v>
      </c>
      <c r="C2838" t="s">
        <v>1878</v>
      </c>
      <c r="D2838" t="s">
        <v>218</v>
      </c>
      <c r="E2838" t="s">
        <v>5560</v>
      </c>
      <c r="F2838" t="s">
        <v>5561</v>
      </c>
      <c r="G2838" t="str">
        <f>"201510003782"</f>
        <v>201510003782</v>
      </c>
      <c r="H2838" t="s">
        <v>144</v>
      </c>
      <c r="I2838">
        <v>0</v>
      </c>
      <c r="J2838">
        <v>0</v>
      </c>
      <c r="K2838">
        <v>0</v>
      </c>
      <c r="L2838">
        <v>0</v>
      </c>
      <c r="M2838">
        <v>0</v>
      </c>
      <c r="N2838">
        <v>30</v>
      </c>
      <c r="O2838">
        <v>0</v>
      </c>
      <c r="P2838">
        <v>0</v>
      </c>
      <c r="Q2838">
        <v>0</v>
      </c>
      <c r="R2838">
        <v>0</v>
      </c>
      <c r="S2838">
        <v>0</v>
      </c>
      <c r="T2838">
        <v>0</v>
      </c>
      <c r="U2838">
        <v>0</v>
      </c>
      <c r="V2838">
        <v>0</v>
      </c>
      <c r="W2838">
        <v>0</v>
      </c>
      <c r="X2838">
        <v>0</v>
      </c>
      <c r="Z2838">
        <v>0</v>
      </c>
      <c r="AA2838">
        <v>0</v>
      </c>
      <c r="AB2838">
        <v>0</v>
      </c>
      <c r="AC2838">
        <v>0</v>
      </c>
      <c r="AD2838" t="s">
        <v>5558</v>
      </c>
    </row>
    <row r="2839" spans="1:30" x14ac:dyDescent="0.25">
      <c r="H2839" t="s">
        <v>2325</v>
      </c>
    </row>
    <row r="2840" spans="1:30" x14ac:dyDescent="0.25">
      <c r="A2840">
        <v>1417</v>
      </c>
      <c r="B2840">
        <v>5173</v>
      </c>
      <c r="C2840" t="s">
        <v>5562</v>
      </c>
      <c r="D2840" t="s">
        <v>444</v>
      </c>
      <c r="E2840" t="s">
        <v>28</v>
      </c>
      <c r="F2840" t="s">
        <v>5563</v>
      </c>
      <c r="G2840" t="str">
        <f>"00202027"</f>
        <v>00202027</v>
      </c>
      <c r="H2840" t="s">
        <v>1040</v>
      </c>
      <c r="I2840">
        <v>0</v>
      </c>
      <c r="J2840">
        <v>0</v>
      </c>
      <c r="K2840">
        <v>0</v>
      </c>
      <c r="L2840">
        <v>0</v>
      </c>
      <c r="M2840">
        <v>0</v>
      </c>
      <c r="N2840">
        <v>30</v>
      </c>
      <c r="O2840">
        <v>0</v>
      </c>
      <c r="P2840">
        <v>0</v>
      </c>
      <c r="Q2840">
        <v>0</v>
      </c>
      <c r="R2840">
        <v>0</v>
      </c>
      <c r="S2840">
        <v>0</v>
      </c>
      <c r="T2840">
        <v>0</v>
      </c>
      <c r="U2840">
        <v>0</v>
      </c>
      <c r="V2840">
        <v>7</v>
      </c>
      <c r="W2840">
        <v>49</v>
      </c>
      <c r="X2840">
        <v>0</v>
      </c>
      <c r="Z2840">
        <v>0</v>
      </c>
      <c r="AA2840">
        <v>0</v>
      </c>
      <c r="AB2840">
        <v>0</v>
      </c>
      <c r="AC2840">
        <v>0</v>
      </c>
      <c r="AD2840" t="s">
        <v>5564</v>
      </c>
    </row>
    <row r="2841" spans="1:30" x14ac:dyDescent="0.25">
      <c r="H2841" t="s">
        <v>5565</v>
      </c>
    </row>
    <row r="2842" spans="1:30" x14ac:dyDescent="0.25">
      <c r="A2842">
        <v>1418</v>
      </c>
      <c r="B2842">
        <v>1651</v>
      </c>
      <c r="C2842" t="s">
        <v>4442</v>
      </c>
      <c r="D2842" t="s">
        <v>700</v>
      </c>
      <c r="E2842" t="s">
        <v>32</v>
      </c>
      <c r="F2842" t="s">
        <v>5566</v>
      </c>
      <c r="G2842" t="str">
        <f>"201604003833"</f>
        <v>201604003833</v>
      </c>
      <c r="H2842" t="s">
        <v>3464</v>
      </c>
      <c r="I2842">
        <v>0</v>
      </c>
      <c r="J2842">
        <v>0</v>
      </c>
      <c r="K2842">
        <v>0</v>
      </c>
      <c r="L2842">
        <v>0</v>
      </c>
      <c r="M2842">
        <v>0</v>
      </c>
      <c r="N2842">
        <v>30</v>
      </c>
      <c r="O2842">
        <v>0</v>
      </c>
      <c r="P2842">
        <v>0</v>
      </c>
      <c r="Q2842">
        <v>0</v>
      </c>
      <c r="R2842">
        <v>0</v>
      </c>
      <c r="S2842">
        <v>0</v>
      </c>
      <c r="T2842">
        <v>0</v>
      </c>
      <c r="U2842">
        <v>0</v>
      </c>
      <c r="V2842">
        <v>4</v>
      </c>
      <c r="W2842">
        <v>28</v>
      </c>
      <c r="X2842">
        <v>0</v>
      </c>
      <c r="Z2842">
        <v>0</v>
      </c>
      <c r="AA2842">
        <v>0</v>
      </c>
      <c r="AB2842">
        <v>0</v>
      </c>
      <c r="AC2842">
        <v>0</v>
      </c>
      <c r="AD2842" t="s">
        <v>5567</v>
      </c>
    </row>
    <row r="2843" spans="1:30" x14ac:dyDescent="0.25">
      <c r="H2843" t="s">
        <v>5568</v>
      </c>
    </row>
    <row r="2844" spans="1:30" x14ac:dyDescent="0.25">
      <c r="A2844">
        <v>1419</v>
      </c>
      <c r="B2844">
        <v>1594</v>
      </c>
      <c r="C2844" t="s">
        <v>2743</v>
      </c>
      <c r="D2844" t="s">
        <v>2714</v>
      </c>
      <c r="E2844" t="s">
        <v>49</v>
      </c>
      <c r="F2844" t="s">
        <v>5569</v>
      </c>
      <c r="G2844" t="str">
        <f>"00222597"</f>
        <v>00222597</v>
      </c>
      <c r="H2844" t="s">
        <v>3311</v>
      </c>
      <c r="I2844">
        <v>0</v>
      </c>
      <c r="J2844">
        <v>0</v>
      </c>
      <c r="K2844">
        <v>0</v>
      </c>
      <c r="L2844">
        <v>0</v>
      </c>
      <c r="M2844">
        <v>0</v>
      </c>
      <c r="N2844">
        <v>0</v>
      </c>
      <c r="O2844">
        <v>0</v>
      </c>
      <c r="P2844">
        <v>0</v>
      </c>
      <c r="Q2844">
        <v>0</v>
      </c>
      <c r="R2844">
        <v>0</v>
      </c>
      <c r="S2844">
        <v>0</v>
      </c>
      <c r="T2844">
        <v>0</v>
      </c>
      <c r="U2844">
        <v>0</v>
      </c>
      <c r="V2844">
        <v>1</v>
      </c>
      <c r="W2844">
        <v>7</v>
      </c>
      <c r="X2844">
        <v>0</v>
      </c>
      <c r="Z2844">
        <v>2</v>
      </c>
      <c r="AA2844">
        <v>0</v>
      </c>
      <c r="AB2844">
        <v>6</v>
      </c>
      <c r="AC2844">
        <v>102</v>
      </c>
      <c r="AD2844" t="s">
        <v>5570</v>
      </c>
    </row>
    <row r="2845" spans="1:30" x14ac:dyDescent="0.25">
      <c r="H2845" t="s">
        <v>5571</v>
      </c>
    </row>
    <row r="2846" spans="1:30" x14ac:dyDescent="0.25">
      <c r="A2846">
        <v>1420</v>
      </c>
      <c r="B2846">
        <v>2492</v>
      </c>
      <c r="C2846" t="s">
        <v>5572</v>
      </c>
      <c r="D2846" t="s">
        <v>5573</v>
      </c>
      <c r="E2846" t="s">
        <v>5574</v>
      </c>
      <c r="F2846" t="s">
        <v>5575</v>
      </c>
      <c r="G2846" t="str">
        <f>"00323539"</f>
        <v>00323539</v>
      </c>
      <c r="H2846">
        <v>748</v>
      </c>
      <c r="I2846">
        <v>0</v>
      </c>
      <c r="J2846">
        <v>0</v>
      </c>
      <c r="K2846">
        <v>0</v>
      </c>
      <c r="L2846">
        <v>0</v>
      </c>
      <c r="M2846">
        <v>0</v>
      </c>
      <c r="N2846">
        <v>0</v>
      </c>
      <c r="O2846">
        <v>0</v>
      </c>
      <c r="P2846">
        <v>0</v>
      </c>
      <c r="Q2846">
        <v>0</v>
      </c>
      <c r="R2846">
        <v>0</v>
      </c>
      <c r="S2846">
        <v>0</v>
      </c>
      <c r="T2846">
        <v>0</v>
      </c>
      <c r="U2846">
        <v>0</v>
      </c>
      <c r="V2846">
        <v>0</v>
      </c>
      <c r="W2846">
        <v>0</v>
      </c>
      <c r="X2846">
        <v>0</v>
      </c>
      <c r="Z2846">
        <v>0</v>
      </c>
      <c r="AA2846">
        <v>0</v>
      </c>
      <c r="AB2846">
        <v>0</v>
      </c>
      <c r="AC2846">
        <v>0</v>
      </c>
      <c r="AD2846">
        <v>748</v>
      </c>
    </row>
    <row r="2847" spans="1:30" x14ac:dyDescent="0.25">
      <c r="H2847" t="s">
        <v>5576</v>
      </c>
    </row>
    <row r="2848" spans="1:30" x14ac:dyDescent="0.25">
      <c r="A2848">
        <v>1421</v>
      </c>
      <c r="B2848">
        <v>1410</v>
      </c>
      <c r="C2848" t="s">
        <v>5577</v>
      </c>
      <c r="D2848" t="s">
        <v>5578</v>
      </c>
      <c r="E2848" t="s">
        <v>49</v>
      </c>
      <c r="F2848" t="s">
        <v>5579</v>
      </c>
      <c r="G2848" t="str">
        <f>"00147773"</f>
        <v>00147773</v>
      </c>
      <c r="H2848">
        <v>748</v>
      </c>
      <c r="I2848">
        <v>0</v>
      </c>
      <c r="J2848">
        <v>0</v>
      </c>
      <c r="K2848">
        <v>0</v>
      </c>
      <c r="L2848">
        <v>0</v>
      </c>
      <c r="M2848">
        <v>0</v>
      </c>
      <c r="N2848">
        <v>0</v>
      </c>
      <c r="O2848">
        <v>0</v>
      </c>
      <c r="P2848">
        <v>0</v>
      </c>
      <c r="Q2848">
        <v>0</v>
      </c>
      <c r="R2848">
        <v>0</v>
      </c>
      <c r="S2848">
        <v>0</v>
      </c>
      <c r="T2848">
        <v>0</v>
      </c>
      <c r="U2848">
        <v>0</v>
      </c>
      <c r="V2848">
        <v>0</v>
      </c>
      <c r="W2848">
        <v>0</v>
      </c>
      <c r="X2848">
        <v>0</v>
      </c>
      <c r="Z2848">
        <v>0</v>
      </c>
      <c r="AA2848">
        <v>0</v>
      </c>
      <c r="AB2848">
        <v>0</v>
      </c>
      <c r="AC2848">
        <v>0</v>
      </c>
      <c r="AD2848">
        <v>748</v>
      </c>
    </row>
    <row r="2849" spans="1:30" x14ac:dyDescent="0.25">
      <c r="H2849" t="s">
        <v>5580</v>
      </c>
    </row>
    <row r="2850" spans="1:30" x14ac:dyDescent="0.25">
      <c r="A2850">
        <v>1422</v>
      </c>
      <c r="B2850">
        <v>3383</v>
      </c>
      <c r="C2850" t="s">
        <v>5581</v>
      </c>
      <c r="D2850" t="s">
        <v>32</v>
      </c>
      <c r="E2850" t="s">
        <v>389</v>
      </c>
      <c r="F2850" t="s">
        <v>5582</v>
      </c>
      <c r="G2850" t="str">
        <f>"00365087"</f>
        <v>00365087</v>
      </c>
      <c r="H2850" t="s">
        <v>187</v>
      </c>
      <c r="I2850">
        <v>0</v>
      </c>
      <c r="J2850">
        <v>0</v>
      </c>
      <c r="K2850">
        <v>0</v>
      </c>
      <c r="L2850">
        <v>0</v>
      </c>
      <c r="M2850">
        <v>0</v>
      </c>
      <c r="N2850">
        <v>0</v>
      </c>
      <c r="O2850">
        <v>0</v>
      </c>
      <c r="P2850">
        <v>0</v>
      </c>
      <c r="Q2850">
        <v>0</v>
      </c>
      <c r="R2850">
        <v>0</v>
      </c>
      <c r="S2850">
        <v>0</v>
      </c>
      <c r="T2850">
        <v>0</v>
      </c>
      <c r="U2850">
        <v>0</v>
      </c>
      <c r="V2850">
        <v>18</v>
      </c>
      <c r="W2850">
        <v>126</v>
      </c>
      <c r="X2850">
        <v>0</v>
      </c>
      <c r="Z2850">
        <v>0</v>
      </c>
      <c r="AA2850">
        <v>0</v>
      </c>
      <c r="AB2850">
        <v>0</v>
      </c>
      <c r="AC2850">
        <v>0</v>
      </c>
      <c r="AD2850" t="s">
        <v>5583</v>
      </c>
    </row>
    <row r="2851" spans="1:30" x14ac:dyDescent="0.25">
      <c r="H2851" t="s">
        <v>5584</v>
      </c>
    </row>
    <row r="2852" spans="1:30" x14ac:dyDescent="0.25">
      <c r="A2852">
        <v>1423</v>
      </c>
      <c r="B2852">
        <v>1001</v>
      </c>
      <c r="C2852" t="s">
        <v>5585</v>
      </c>
      <c r="D2852" t="s">
        <v>389</v>
      </c>
      <c r="E2852" t="s">
        <v>1506</v>
      </c>
      <c r="F2852" t="s">
        <v>5586</v>
      </c>
      <c r="G2852" t="str">
        <f>"00043333"</f>
        <v>00043333</v>
      </c>
      <c r="H2852" t="s">
        <v>1549</v>
      </c>
      <c r="I2852">
        <v>0</v>
      </c>
      <c r="J2852">
        <v>0</v>
      </c>
      <c r="K2852">
        <v>0</v>
      </c>
      <c r="L2852">
        <v>0</v>
      </c>
      <c r="M2852">
        <v>0</v>
      </c>
      <c r="N2852">
        <v>50</v>
      </c>
      <c r="O2852">
        <v>0</v>
      </c>
      <c r="P2852">
        <v>0</v>
      </c>
      <c r="Q2852">
        <v>0</v>
      </c>
      <c r="R2852">
        <v>0</v>
      </c>
      <c r="S2852">
        <v>0</v>
      </c>
      <c r="T2852">
        <v>0</v>
      </c>
      <c r="U2852">
        <v>0</v>
      </c>
      <c r="V2852">
        <v>0</v>
      </c>
      <c r="W2852">
        <v>0</v>
      </c>
      <c r="X2852">
        <v>0</v>
      </c>
      <c r="Z2852">
        <v>0</v>
      </c>
      <c r="AA2852">
        <v>0</v>
      </c>
      <c r="AB2852">
        <v>0</v>
      </c>
      <c r="AC2852">
        <v>0</v>
      </c>
      <c r="AD2852" t="s">
        <v>5587</v>
      </c>
    </row>
    <row r="2853" spans="1:30" x14ac:dyDescent="0.25">
      <c r="H2853" t="s">
        <v>5588</v>
      </c>
    </row>
    <row r="2854" spans="1:30" x14ac:dyDescent="0.25">
      <c r="A2854">
        <v>1424</v>
      </c>
      <c r="B2854">
        <v>2757</v>
      </c>
      <c r="C2854" t="s">
        <v>5589</v>
      </c>
      <c r="D2854" t="s">
        <v>5590</v>
      </c>
      <c r="E2854" t="s">
        <v>4659</v>
      </c>
      <c r="F2854" t="s">
        <v>5591</v>
      </c>
      <c r="G2854" t="str">
        <f>"00256616"</f>
        <v>00256616</v>
      </c>
      <c r="H2854" t="s">
        <v>1356</v>
      </c>
      <c r="I2854">
        <v>0</v>
      </c>
      <c r="J2854">
        <v>0</v>
      </c>
      <c r="K2854">
        <v>0</v>
      </c>
      <c r="L2854">
        <v>0</v>
      </c>
      <c r="M2854">
        <v>0</v>
      </c>
      <c r="N2854">
        <v>30</v>
      </c>
      <c r="O2854">
        <v>0</v>
      </c>
      <c r="P2854">
        <v>0</v>
      </c>
      <c r="Q2854">
        <v>0</v>
      </c>
      <c r="R2854">
        <v>0</v>
      </c>
      <c r="S2854">
        <v>0</v>
      </c>
      <c r="T2854">
        <v>0</v>
      </c>
      <c r="U2854">
        <v>0</v>
      </c>
      <c r="V2854">
        <v>0</v>
      </c>
      <c r="W2854">
        <v>0</v>
      </c>
      <c r="X2854">
        <v>0</v>
      </c>
      <c r="Z2854">
        <v>0</v>
      </c>
      <c r="AA2854">
        <v>0</v>
      </c>
      <c r="AB2854">
        <v>0</v>
      </c>
      <c r="AC2854">
        <v>0</v>
      </c>
      <c r="AD2854" t="s">
        <v>5592</v>
      </c>
    </row>
    <row r="2855" spans="1:30" x14ac:dyDescent="0.25">
      <c r="H2855" t="s">
        <v>5593</v>
      </c>
    </row>
    <row r="2856" spans="1:30" x14ac:dyDescent="0.25">
      <c r="A2856">
        <v>1425</v>
      </c>
      <c r="B2856">
        <v>4334</v>
      </c>
      <c r="C2856" t="s">
        <v>5594</v>
      </c>
      <c r="D2856" t="s">
        <v>5595</v>
      </c>
      <c r="E2856" t="s">
        <v>28</v>
      </c>
      <c r="F2856" t="s">
        <v>5596</v>
      </c>
      <c r="G2856" t="str">
        <f>"00312403"</f>
        <v>00312403</v>
      </c>
      <c r="H2856" t="s">
        <v>1356</v>
      </c>
      <c r="I2856">
        <v>0</v>
      </c>
      <c r="J2856">
        <v>0</v>
      </c>
      <c r="K2856">
        <v>0</v>
      </c>
      <c r="L2856">
        <v>0</v>
      </c>
      <c r="M2856">
        <v>0</v>
      </c>
      <c r="N2856">
        <v>30</v>
      </c>
      <c r="O2856">
        <v>0</v>
      </c>
      <c r="P2856">
        <v>0</v>
      </c>
      <c r="Q2856">
        <v>0</v>
      </c>
      <c r="R2856">
        <v>0</v>
      </c>
      <c r="S2856">
        <v>0</v>
      </c>
      <c r="T2856">
        <v>0</v>
      </c>
      <c r="U2856">
        <v>0</v>
      </c>
      <c r="V2856">
        <v>0</v>
      </c>
      <c r="W2856">
        <v>0</v>
      </c>
      <c r="X2856">
        <v>0</v>
      </c>
      <c r="Z2856">
        <v>0</v>
      </c>
      <c r="AA2856">
        <v>0</v>
      </c>
      <c r="AB2856">
        <v>0</v>
      </c>
      <c r="AC2856">
        <v>0</v>
      </c>
      <c r="AD2856" t="s">
        <v>5592</v>
      </c>
    </row>
    <row r="2857" spans="1:30" x14ac:dyDescent="0.25">
      <c r="H2857" t="s">
        <v>5597</v>
      </c>
    </row>
    <row r="2858" spans="1:30" x14ac:dyDescent="0.25">
      <c r="A2858">
        <v>1426</v>
      </c>
      <c r="B2858">
        <v>4857</v>
      </c>
      <c r="C2858" t="s">
        <v>5598</v>
      </c>
      <c r="D2858" t="s">
        <v>40</v>
      </c>
      <c r="E2858" t="s">
        <v>76</v>
      </c>
      <c r="F2858" t="s">
        <v>5599</v>
      </c>
      <c r="G2858" t="str">
        <f>"00127771"</f>
        <v>00127771</v>
      </c>
      <c r="H2858">
        <v>726</v>
      </c>
      <c r="I2858">
        <v>0</v>
      </c>
      <c r="J2858">
        <v>0</v>
      </c>
      <c r="K2858">
        <v>0</v>
      </c>
      <c r="L2858">
        <v>0</v>
      </c>
      <c r="M2858">
        <v>0</v>
      </c>
      <c r="N2858">
        <v>0</v>
      </c>
      <c r="O2858">
        <v>0</v>
      </c>
      <c r="P2858">
        <v>0</v>
      </c>
      <c r="Q2858">
        <v>0</v>
      </c>
      <c r="R2858">
        <v>0</v>
      </c>
      <c r="S2858">
        <v>0</v>
      </c>
      <c r="T2858">
        <v>0</v>
      </c>
      <c r="U2858">
        <v>0</v>
      </c>
      <c r="V2858">
        <v>3</v>
      </c>
      <c r="W2858">
        <v>21</v>
      </c>
      <c r="X2858">
        <v>0</v>
      </c>
      <c r="Z2858">
        <v>0</v>
      </c>
      <c r="AA2858">
        <v>0</v>
      </c>
      <c r="AB2858">
        <v>0</v>
      </c>
      <c r="AC2858">
        <v>0</v>
      </c>
      <c r="AD2858">
        <v>747</v>
      </c>
    </row>
    <row r="2859" spans="1:30" x14ac:dyDescent="0.25">
      <c r="H2859" t="s">
        <v>5600</v>
      </c>
    </row>
    <row r="2860" spans="1:30" x14ac:dyDescent="0.25">
      <c r="A2860">
        <v>1427</v>
      </c>
      <c r="B2860">
        <v>1194</v>
      </c>
      <c r="C2860" t="s">
        <v>5601</v>
      </c>
      <c r="D2860" t="s">
        <v>988</v>
      </c>
      <c r="E2860" t="s">
        <v>76</v>
      </c>
      <c r="F2860" t="s">
        <v>5602</v>
      </c>
      <c r="G2860" t="str">
        <f>"00149920"</f>
        <v>00149920</v>
      </c>
      <c r="H2860" t="s">
        <v>919</v>
      </c>
      <c r="I2860">
        <v>0</v>
      </c>
      <c r="J2860">
        <v>0</v>
      </c>
      <c r="K2860">
        <v>0</v>
      </c>
      <c r="L2860">
        <v>0</v>
      </c>
      <c r="M2860">
        <v>0</v>
      </c>
      <c r="N2860">
        <v>0</v>
      </c>
      <c r="O2860">
        <v>0</v>
      </c>
      <c r="P2860">
        <v>0</v>
      </c>
      <c r="Q2860">
        <v>0</v>
      </c>
      <c r="R2860">
        <v>0</v>
      </c>
      <c r="S2860">
        <v>0</v>
      </c>
      <c r="T2860">
        <v>0</v>
      </c>
      <c r="U2860">
        <v>0</v>
      </c>
      <c r="V2860">
        <v>0</v>
      </c>
      <c r="W2860">
        <v>0</v>
      </c>
      <c r="X2860">
        <v>0</v>
      </c>
      <c r="Z2860">
        <v>2</v>
      </c>
      <c r="AA2860">
        <v>0</v>
      </c>
      <c r="AB2860">
        <v>0</v>
      </c>
      <c r="AC2860">
        <v>0</v>
      </c>
      <c r="AD2860" t="s">
        <v>919</v>
      </c>
    </row>
    <row r="2861" spans="1:30" x14ac:dyDescent="0.25">
      <c r="H2861" t="s">
        <v>5603</v>
      </c>
    </row>
    <row r="2862" spans="1:30" x14ac:dyDescent="0.25">
      <c r="A2862">
        <v>1428</v>
      </c>
      <c r="B2862">
        <v>2281</v>
      </c>
      <c r="C2862" t="s">
        <v>5604</v>
      </c>
      <c r="D2862" t="s">
        <v>57</v>
      </c>
      <c r="E2862" t="s">
        <v>28</v>
      </c>
      <c r="F2862" t="s">
        <v>5605</v>
      </c>
      <c r="G2862" t="str">
        <f>"00291305"</f>
        <v>00291305</v>
      </c>
      <c r="H2862" t="s">
        <v>3871</v>
      </c>
      <c r="I2862">
        <v>0</v>
      </c>
      <c r="J2862">
        <v>0</v>
      </c>
      <c r="K2862">
        <v>0</v>
      </c>
      <c r="L2862">
        <v>0</v>
      </c>
      <c r="M2862">
        <v>0</v>
      </c>
      <c r="N2862">
        <v>30</v>
      </c>
      <c r="O2862">
        <v>0</v>
      </c>
      <c r="P2862">
        <v>0</v>
      </c>
      <c r="Q2862">
        <v>0</v>
      </c>
      <c r="R2862">
        <v>0</v>
      </c>
      <c r="S2862">
        <v>0</v>
      </c>
      <c r="T2862">
        <v>0</v>
      </c>
      <c r="U2862">
        <v>0</v>
      </c>
      <c r="V2862">
        <v>0</v>
      </c>
      <c r="W2862">
        <v>0</v>
      </c>
      <c r="X2862">
        <v>0</v>
      </c>
      <c r="Z2862">
        <v>0</v>
      </c>
      <c r="AA2862">
        <v>0</v>
      </c>
      <c r="AB2862">
        <v>5</v>
      </c>
      <c r="AC2862">
        <v>85</v>
      </c>
      <c r="AD2862" t="s">
        <v>5606</v>
      </c>
    </row>
    <row r="2863" spans="1:30" x14ac:dyDescent="0.25">
      <c r="H2863" t="s">
        <v>570</v>
      </c>
    </row>
    <row r="2864" spans="1:30" x14ac:dyDescent="0.25">
      <c r="A2864">
        <v>1429</v>
      </c>
      <c r="B2864">
        <v>4891</v>
      </c>
      <c r="C2864" t="s">
        <v>5607</v>
      </c>
      <c r="D2864" t="s">
        <v>76</v>
      </c>
      <c r="E2864" t="s">
        <v>32</v>
      </c>
      <c r="F2864" t="s">
        <v>5608</v>
      </c>
      <c r="G2864" t="str">
        <f>"00356910"</f>
        <v>00356910</v>
      </c>
      <c r="H2864" t="s">
        <v>913</v>
      </c>
      <c r="I2864">
        <v>0</v>
      </c>
      <c r="J2864">
        <v>0</v>
      </c>
      <c r="K2864">
        <v>0</v>
      </c>
      <c r="L2864">
        <v>0</v>
      </c>
      <c r="M2864">
        <v>0</v>
      </c>
      <c r="N2864">
        <v>30</v>
      </c>
      <c r="O2864">
        <v>0</v>
      </c>
      <c r="P2864">
        <v>0</v>
      </c>
      <c r="Q2864">
        <v>0</v>
      </c>
      <c r="R2864">
        <v>0</v>
      </c>
      <c r="S2864">
        <v>0</v>
      </c>
      <c r="T2864">
        <v>0</v>
      </c>
      <c r="U2864">
        <v>0</v>
      </c>
      <c r="V2864">
        <v>6</v>
      </c>
      <c r="W2864">
        <v>42</v>
      </c>
      <c r="X2864">
        <v>0</v>
      </c>
      <c r="Z2864">
        <v>2</v>
      </c>
      <c r="AA2864">
        <v>0</v>
      </c>
      <c r="AB2864">
        <v>0</v>
      </c>
      <c r="AC2864">
        <v>0</v>
      </c>
      <c r="AD2864" t="s">
        <v>5609</v>
      </c>
    </row>
    <row r="2865" spans="1:30" x14ac:dyDescent="0.25">
      <c r="H2865" t="s">
        <v>5610</v>
      </c>
    </row>
    <row r="2866" spans="1:30" x14ac:dyDescent="0.25">
      <c r="A2866">
        <v>1430</v>
      </c>
      <c r="B2866">
        <v>4263</v>
      </c>
      <c r="C2866" t="s">
        <v>5611</v>
      </c>
      <c r="D2866" t="s">
        <v>5612</v>
      </c>
      <c r="E2866" t="s">
        <v>107</v>
      </c>
      <c r="F2866" t="s">
        <v>5613</v>
      </c>
      <c r="G2866" t="str">
        <f>"00270419"</f>
        <v>00270419</v>
      </c>
      <c r="H2866">
        <v>715</v>
      </c>
      <c r="I2866">
        <v>0</v>
      </c>
      <c r="J2866">
        <v>0</v>
      </c>
      <c r="K2866">
        <v>0</v>
      </c>
      <c r="L2866">
        <v>0</v>
      </c>
      <c r="M2866">
        <v>0</v>
      </c>
      <c r="N2866">
        <v>30</v>
      </c>
      <c r="O2866">
        <v>0</v>
      </c>
      <c r="P2866">
        <v>0</v>
      </c>
      <c r="Q2866">
        <v>0</v>
      </c>
      <c r="R2866">
        <v>0</v>
      </c>
      <c r="S2866">
        <v>0</v>
      </c>
      <c r="T2866">
        <v>0</v>
      </c>
      <c r="U2866">
        <v>0</v>
      </c>
      <c r="V2866">
        <v>0</v>
      </c>
      <c r="W2866">
        <v>0</v>
      </c>
      <c r="X2866">
        <v>0</v>
      </c>
      <c r="Z2866">
        <v>0</v>
      </c>
      <c r="AA2866">
        <v>0</v>
      </c>
      <c r="AB2866">
        <v>0</v>
      </c>
      <c r="AC2866">
        <v>0</v>
      </c>
      <c r="AD2866">
        <v>745</v>
      </c>
    </row>
    <row r="2867" spans="1:30" x14ac:dyDescent="0.25">
      <c r="H2867" t="s">
        <v>5614</v>
      </c>
    </row>
    <row r="2868" spans="1:30" x14ac:dyDescent="0.25">
      <c r="A2868">
        <v>1431</v>
      </c>
      <c r="B2868">
        <v>5233</v>
      </c>
      <c r="C2868" t="s">
        <v>5598</v>
      </c>
      <c r="D2868" t="s">
        <v>28</v>
      </c>
      <c r="E2868" t="s">
        <v>76</v>
      </c>
      <c r="F2868" t="s">
        <v>5615</v>
      </c>
      <c r="G2868" t="str">
        <f>"00197371"</f>
        <v>00197371</v>
      </c>
      <c r="H2868" t="s">
        <v>1719</v>
      </c>
      <c r="I2868">
        <v>0</v>
      </c>
      <c r="J2868">
        <v>0</v>
      </c>
      <c r="K2868">
        <v>0</v>
      </c>
      <c r="L2868">
        <v>0</v>
      </c>
      <c r="M2868">
        <v>0</v>
      </c>
      <c r="N2868">
        <v>30</v>
      </c>
      <c r="O2868">
        <v>0</v>
      </c>
      <c r="P2868">
        <v>0</v>
      </c>
      <c r="Q2868">
        <v>0</v>
      </c>
      <c r="R2868">
        <v>0</v>
      </c>
      <c r="S2868">
        <v>0</v>
      </c>
      <c r="T2868">
        <v>0</v>
      </c>
      <c r="U2868">
        <v>0</v>
      </c>
      <c r="V2868">
        <v>0</v>
      </c>
      <c r="W2868">
        <v>0</v>
      </c>
      <c r="X2868">
        <v>0</v>
      </c>
      <c r="Z2868">
        <v>0</v>
      </c>
      <c r="AA2868">
        <v>0</v>
      </c>
      <c r="AB2868">
        <v>0</v>
      </c>
      <c r="AC2868">
        <v>0</v>
      </c>
      <c r="AD2868" t="s">
        <v>5616</v>
      </c>
    </row>
    <row r="2869" spans="1:30" x14ac:dyDescent="0.25">
      <c r="H2869" t="s">
        <v>5617</v>
      </c>
    </row>
    <row r="2870" spans="1:30" x14ac:dyDescent="0.25">
      <c r="A2870">
        <v>1432</v>
      </c>
      <c r="B2870">
        <v>1549</v>
      </c>
      <c r="C2870" t="s">
        <v>5618</v>
      </c>
      <c r="D2870" t="s">
        <v>218</v>
      </c>
      <c r="E2870" t="s">
        <v>254</v>
      </c>
      <c r="F2870" t="s">
        <v>5619</v>
      </c>
      <c r="G2870" t="str">
        <f>"00314894"</f>
        <v>00314894</v>
      </c>
      <c r="H2870" t="s">
        <v>1719</v>
      </c>
      <c r="I2870">
        <v>0</v>
      </c>
      <c r="J2870">
        <v>0</v>
      </c>
      <c r="K2870">
        <v>0</v>
      </c>
      <c r="L2870">
        <v>0</v>
      </c>
      <c r="M2870">
        <v>0</v>
      </c>
      <c r="N2870">
        <v>30</v>
      </c>
      <c r="O2870">
        <v>0</v>
      </c>
      <c r="P2870">
        <v>0</v>
      </c>
      <c r="Q2870">
        <v>0</v>
      </c>
      <c r="R2870">
        <v>0</v>
      </c>
      <c r="S2870">
        <v>0</v>
      </c>
      <c r="T2870">
        <v>0</v>
      </c>
      <c r="U2870">
        <v>0</v>
      </c>
      <c r="V2870">
        <v>0</v>
      </c>
      <c r="W2870">
        <v>0</v>
      </c>
      <c r="X2870">
        <v>0</v>
      </c>
      <c r="Z2870">
        <v>0</v>
      </c>
      <c r="AA2870">
        <v>0</v>
      </c>
      <c r="AB2870">
        <v>0</v>
      </c>
      <c r="AC2870">
        <v>0</v>
      </c>
      <c r="AD2870" t="s">
        <v>5616</v>
      </c>
    </row>
    <row r="2871" spans="1:30" x14ac:dyDescent="0.25">
      <c r="H2871" t="s">
        <v>5620</v>
      </c>
    </row>
    <row r="2872" spans="1:30" x14ac:dyDescent="0.25">
      <c r="A2872">
        <v>1433</v>
      </c>
      <c r="B2872">
        <v>3875</v>
      </c>
      <c r="C2872" t="s">
        <v>5621</v>
      </c>
      <c r="D2872" t="s">
        <v>27</v>
      </c>
      <c r="E2872" t="s">
        <v>141</v>
      </c>
      <c r="F2872" t="s">
        <v>5622</v>
      </c>
      <c r="G2872" t="str">
        <f>"00224446"</f>
        <v>00224446</v>
      </c>
      <c r="H2872" t="s">
        <v>591</v>
      </c>
      <c r="I2872">
        <v>0</v>
      </c>
      <c r="J2872">
        <v>0</v>
      </c>
      <c r="K2872">
        <v>0</v>
      </c>
      <c r="L2872">
        <v>0</v>
      </c>
      <c r="M2872">
        <v>0</v>
      </c>
      <c r="N2872">
        <v>30</v>
      </c>
      <c r="O2872">
        <v>0</v>
      </c>
      <c r="P2872">
        <v>0</v>
      </c>
      <c r="Q2872">
        <v>0</v>
      </c>
      <c r="R2872">
        <v>0</v>
      </c>
      <c r="S2872">
        <v>0</v>
      </c>
      <c r="T2872">
        <v>0</v>
      </c>
      <c r="U2872">
        <v>0</v>
      </c>
      <c r="V2872">
        <v>0</v>
      </c>
      <c r="W2872">
        <v>0</v>
      </c>
      <c r="X2872">
        <v>0</v>
      </c>
      <c r="Z2872">
        <v>1</v>
      </c>
      <c r="AA2872">
        <v>0</v>
      </c>
      <c r="AB2872">
        <v>0</v>
      </c>
      <c r="AC2872">
        <v>0</v>
      </c>
      <c r="AD2872" t="s">
        <v>5623</v>
      </c>
    </row>
    <row r="2873" spans="1:30" x14ac:dyDescent="0.25">
      <c r="H2873" t="s">
        <v>4085</v>
      </c>
    </row>
    <row r="2874" spans="1:30" x14ac:dyDescent="0.25">
      <c r="A2874">
        <v>1434</v>
      </c>
      <c r="B2874">
        <v>5004</v>
      </c>
      <c r="C2874" t="s">
        <v>5624</v>
      </c>
      <c r="D2874" t="s">
        <v>70</v>
      </c>
      <c r="E2874" t="s">
        <v>2877</v>
      </c>
      <c r="F2874" t="s">
        <v>5625</v>
      </c>
      <c r="G2874" t="str">
        <f>"201602000097"</f>
        <v>201602000097</v>
      </c>
      <c r="H2874" t="s">
        <v>3510</v>
      </c>
      <c r="I2874">
        <v>0</v>
      </c>
      <c r="J2874">
        <v>0</v>
      </c>
      <c r="K2874">
        <v>0</v>
      </c>
      <c r="L2874">
        <v>0</v>
      </c>
      <c r="M2874">
        <v>0</v>
      </c>
      <c r="N2874">
        <v>30</v>
      </c>
      <c r="O2874">
        <v>0</v>
      </c>
      <c r="P2874">
        <v>0</v>
      </c>
      <c r="Q2874">
        <v>0</v>
      </c>
      <c r="R2874">
        <v>0</v>
      </c>
      <c r="S2874">
        <v>0</v>
      </c>
      <c r="T2874">
        <v>0</v>
      </c>
      <c r="U2874">
        <v>0</v>
      </c>
      <c r="V2874">
        <v>0</v>
      </c>
      <c r="W2874">
        <v>0</v>
      </c>
      <c r="X2874">
        <v>0</v>
      </c>
      <c r="Z2874">
        <v>0</v>
      </c>
      <c r="AA2874">
        <v>0</v>
      </c>
      <c r="AB2874">
        <v>0</v>
      </c>
      <c r="AC2874">
        <v>0</v>
      </c>
      <c r="AD2874" t="s">
        <v>5626</v>
      </c>
    </row>
    <row r="2875" spans="1:30" x14ac:dyDescent="0.25">
      <c r="H2875" t="s">
        <v>5627</v>
      </c>
    </row>
    <row r="2876" spans="1:30" x14ac:dyDescent="0.25">
      <c r="A2876">
        <v>1435</v>
      </c>
      <c r="B2876">
        <v>3191</v>
      </c>
      <c r="C2876" t="s">
        <v>5628</v>
      </c>
      <c r="D2876" t="s">
        <v>1469</v>
      </c>
      <c r="E2876" t="s">
        <v>167</v>
      </c>
      <c r="F2876" t="s">
        <v>5629</v>
      </c>
      <c r="G2876" t="str">
        <f>"201511006689"</f>
        <v>201511006689</v>
      </c>
      <c r="H2876" t="s">
        <v>511</v>
      </c>
      <c r="I2876">
        <v>0</v>
      </c>
      <c r="J2876">
        <v>0</v>
      </c>
      <c r="K2876">
        <v>0</v>
      </c>
      <c r="L2876">
        <v>0</v>
      </c>
      <c r="M2876">
        <v>0</v>
      </c>
      <c r="N2876">
        <v>0</v>
      </c>
      <c r="O2876">
        <v>0</v>
      </c>
      <c r="P2876">
        <v>0</v>
      </c>
      <c r="Q2876">
        <v>0</v>
      </c>
      <c r="R2876">
        <v>0</v>
      </c>
      <c r="S2876">
        <v>0</v>
      </c>
      <c r="T2876">
        <v>0</v>
      </c>
      <c r="U2876">
        <v>0</v>
      </c>
      <c r="V2876">
        <v>5</v>
      </c>
      <c r="W2876">
        <v>35</v>
      </c>
      <c r="X2876">
        <v>0</v>
      </c>
      <c r="Z2876">
        <v>0</v>
      </c>
      <c r="AA2876">
        <v>0</v>
      </c>
      <c r="AB2876">
        <v>0</v>
      </c>
      <c r="AC2876">
        <v>0</v>
      </c>
      <c r="AD2876" t="s">
        <v>5630</v>
      </c>
    </row>
    <row r="2877" spans="1:30" x14ac:dyDescent="0.25">
      <c r="H2877" t="s">
        <v>5631</v>
      </c>
    </row>
    <row r="2878" spans="1:30" x14ac:dyDescent="0.25">
      <c r="A2878">
        <v>1436</v>
      </c>
      <c r="B2878">
        <v>6286</v>
      </c>
      <c r="C2878" t="s">
        <v>5632</v>
      </c>
      <c r="D2878" t="s">
        <v>389</v>
      </c>
      <c r="E2878" t="s">
        <v>28</v>
      </c>
      <c r="F2878" t="s">
        <v>5633</v>
      </c>
      <c r="G2878" t="str">
        <f>"00368401"</f>
        <v>00368401</v>
      </c>
      <c r="H2878" t="s">
        <v>1040</v>
      </c>
      <c r="I2878">
        <v>0</v>
      </c>
      <c r="J2878">
        <v>0</v>
      </c>
      <c r="K2878">
        <v>0</v>
      </c>
      <c r="L2878">
        <v>0</v>
      </c>
      <c r="M2878">
        <v>0</v>
      </c>
      <c r="N2878">
        <v>70</v>
      </c>
      <c r="O2878">
        <v>0</v>
      </c>
      <c r="P2878">
        <v>0</v>
      </c>
      <c r="Q2878">
        <v>0</v>
      </c>
      <c r="R2878">
        <v>0</v>
      </c>
      <c r="S2878">
        <v>0</v>
      </c>
      <c r="T2878">
        <v>0</v>
      </c>
      <c r="U2878">
        <v>0</v>
      </c>
      <c r="V2878">
        <v>0</v>
      </c>
      <c r="W2878">
        <v>0</v>
      </c>
      <c r="X2878">
        <v>0</v>
      </c>
      <c r="Z2878">
        <v>1</v>
      </c>
      <c r="AA2878">
        <v>0</v>
      </c>
      <c r="AB2878">
        <v>0</v>
      </c>
      <c r="AC2878">
        <v>0</v>
      </c>
      <c r="AD2878" t="s">
        <v>5634</v>
      </c>
    </row>
    <row r="2879" spans="1:30" x14ac:dyDescent="0.25">
      <c r="H2879" t="s">
        <v>1327</v>
      </c>
    </row>
    <row r="2880" spans="1:30" x14ac:dyDescent="0.25">
      <c r="A2880">
        <v>1437</v>
      </c>
      <c r="B2880">
        <v>1432</v>
      </c>
      <c r="C2880" t="s">
        <v>5635</v>
      </c>
      <c r="D2880" t="s">
        <v>518</v>
      </c>
      <c r="E2880" t="s">
        <v>120</v>
      </c>
      <c r="F2880" t="s">
        <v>5636</v>
      </c>
      <c r="G2880" t="str">
        <f>"00305940"</f>
        <v>00305940</v>
      </c>
      <c r="H2880" t="s">
        <v>2628</v>
      </c>
      <c r="I2880">
        <v>0</v>
      </c>
      <c r="J2880">
        <v>0</v>
      </c>
      <c r="K2880">
        <v>0</v>
      </c>
      <c r="L2880">
        <v>0</v>
      </c>
      <c r="M2880">
        <v>0</v>
      </c>
      <c r="N2880">
        <v>70</v>
      </c>
      <c r="O2880">
        <v>0</v>
      </c>
      <c r="P2880">
        <v>0</v>
      </c>
      <c r="Q2880">
        <v>0</v>
      </c>
      <c r="R2880">
        <v>0</v>
      </c>
      <c r="S2880">
        <v>0</v>
      </c>
      <c r="T2880">
        <v>0</v>
      </c>
      <c r="U2880">
        <v>0</v>
      </c>
      <c r="V2880">
        <v>0</v>
      </c>
      <c r="W2880">
        <v>0</v>
      </c>
      <c r="X2880">
        <v>0</v>
      </c>
      <c r="Z2880">
        <v>0</v>
      </c>
      <c r="AA2880">
        <v>0</v>
      </c>
      <c r="AB2880">
        <v>0</v>
      </c>
      <c r="AC2880">
        <v>0</v>
      </c>
      <c r="AD2880" t="s">
        <v>5637</v>
      </c>
    </row>
    <row r="2881" spans="1:30" x14ac:dyDescent="0.25">
      <c r="H2881" t="s">
        <v>5638</v>
      </c>
    </row>
    <row r="2882" spans="1:30" x14ac:dyDescent="0.25">
      <c r="A2882">
        <v>1438</v>
      </c>
      <c r="B2882">
        <v>1730</v>
      </c>
      <c r="C2882" t="s">
        <v>5639</v>
      </c>
      <c r="D2882" t="s">
        <v>106</v>
      </c>
      <c r="E2882" t="s">
        <v>120</v>
      </c>
      <c r="F2882" t="s">
        <v>5640</v>
      </c>
      <c r="G2882" t="str">
        <f>"00150320"</f>
        <v>00150320</v>
      </c>
      <c r="H2882" t="s">
        <v>285</v>
      </c>
      <c r="I2882">
        <v>0</v>
      </c>
      <c r="J2882">
        <v>0</v>
      </c>
      <c r="K2882">
        <v>0</v>
      </c>
      <c r="L2882">
        <v>0</v>
      </c>
      <c r="M2882">
        <v>0</v>
      </c>
      <c r="N2882">
        <v>50</v>
      </c>
      <c r="O2882">
        <v>0</v>
      </c>
      <c r="P2882">
        <v>0</v>
      </c>
      <c r="Q2882">
        <v>0</v>
      </c>
      <c r="R2882">
        <v>0</v>
      </c>
      <c r="S2882">
        <v>0</v>
      </c>
      <c r="T2882">
        <v>0</v>
      </c>
      <c r="U2882">
        <v>0</v>
      </c>
      <c r="V2882">
        <v>0</v>
      </c>
      <c r="W2882">
        <v>0</v>
      </c>
      <c r="X2882">
        <v>0</v>
      </c>
      <c r="Z2882">
        <v>0</v>
      </c>
      <c r="AA2882">
        <v>0</v>
      </c>
      <c r="AB2882">
        <v>0</v>
      </c>
      <c r="AC2882">
        <v>0</v>
      </c>
      <c r="AD2882" t="s">
        <v>5641</v>
      </c>
    </row>
    <row r="2883" spans="1:30" x14ac:dyDescent="0.25">
      <c r="H2883" t="s">
        <v>5642</v>
      </c>
    </row>
    <row r="2884" spans="1:30" x14ac:dyDescent="0.25">
      <c r="A2884">
        <v>1439</v>
      </c>
      <c r="B2884">
        <v>4228</v>
      </c>
      <c r="C2884" t="s">
        <v>5643</v>
      </c>
      <c r="D2884" t="s">
        <v>384</v>
      </c>
      <c r="E2884" t="s">
        <v>385</v>
      </c>
      <c r="F2884" t="s">
        <v>5644</v>
      </c>
      <c r="G2884" t="str">
        <f>"00367744"</f>
        <v>00367744</v>
      </c>
      <c r="H2884" t="s">
        <v>2228</v>
      </c>
      <c r="I2884">
        <v>0</v>
      </c>
      <c r="J2884">
        <v>0</v>
      </c>
      <c r="K2884">
        <v>0</v>
      </c>
      <c r="L2884">
        <v>0</v>
      </c>
      <c r="M2884">
        <v>0</v>
      </c>
      <c r="N2884">
        <v>30</v>
      </c>
      <c r="O2884">
        <v>0</v>
      </c>
      <c r="P2884">
        <v>0</v>
      </c>
      <c r="Q2884">
        <v>0</v>
      </c>
      <c r="R2884">
        <v>0</v>
      </c>
      <c r="S2884">
        <v>0</v>
      </c>
      <c r="T2884">
        <v>0</v>
      </c>
      <c r="U2884">
        <v>0</v>
      </c>
      <c r="V2884">
        <v>0</v>
      </c>
      <c r="W2884">
        <v>0</v>
      </c>
      <c r="X2884">
        <v>0</v>
      </c>
      <c r="Z2884">
        <v>1</v>
      </c>
      <c r="AA2884">
        <v>0</v>
      </c>
      <c r="AB2884">
        <v>0</v>
      </c>
      <c r="AC2884">
        <v>0</v>
      </c>
      <c r="AD2884" t="s">
        <v>5645</v>
      </c>
    </row>
    <row r="2885" spans="1:30" x14ac:dyDescent="0.25">
      <c r="H2885" t="s">
        <v>5646</v>
      </c>
    </row>
    <row r="2886" spans="1:30" x14ac:dyDescent="0.25">
      <c r="A2886">
        <v>1440</v>
      </c>
      <c r="B2886">
        <v>3879</v>
      </c>
      <c r="C2886" t="s">
        <v>5647</v>
      </c>
      <c r="D2886" t="s">
        <v>39</v>
      </c>
      <c r="E2886" t="s">
        <v>28</v>
      </c>
      <c r="F2886" t="s">
        <v>5648</v>
      </c>
      <c r="G2886" t="str">
        <f>"201206000116"</f>
        <v>201206000116</v>
      </c>
      <c r="H2886" t="s">
        <v>562</v>
      </c>
      <c r="I2886">
        <v>0</v>
      </c>
      <c r="J2886">
        <v>0</v>
      </c>
      <c r="K2886">
        <v>0</v>
      </c>
      <c r="L2886">
        <v>0</v>
      </c>
      <c r="M2886">
        <v>0</v>
      </c>
      <c r="N2886">
        <v>0</v>
      </c>
      <c r="O2886">
        <v>0</v>
      </c>
      <c r="P2886">
        <v>0</v>
      </c>
      <c r="Q2886">
        <v>0</v>
      </c>
      <c r="R2886">
        <v>0</v>
      </c>
      <c r="S2886">
        <v>0</v>
      </c>
      <c r="T2886">
        <v>0</v>
      </c>
      <c r="U2886">
        <v>0</v>
      </c>
      <c r="V2886">
        <v>0</v>
      </c>
      <c r="W2886">
        <v>0</v>
      </c>
      <c r="X2886">
        <v>0</v>
      </c>
      <c r="Z2886">
        <v>0</v>
      </c>
      <c r="AA2886">
        <v>0</v>
      </c>
      <c r="AB2886">
        <v>0</v>
      </c>
      <c r="AC2886">
        <v>0</v>
      </c>
      <c r="AD2886" t="s">
        <v>562</v>
      </c>
    </row>
    <row r="2887" spans="1:30" x14ac:dyDescent="0.25">
      <c r="H2887" t="s">
        <v>5649</v>
      </c>
    </row>
    <row r="2888" spans="1:30" x14ac:dyDescent="0.25">
      <c r="A2888">
        <v>1441</v>
      </c>
      <c r="B2888">
        <v>4503</v>
      </c>
      <c r="C2888" t="s">
        <v>5650</v>
      </c>
      <c r="D2888" t="s">
        <v>5651</v>
      </c>
      <c r="E2888" t="s">
        <v>32</v>
      </c>
      <c r="F2888" t="s">
        <v>5652</v>
      </c>
      <c r="G2888" t="str">
        <f>"00190056"</f>
        <v>00190056</v>
      </c>
      <c r="H2888">
        <v>737</v>
      </c>
      <c r="I2888">
        <v>0</v>
      </c>
      <c r="J2888">
        <v>0</v>
      </c>
      <c r="K2888">
        <v>0</v>
      </c>
      <c r="L2888">
        <v>0</v>
      </c>
      <c r="M2888">
        <v>0</v>
      </c>
      <c r="N2888">
        <v>0</v>
      </c>
      <c r="O2888">
        <v>0</v>
      </c>
      <c r="P2888">
        <v>0</v>
      </c>
      <c r="Q2888">
        <v>0</v>
      </c>
      <c r="R2888">
        <v>0</v>
      </c>
      <c r="S2888">
        <v>0</v>
      </c>
      <c r="T2888">
        <v>0</v>
      </c>
      <c r="U2888">
        <v>0</v>
      </c>
      <c r="V2888">
        <v>0</v>
      </c>
      <c r="W2888">
        <v>0</v>
      </c>
      <c r="X2888">
        <v>0</v>
      </c>
      <c r="Z2888">
        <v>0</v>
      </c>
      <c r="AA2888">
        <v>0</v>
      </c>
      <c r="AB2888">
        <v>0</v>
      </c>
      <c r="AC2888">
        <v>0</v>
      </c>
      <c r="AD2888">
        <v>737</v>
      </c>
    </row>
    <row r="2889" spans="1:30" x14ac:dyDescent="0.25">
      <c r="H2889" t="s">
        <v>5653</v>
      </c>
    </row>
    <row r="2890" spans="1:30" x14ac:dyDescent="0.25">
      <c r="A2890">
        <v>1442</v>
      </c>
      <c r="B2890">
        <v>2528</v>
      </c>
      <c r="C2890" t="s">
        <v>5654</v>
      </c>
      <c r="D2890" t="s">
        <v>319</v>
      </c>
      <c r="E2890" t="s">
        <v>49</v>
      </c>
      <c r="F2890" t="s">
        <v>5655</v>
      </c>
      <c r="G2890" t="str">
        <f>"00324121"</f>
        <v>00324121</v>
      </c>
      <c r="H2890" t="s">
        <v>248</v>
      </c>
      <c r="I2890">
        <v>0</v>
      </c>
      <c r="J2890">
        <v>0</v>
      </c>
      <c r="K2890">
        <v>0</v>
      </c>
      <c r="L2890">
        <v>0</v>
      </c>
      <c r="M2890">
        <v>0</v>
      </c>
      <c r="N2890">
        <v>50</v>
      </c>
      <c r="O2890">
        <v>0</v>
      </c>
      <c r="P2890">
        <v>0</v>
      </c>
      <c r="Q2890">
        <v>30</v>
      </c>
      <c r="R2890">
        <v>0</v>
      </c>
      <c r="S2890">
        <v>0</v>
      </c>
      <c r="T2890">
        <v>0</v>
      </c>
      <c r="U2890">
        <v>0</v>
      </c>
      <c r="V2890">
        <v>0</v>
      </c>
      <c r="W2890">
        <v>0</v>
      </c>
      <c r="X2890">
        <v>0</v>
      </c>
      <c r="Z2890">
        <v>0</v>
      </c>
      <c r="AA2890">
        <v>0</v>
      </c>
      <c r="AB2890">
        <v>0</v>
      </c>
      <c r="AC2890">
        <v>0</v>
      </c>
      <c r="AD2890" t="s">
        <v>5656</v>
      </c>
    </row>
    <row r="2891" spans="1:30" x14ac:dyDescent="0.25">
      <c r="H2891" t="s">
        <v>5657</v>
      </c>
    </row>
    <row r="2892" spans="1:30" x14ac:dyDescent="0.25">
      <c r="A2892">
        <v>1443</v>
      </c>
      <c r="B2892">
        <v>5555</v>
      </c>
      <c r="C2892" t="s">
        <v>5658</v>
      </c>
      <c r="D2892" t="s">
        <v>368</v>
      </c>
      <c r="E2892" t="s">
        <v>32</v>
      </c>
      <c r="F2892" t="s">
        <v>5659</v>
      </c>
      <c r="G2892" t="str">
        <f>"201604000599"</f>
        <v>201604000599</v>
      </c>
      <c r="H2892" t="s">
        <v>2703</v>
      </c>
      <c r="I2892">
        <v>0</v>
      </c>
      <c r="J2892">
        <v>0</v>
      </c>
      <c r="K2892">
        <v>0</v>
      </c>
      <c r="L2892">
        <v>0</v>
      </c>
      <c r="M2892">
        <v>0</v>
      </c>
      <c r="N2892">
        <v>50</v>
      </c>
      <c r="O2892">
        <v>0</v>
      </c>
      <c r="P2892">
        <v>0</v>
      </c>
      <c r="Q2892">
        <v>0</v>
      </c>
      <c r="R2892">
        <v>0</v>
      </c>
      <c r="S2892">
        <v>0</v>
      </c>
      <c r="T2892">
        <v>0</v>
      </c>
      <c r="U2892">
        <v>0</v>
      </c>
      <c r="V2892">
        <v>0</v>
      </c>
      <c r="W2892">
        <v>0</v>
      </c>
      <c r="X2892">
        <v>0</v>
      </c>
      <c r="Z2892">
        <v>1</v>
      </c>
      <c r="AA2892">
        <v>0</v>
      </c>
      <c r="AB2892">
        <v>0</v>
      </c>
      <c r="AC2892">
        <v>0</v>
      </c>
      <c r="AD2892" t="s">
        <v>5660</v>
      </c>
    </row>
    <row r="2893" spans="1:30" x14ac:dyDescent="0.25">
      <c r="H2893" t="s">
        <v>5661</v>
      </c>
    </row>
    <row r="2894" spans="1:30" x14ac:dyDescent="0.25">
      <c r="A2894">
        <v>1444</v>
      </c>
      <c r="B2894">
        <v>2472</v>
      </c>
      <c r="C2894" t="s">
        <v>5662</v>
      </c>
      <c r="D2894" t="s">
        <v>1016</v>
      </c>
      <c r="E2894" t="s">
        <v>368</v>
      </c>
      <c r="F2894" t="s">
        <v>5663</v>
      </c>
      <c r="G2894" t="str">
        <f>"00207473"</f>
        <v>00207473</v>
      </c>
      <c r="H2894" t="s">
        <v>2703</v>
      </c>
      <c r="I2894">
        <v>0</v>
      </c>
      <c r="J2894">
        <v>0</v>
      </c>
      <c r="K2894">
        <v>0</v>
      </c>
      <c r="L2894">
        <v>0</v>
      </c>
      <c r="M2894">
        <v>0</v>
      </c>
      <c r="N2894">
        <v>50</v>
      </c>
      <c r="O2894">
        <v>0</v>
      </c>
      <c r="P2894">
        <v>0</v>
      </c>
      <c r="Q2894">
        <v>0</v>
      </c>
      <c r="R2894">
        <v>0</v>
      </c>
      <c r="S2894">
        <v>0</v>
      </c>
      <c r="T2894">
        <v>0</v>
      </c>
      <c r="U2894">
        <v>0</v>
      </c>
      <c r="V2894">
        <v>0</v>
      </c>
      <c r="W2894">
        <v>0</v>
      </c>
      <c r="X2894">
        <v>0</v>
      </c>
      <c r="Z2894">
        <v>0</v>
      </c>
      <c r="AA2894">
        <v>0</v>
      </c>
      <c r="AB2894">
        <v>0</v>
      </c>
      <c r="AC2894">
        <v>0</v>
      </c>
      <c r="AD2894" t="s">
        <v>5660</v>
      </c>
    </row>
    <row r="2895" spans="1:30" x14ac:dyDescent="0.25">
      <c r="H2895" t="s">
        <v>5664</v>
      </c>
    </row>
    <row r="2896" spans="1:30" x14ac:dyDescent="0.25">
      <c r="A2896">
        <v>1445</v>
      </c>
      <c r="B2896">
        <v>5616</v>
      </c>
      <c r="C2896" t="s">
        <v>5665</v>
      </c>
      <c r="D2896" t="s">
        <v>2617</v>
      </c>
      <c r="E2896" t="s">
        <v>40</v>
      </c>
      <c r="F2896" t="s">
        <v>5666</v>
      </c>
      <c r="G2896" t="str">
        <f>"00246970"</f>
        <v>00246970</v>
      </c>
      <c r="H2896" t="s">
        <v>913</v>
      </c>
      <c r="I2896">
        <v>0</v>
      </c>
      <c r="J2896">
        <v>0</v>
      </c>
      <c r="K2896">
        <v>0</v>
      </c>
      <c r="L2896">
        <v>0</v>
      </c>
      <c r="M2896">
        <v>0</v>
      </c>
      <c r="N2896">
        <v>0</v>
      </c>
      <c r="O2896">
        <v>0</v>
      </c>
      <c r="P2896">
        <v>0</v>
      </c>
      <c r="Q2896">
        <v>0</v>
      </c>
      <c r="R2896">
        <v>0</v>
      </c>
      <c r="S2896">
        <v>0</v>
      </c>
      <c r="T2896">
        <v>0</v>
      </c>
      <c r="U2896">
        <v>0</v>
      </c>
      <c r="V2896">
        <v>9</v>
      </c>
      <c r="W2896">
        <v>63</v>
      </c>
      <c r="X2896">
        <v>0</v>
      </c>
      <c r="Z2896">
        <v>0</v>
      </c>
      <c r="AA2896">
        <v>0</v>
      </c>
      <c r="AB2896">
        <v>0</v>
      </c>
      <c r="AC2896">
        <v>0</v>
      </c>
      <c r="AD2896" t="s">
        <v>5667</v>
      </c>
    </row>
    <row r="2897" spans="1:30" x14ac:dyDescent="0.25">
      <c r="H2897" t="s">
        <v>5668</v>
      </c>
    </row>
    <row r="2898" spans="1:30" x14ac:dyDescent="0.25">
      <c r="A2898">
        <v>1446</v>
      </c>
      <c r="B2898">
        <v>1061</v>
      </c>
      <c r="C2898" t="s">
        <v>5669</v>
      </c>
      <c r="D2898" t="s">
        <v>315</v>
      </c>
      <c r="E2898" t="s">
        <v>142</v>
      </c>
      <c r="F2898" t="s">
        <v>5670</v>
      </c>
      <c r="G2898" t="str">
        <f>"201410000433"</f>
        <v>201410000433</v>
      </c>
      <c r="H2898" t="s">
        <v>950</v>
      </c>
      <c r="I2898">
        <v>0</v>
      </c>
      <c r="J2898">
        <v>0</v>
      </c>
      <c r="K2898">
        <v>0</v>
      </c>
      <c r="L2898">
        <v>0</v>
      </c>
      <c r="M2898">
        <v>0</v>
      </c>
      <c r="N2898">
        <v>30</v>
      </c>
      <c r="O2898">
        <v>0</v>
      </c>
      <c r="P2898">
        <v>0</v>
      </c>
      <c r="Q2898">
        <v>0</v>
      </c>
      <c r="R2898">
        <v>0</v>
      </c>
      <c r="S2898">
        <v>0</v>
      </c>
      <c r="T2898">
        <v>0</v>
      </c>
      <c r="U2898">
        <v>0</v>
      </c>
      <c r="V2898">
        <v>8</v>
      </c>
      <c r="W2898">
        <v>56</v>
      </c>
      <c r="X2898">
        <v>0</v>
      </c>
      <c r="Z2898">
        <v>2</v>
      </c>
      <c r="AA2898">
        <v>0</v>
      </c>
      <c r="AB2898">
        <v>0</v>
      </c>
      <c r="AC2898">
        <v>0</v>
      </c>
      <c r="AD2898" t="s">
        <v>5671</v>
      </c>
    </row>
    <row r="2899" spans="1:30" x14ac:dyDescent="0.25">
      <c r="H2899" t="s">
        <v>5672</v>
      </c>
    </row>
    <row r="2900" spans="1:30" x14ac:dyDescent="0.25">
      <c r="A2900">
        <v>1447</v>
      </c>
      <c r="B2900">
        <v>5903</v>
      </c>
      <c r="C2900" t="s">
        <v>5673</v>
      </c>
      <c r="D2900" t="s">
        <v>5674</v>
      </c>
      <c r="E2900" t="s">
        <v>255</v>
      </c>
      <c r="F2900" t="s">
        <v>5675</v>
      </c>
      <c r="G2900" t="str">
        <f>"00108777"</f>
        <v>00108777</v>
      </c>
      <c r="H2900" t="s">
        <v>427</v>
      </c>
      <c r="I2900">
        <v>0</v>
      </c>
      <c r="J2900">
        <v>0</v>
      </c>
      <c r="K2900">
        <v>0</v>
      </c>
      <c r="L2900">
        <v>0</v>
      </c>
      <c r="M2900">
        <v>0</v>
      </c>
      <c r="N2900">
        <v>0</v>
      </c>
      <c r="O2900">
        <v>0</v>
      </c>
      <c r="P2900">
        <v>0</v>
      </c>
      <c r="Q2900">
        <v>0</v>
      </c>
      <c r="R2900">
        <v>0</v>
      </c>
      <c r="S2900">
        <v>0</v>
      </c>
      <c r="T2900">
        <v>0</v>
      </c>
      <c r="U2900">
        <v>0</v>
      </c>
      <c r="V2900">
        <v>4</v>
      </c>
      <c r="W2900">
        <v>28</v>
      </c>
      <c r="X2900">
        <v>0</v>
      </c>
      <c r="Z2900">
        <v>2</v>
      </c>
      <c r="AA2900">
        <v>0</v>
      </c>
      <c r="AB2900">
        <v>0</v>
      </c>
      <c r="AC2900">
        <v>0</v>
      </c>
      <c r="AD2900" t="s">
        <v>5676</v>
      </c>
    </row>
    <row r="2901" spans="1:30" x14ac:dyDescent="0.25">
      <c r="H2901" t="s">
        <v>5677</v>
      </c>
    </row>
    <row r="2902" spans="1:30" x14ac:dyDescent="0.25">
      <c r="A2902">
        <v>1448</v>
      </c>
      <c r="B2902">
        <v>432</v>
      </c>
      <c r="C2902" t="s">
        <v>5678</v>
      </c>
      <c r="D2902" t="s">
        <v>4659</v>
      </c>
      <c r="E2902" t="s">
        <v>5679</v>
      </c>
      <c r="F2902" t="s">
        <v>5680</v>
      </c>
      <c r="G2902" t="str">
        <f>"00296321"</f>
        <v>00296321</v>
      </c>
      <c r="H2902" t="s">
        <v>505</v>
      </c>
      <c r="I2902">
        <v>0</v>
      </c>
      <c r="J2902">
        <v>0</v>
      </c>
      <c r="K2902">
        <v>0</v>
      </c>
      <c r="L2902">
        <v>0</v>
      </c>
      <c r="M2902">
        <v>0</v>
      </c>
      <c r="N2902">
        <v>50</v>
      </c>
      <c r="O2902">
        <v>0</v>
      </c>
      <c r="P2902">
        <v>0</v>
      </c>
      <c r="Q2902">
        <v>0</v>
      </c>
      <c r="R2902">
        <v>0</v>
      </c>
      <c r="S2902">
        <v>0</v>
      </c>
      <c r="T2902">
        <v>0</v>
      </c>
      <c r="U2902">
        <v>0</v>
      </c>
      <c r="V2902">
        <v>0</v>
      </c>
      <c r="W2902">
        <v>0</v>
      </c>
      <c r="X2902">
        <v>0</v>
      </c>
      <c r="Z2902">
        <v>0</v>
      </c>
      <c r="AA2902">
        <v>0</v>
      </c>
      <c r="AB2902">
        <v>0</v>
      </c>
      <c r="AC2902">
        <v>0</v>
      </c>
      <c r="AD2902" t="s">
        <v>5676</v>
      </c>
    </row>
    <row r="2903" spans="1:30" x14ac:dyDescent="0.25">
      <c r="H2903" t="s">
        <v>5681</v>
      </c>
    </row>
    <row r="2904" spans="1:30" x14ac:dyDescent="0.25">
      <c r="A2904">
        <v>1449</v>
      </c>
      <c r="B2904">
        <v>4090</v>
      </c>
      <c r="C2904" t="s">
        <v>2340</v>
      </c>
      <c r="D2904" t="s">
        <v>3160</v>
      </c>
      <c r="E2904" t="s">
        <v>77</v>
      </c>
      <c r="F2904" t="s">
        <v>5682</v>
      </c>
      <c r="G2904" t="str">
        <f>"00228809"</f>
        <v>00228809</v>
      </c>
      <c r="H2904" t="s">
        <v>511</v>
      </c>
      <c r="I2904">
        <v>0</v>
      </c>
      <c r="J2904">
        <v>0</v>
      </c>
      <c r="K2904">
        <v>0</v>
      </c>
      <c r="L2904">
        <v>0</v>
      </c>
      <c r="M2904">
        <v>0</v>
      </c>
      <c r="N2904">
        <v>30</v>
      </c>
      <c r="O2904">
        <v>0</v>
      </c>
      <c r="P2904">
        <v>0</v>
      </c>
      <c r="Q2904">
        <v>0</v>
      </c>
      <c r="R2904">
        <v>0</v>
      </c>
      <c r="S2904">
        <v>0</v>
      </c>
      <c r="T2904">
        <v>0</v>
      </c>
      <c r="U2904">
        <v>0</v>
      </c>
      <c r="V2904">
        <v>0</v>
      </c>
      <c r="W2904">
        <v>0</v>
      </c>
      <c r="X2904">
        <v>0</v>
      </c>
      <c r="Z2904">
        <v>0</v>
      </c>
      <c r="AA2904">
        <v>0</v>
      </c>
      <c r="AB2904">
        <v>0</v>
      </c>
      <c r="AC2904">
        <v>0</v>
      </c>
      <c r="AD2904" t="s">
        <v>5683</v>
      </c>
    </row>
    <row r="2905" spans="1:30" x14ac:dyDescent="0.25">
      <c r="H2905" t="s">
        <v>5684</v>
      </c>
    </row>
    <row r="2906" spans="1:30" x14ac:dyDescent="0.25">
      <c r="A2906">
        <v>1450</v>
      </c>
      <c r="B2906">
        <v>2596</v>
      </c>
      <c r="C2906" t="s">
        <v>3994</v>
      </c>
      <c r="D2906" t="s">
        <v>44</v>
      </c>
      <c r="E2906" t="s">
        <v>309</v>
      </c>
      <c r="F2906" t="s">
        <v>5685</v>
      </c>
      <c r="G2906" t="str">
        <f>"00251454"</f>
        <v>00251454</v>
      </c>
      <c r="H2906" t="s">
        <v>511</v>
      </c>
      <c r="I2906">
        <v>0</v>
      </c>
      <c r="J2906">
        <v>0</v>
      </c>
      <c r="K2906">
        <v>0</v>
      </c>
      <c r="L2906">
        <v>0</v>
      </c>
      <c r="M2906">
        <v>0</v>
      </c>
      <c r="N2906">
        <v>30</v>
      </c>
      <c r="O2906">
        <v>0</v>
      </c>
      <c r="P2906">
        <v>0</v>
      </c>
      <c r="Q2906">
        <v>0</v>
      </c>
      <c r="R2906">
        <v>0</v>
      </c>
      <c r="S2906">
        <v>0</v>
      </c>
      <c r="T2906">
        <v>0</v>
      </c>
      <c r="U2906">
        <v>0</v>
      </c>
      <c r="V2906">
        <v>0</v>
      </c>
      <c r="W2906">
        <v>0</v>
      </c>
      <c r="X2906">
        <v>0</v>
      </c>
      <c r="Z2906">
        <v>0</v>
      </c>
      <c r="AA2906">
        <v>0</v>
      </c>
      <c r="AB2906">
        <v>0</v>
      </c>
      <c r="AC2906">
        <v>0</v>
      </c>
      <c r="AD2906" t="s">
        <v>5683</v>
      </c>
    </row>
    <row r="2907" spans="1:30" x14ac:dyDescent="0.25">
      <c r="H2907" t="s">
        <v>570</v>
      </c>
    </row>
    <row r="2908" spans="1:30" x14ac:dyDescent="0.25">
      <c r="A2908">
        <v>1451</v>
      </c>
      <c r="B2908">
        <v>1277</v>
      </c>
      <c r="C2908" t="s">
        <v>271</v>
      </c>
      <c r="D2908" t="s">
        <v>3455</v>
      </c>
      <c r="E2908" t="s">
        <v>120</v>
      </c>
      <c r="F2908">
        <v>21199578</v>
      </c>
      <c r="G2908" t="str">
        <f>"00307698"</f>
        <v>00307698</v>
      </c>
      <c r="H2908" t="s">
        <v>511</v>
      </c>
      <c r="I2908">
        <v>0</v>
      </c>
      <c r="J2908">
        <v>0</v>
      </c>
      <c r="K2908">
        <v>0</v>
      </c>
      <c r="L2908">
        <v>0</v>
      </c>
      <c r="M2908">
        <v>0</v>
      </c>
      <c r="N2908">
        <v>30</v>
      </c>
      <c r="O2908">
        <v>0</v>
      </c>
      <c r="P2908">
        <v>0</v>
      </c>
      <c r="Q2908">
        <v>0</v>
      </c>
      <c r="R2908">
        <v>0</v>
      </c>
      <c r="S2908">
        <v>0</v>
      </c>
      <c r="T2908">
        <v>0</v>
      </c>
      <c r="U2908">
        <v>0</v>
      </c>
      <c r="V2908">
        <v>0</v>
      </c>
      <c r="W2908">
        <v>0</v>
      </c>
      <c r="X2908">
        <v>0</v>
      </c>
      <c r="Z2908">
        <v>1</v>
      </c>
      <c r="AA2908">
        <v>0</v>
      </c>
      <c r="AB2908">
        <v>0</v>
      </c>
      <c r="AC2908">
        <v>0</v>
      </c>
      <c r="AD2908" t="s">
        <v>5683</v>
      </c>
    </row>
    <row r="2909" spans="1:30" x14ac:dyDescent="0.25">
      <c r="H2909" t="s">
        <v>5686</v>
      </c>
    </row>
    <row r="2910" spans="1:30" x14ac:dyDescent="0.25">
      <c r="A2910">
        <v>1452</v>
      </c>
      <c r="B2910">
        <v>860</v>
      </c>
      <c r="C2910" t="s">
        <v>5687</v>
      </c>
      <c r="D2910" t="s">
        <v>1145</v>
      </c>
      <c r="E2910" t="s">
        <v>167</v>
      </c>
      <c r="F2910" t="s">
        <v>5688</v>
      </c>
      <c r="G2910" t="str">
        <f>"201405000865"</f>
        <v>201405000865</v>
      </c>
      <c r="H2910" t="s">
        <v>4346</v>
      </c>
      <c r="I2910">
        <v>0</v>
      </c>
      <c r="J2910">
        <v>0</v>
      </c>
      <c r="K2910">
        <v>0</v>
      </c>
      <c r="L2910">
        <v>0</v>
      </c>
      <c r="M2910">
        <v>0</v>
      </c>
      <c r="N2910">
        <v>30</v>
      </c>
      <c r="O2910">
        <v>0</v>
      </c>
      <c r="P2910">
        <v>0</v>
      </c>
      <c r="Q2910">
        <v>0</v>
      </c>
      <c r="R2910">
        <v>0</v>
      </c>
      <c r="S2910">
        <v>0</v>
      </c>
      <c r="T2910">
        <v>0</v>
      </c>
      <c r="U2910">
        <v>0</v>
      </c>
      <c r="V2910">
        <v>9</v>
      </c>
      <c r="W2910">
        <v>63</v>
      </c>
      <c r="X2910">
        <v>0</v>
      </c>
      <c r="Z2910">
        <v>0</v>
      </c>
      <c r="AA2910">
        <v>0</v>
      </c>
      <c r="AB2910">
        <v>0</v>
      </c>
      <c r="AC2910">
        <v>0</v>
      </c>
      <c r="AD2910" t="s">
        <v>5689</v>
      </c>
    </row>
    <row r="2911" spans="1:30" x14ac:dyDescent="0.25">
      <c r="H2911" t="s">
        <v>5690</v>
      </c>
    </row>
    <row r="2912" spans="1:30" x14ac:dyDescent="0.25">
      <c r="A2912">
        <v>1453</v>
      </c>
      <c r="B2912">
        <v>1752</v>
      </c>
      <c r="C2912" t="s">
        <v>5691</v>
      </c>
      <c r="D2912" t="s">
        <v>283</v>
      </c>
      <c r="E2912" t="s">
        <v>181</v>
      </c>
      <c r="F2912" t="s">
        <v>5692</v>
      </c>
      <c r="G2912" t="str">
        <f>"00140063"</f>
        <v>00140063</v>
      </c>
      <c r="H2912" t="s">
        <v>2457</v>
      </c>
      <c r="I2912">
        <v>0</v>
      </c>
      <c r="J2912">
        <v>0</v>
      </c>
      <c r="K2912">
        <v>0</v>
      </c>
      <c r="L2912">
        <v>0</v>
      </c>
      <c r="M2912">
        <v>0</v>
      </c>
      <c r="N2912">
        <v>50</v>
      </c>
      <c r="O2912">
        <v>0</v>
      </c>
      <c r="P2912">
        <v>0</v>
      </c>
      <c r="Q2912">
        <v>0</v>
      </c>
      <c r="R2912">
        <v>0</v>
      </c>
      <c r="S2912">
        <v>0</v>
      </c>
      <c r="T2912">
        <v>0</v>
      </c>
      <c r="U2912">
        <v>0</v>
      </c>
      <c r="V2912">
        <v>0</v>
      </c>
      <c r="W2912">
        <v>0</v>
      </c>
      <c r="X2912">
        <v>0</v>
      </c>
      <c r="Z2912">
        <v>1</v>
      </c>
      <c r="AA2912">
        <v>0</v>
      </c>
      <c r="AB2912">
        <v>0</v>
      </c>
      <c r="AC2912">
        <v>0</v>
      </c>
      <c r="AD2912" t="s">
        <v>5693</v>
      </c>
    </row>
    <row r="2913" spans="1:30" x14ac:dyDescent="0.25">
      <c r="H2913" t="s">
        <v>5694</v>
      </c>
    </row>
    <row r="2914" spans="1:30" x14ac:dyDescent="0.25">
      <c r="A2914">
        <v>1454</v>
      </c>
      <c r="B2914">
        <v>4296</v>
      </c>
      <c r="C2914" t="s">
        <v>5695</v>
      </c>
      <c r="D2914" t="s">
        <v>142</v>
      </c>
      <c r="E2914" t="s">
        <v>102</v>
      </c>
      <c r="F2914" t="s">
        <v>5696</v>
      </c>
      <c r="G2914" t="str">
        <f>"201412003074"</f>
        <v>201412003074</v>
      </c>
      <c r="H2914" t="s">
        <v>2924</v>
      </c>
      <c r="I2914">
        <v>0</v>
      </c>
      <c r="J2914">
        <v>0</v>
      </c>
      <c r="K2914">
        <v>0</v>
      </c>
      <c r="L2914">
        <v>0</v>
      </c>
      <c r="M2914">
        <v>0</v>
      </c>
      <c r="N2914">
        <v>50</v>
      </c>
      <c r="O2914">
        <v>0</v>
      </c>
      <c r="P2914">
        <v>0</v>
      </c>
      <c r="Q2914">
        <v>0</v>
      </c>
      <c r="R2914">
        <v>0</v>
      </c>
      <c r="S2914">
        <v>0</v>
      </c>
      <c r="T2914">
        <v>0</v>
      </c>
      <c r="U2914">
        <v>0</v>
      </c>
      <c r="V2914">
        <v>8</v>
      </c>
      <c r="W2914">
        <v>56</v>
      </c>
      <c r="X2914">
        <v>0</v>
      </c>
      <c r="Z2914">
        <v>0</v>
      </c>
      <c r="AA2914">
        <v>0</v>
      </c>
      <c r="AB2914">
        <v>0</v>
      </c>
      <c r="AC2914">
        <v>0</v>
      </c>
      <c r="AD2914" t="s">
        <v>5697</v>
      </c>
    </row>
    <row r="2915" spans="1:30" x14ac:dyDescent="0.25">
      <c r="H2915" t="s">
        <v>5698</v>
      </c>
    </row>
    <row r="2916" spans="1:30" x14ac:dyDescent="0.25">
      <c r="A2916">
        <v>1455</v>
      </c>
      <c r="B2916">
        <v>788</v>
      </c>
      <c r="C2916" t="s">
        <v>5699</v>
      </c>
      <c r="D2916" t="s">
        <v>5700</v>
      </c>
      <c r="E2916" t="s">
        <v>5679</v>
      </c>
      <c r="F2916" t="s">
        <v>5701</v>
      </c>
      <c r="G2916" t="str">
        <f>"00222587"</f>
        <v>00222587</v>
      </c>
      <c r="H2916">
        <v>704</v>
      </c>
      <c r="I2916">
        <v>0</v>
      </c>
      <c r="J2916">
        <v>0</v>
      </c>
      <c r="K2916">
        <v>0</v>
      </c>
      <c r="L2916">
        <v>0</v>
      </c>
      <c r="M2916">
        <v>0</v>
      </c>
      <c r="N2916">
        <v>30</v>
      </c>
      <c r="O2916">
        <v>0</v>
      </c>
      <c r="P2916">
        <v>0</v>
      </c>
      <c r="Q2916">
        <v>0</v>
      </c>
      <c r="R2916">
        <v>0</v>
      </c>
      <c r="S2916">
        <v>0</v>
      </c>
      <c r="T2916">
        <v>0</v>
      </c>
      <c r="U2916">
        <v>0</v>
      </c>
      <c r="V2916">
        <v>0</v>
      </c>
      <c r="W2916">
        <v>0</v>
      </c>
      <c r="X2916">
        <v>0</v>
      </c>
      <c r="Z2916">
        <v>0</v>
      </c>
      <c r="AA2916">
        <v>0</v>
      </c>
      <c r="AB2916">
        <v>0</v>
      </c>
      <c r="AC2916">
        <v>0</v>
      </c>
      <c r="AD2916">
        <v>734</v>
      </c>
    </row>
    <row r="2917" spans="1:30" x14ac:dyDescent="0.25">
      <c r="H2917" t="s">
        <v>5702</v>
      </c>
    </row>
    <row r="2918" spans="1:30" x14ac:dyDescent="0.25">
      <c r="A2918">
        <v>1456</v>
      </c>
      <c r="B2918">
        <v>125</v>
      </c>
      <c r="C2918" t="s">
        <v>5703</v>
      </c>
      <c r="D2918" t="s">
        <v>4773</v>
      </c>
      <c r="E2918" t="s">
        <v>254</v>
      </c>
      <c r="F2918" t="s">
        <v>5704</v>
      </c>
      <c r="G2918" t="str">
        <f>"201405001763"</f>
        <v>201405001763</v>
      </c>
      <c r="H2918">
        <v>704</v>
      </c>
      <c r="I2918">
        <v>0</v>
      </c>
      <c r="J2918">
        <v>0</v>
      </c>
      <c r="K2918">
        <v>0</v>
      </c>
      <c r="L2918">
        <v>0</v>
      </c>
      <c r="M2918">
        <v>0</v>
      </c>
      <c r="N2918">
        <v>30</v>
      </c>
      <c r="O2918">
        <v>0</v>
      </c>
      <c r="P2918">
        <v>0</v>
      </c>
      <c r="Q2918">
        <v>0</v>
      </c>
      <c r="R2918">
        <v>0</v>
      </c>
      <c r="S2918">
        <v>0</v>
      </c>
      <c r="T2918">
        <v>0</v>
      </c>
      <c r="U2918">
        <v>0</v>
      </c>
      <c r="V2918">
        <v>0</v>
      </c>
      <c r="W2918">
        <v>0</v>
      </c>
      <c r="X2918">
        <v>0</v>
      </c>
      <c r="Z2918">
        <v>0</v>
      </c>
      <c r="AA2918">
        <v>0</v>
      </c>
      <c r="AB2918">
        <v>0</v>
      </c>
      <c r="AC2918">
        <v>0</v>
      </c>
      <c r="AD2918">
        <v>734</v>
      </c>
    </row>
    <row r="2919" spans="1:30" x14ac:dyDescent="0.25">
      <c r="H2919" t="s">
        <v>5705</v>
      </c>
    </row>
    <row r="2920" spans="1:30" x14ac:dyDescent="0.25">
      <c r="A2920">
        <v>1457</v>
      </c>
      <c r="B2920">
        <v>2156</v>
      </c>
      <c r="C2920" t="s">
        <v>5706</v>
      </c>
      <c r="D2920" t="s">
        <v>44</v>
      </c>
      <c r="E2920" t="s">
        <v>102</v>
      </c>
      <c r="F2920" t="s">
        <v>5707</v>
      </c>
      <c r="G2920" t="str">
        <f>"00318690"</f>
        <v>00318690</v>
      </c>
      <c r="H2920">
        <v>704</v>
      </c>
      <c r="I2920">
        <v>0</v>
      </c>
      <c r="J2920">
        <v>0</v>
      </c>
      <c r="K2920">
        <v>0</v>
      </c>
      <c r="L2920">
        <v>0</v>
      </c>
      <c r="M2920">
        <v>0</v>
      </c>
      <c r="N2920">
        <v>30</v>
      </c>
      <c r="O2920">
        <v>0</v>
      </c>
      <c r="P2920">
        <v>0</v>
      </c>
      <c r="Q2920">
        <v>0</v>
      </c>
      <c r="R2920">
        <v>0</v>
      </c>
      <c r="S2920">
        <v>0</v>
      </c>
      <c r="T2920">
        <v>0</v>
      </c>
      <c r="U2920">
        <v>0</v>
      </c>
      <c r="V2920">
        <v>0</v>
      </c>
      <c r="W2920">
        <v>0</v>
      </c>
      <c r="X2920">
        <v>0</v>
      </c>
      <c r="Z2920">
        <v>0</v>
      </c>
      <c r="AA2920">
        <v>0</v>
      </c>
      <c r="AB2920">
        <v>0</v>
      </c>
      <c r="AC2920">
        <v>0</v>
      </c>
      <c r="AD2920">
        <v>734</v>
      </c>
    </row>
    <row r="2921" spans="1:30" x14ac:dyDescent="0.25">
      <c r="H2921" t="s">
        <v>496</v>
      </c>
    </row>
    <row r="2922" spans="1:30" x14ac:dyDescent="0.25">
      <c r="A2922">
        <v>1458</v>
      </c>
      <c r="B2922">
        <v>4786</v>
      </c>
      <c r="C2922" t="s">
        <v>1405</v>
      </c>
      <c r="D2922" t="s">
        <v>1016</v>
      </c>
      <c r="E2922" t="s">
        <v>439</v>
      </c>
      <c r="F2922" t="s">
        <v>5708</v>
      </c>
      <c r="G2922" t="str">
        <f>"201511040802"</f>
        <v>201511040802</v>
      </c>
      <c r="H2922" t="s">
        <v>861</v>
      </c>
      <c r="I2922">
        <v>0</v>
      </c>
      <c r="J2922">
        <v>0</v>
      </c>
      <c r="K2922">
        <v>0</v>
      </c>
      <c r="L2922">
        <v>0</v>
      </c>
      <c r="M2922">
        <v>0</v>
      </c>
      <c r="N2922">
        <v>70</v>
      </c>
      <c r="O2922">
        <v>0</v>
      </c>
      <c r="P2922">
        <v>0</v>
      </c>
      <c r="Q2922">
        <v>0</v>
      </c>
      <c r="R2922">
        <v>0</v>
      </c>
      <c r="S2922">
        <v>0</v>
      </c>
      <c r="T2922">
        <v>0</v>
      </c>
      <c r="U2922">
        <v>0</v>
      </c>
      <c r="V2922">
        <v>0</v>
      </c>
      <c r="W2922">
        <v>0</v>
      </c>
      <c r="X2922">
        <v>0</v>
      </c>
      <c r="Z2922">
        <v>0</v>
      </c>
      <c r="AA2922">
        <v>0</v>
      </c>
      <c r="AB2922">
        <v>0</v>
      </c>
      <c r="AC2922">
        <v>0</v>
      </c>
      <c r="AD2922" t="s">
        <v>5709</v>
      </c>
    </row>
    <row r="2923" spans="1:30" x14ac:dyDescent="0.25">
      <c r="H2923" t="s">
        <v>5710</v>
      </c>
    </row>
    <row r="2924" spans="1:30" x14ac:dyDescent="0.25">
      <c r="A2924">
        <v>1459</v>
      </c>
      <c r="B2924">
        <v>1501</v>
      </c>
      <c r="C2924" t="s">
        <v>5711</v>
      </c>
      <c r="D2924" t="s">
        <v>490</v>
      </c>
      <c r="E2924" t="s">
        <v>102</v>
      </c>
      <c r="F2924" t="s">
        <v>5712</v>
      </c>
      <c r="G2924" t="str">
        <f>"00279156"</f>
        <v>00279156</v>
      </c>
      <c r="H2924">
        <v>649</v>
      </c>
      <c r="I2924">
        <v>0</v>
      </c>
      <c r="J2924">
        <v>0</v>
      </c>
      <c r="K2924">
        <v>0</v>
      </c>
      <c r="L2924">
        <v>0</v>
      </c>
      <c r="M2924">
        <v>0</v>
      </c>
      <c r="N2924">
        <v>0</v>
      </c>
      <c r="O2924">
        <v>0</v>
      </c>
      <c r="P2924">
        <v>0</v>
      </c>
      <c r="Q2924">
        <v>0</v>
      </c>
      <c r="R2924">
        <v>0</v>
      </c>
      <c r="S2924">
        <v>0</v>
      </c>
      <c r="T2924">
        <v>0</v>
      </c>
      <c r="U2924">
        <v>0</v>
      </c>
      <c r="V2924">
        <v>12</v>
      </c>
      <c r="W2924">
        <v>84</v>
      </c>
      <c r="X2924">
        <v>0</v>
      </c>
      <c r="Z2924">
        <v>2</v>
      </c>
      <c r="AA2924">
        <v>0</v>
      </c>
      <c r="AB2924">
        <v>0</v>
      </c>
      <c r="AC2924">
        <v>0</v>
      </c>
      <c r="AD2924">
        <v>733</v>
      </c>
    </row>
    <row r="2925" spans="1:30" x14ac:dyDescent="0.25">
      <c r="H2925" t="s">
        <v>2131</v>
      </c>
    </row>
    <row r="2926" spans="1:30" x14ac:dyDescent="0.25">
      <c r="A2926">
        <v>1460</v>
      </c>
      <c r="B2926">
        <v>1878</v>
      </c>
      <c r="C2926" t="s">
        <v>5713</v>
      </c>
      <c r="D2926" t="s">
        <v>102</v>
      </c>
      <c r="E2926" t="s">
        <v>28</v>
      </c>
      <c r="F2926" t="s">
        <v>5714</v>
      </c>
      <c r="G2926" t="str">
        <f>"201410001971"</f>
        <v>201410001971</v>
      </c>
      <c r="H2926" t="s">
        <v>5715</v>
      </c>
      <c r="I2926">
        <v>0</v>
      </c>
      <c r="J2926">
        <v>0</v>
      </c>
      <c r="K2926">
        <v>0</v>
      </c>
      <c r="L2926">
        <v>0</v>
      </c>
      <c r="M2926">
        <v>0</v>
      </c>
      <c r="N2926">
        <v>0</v>
      </c>
      <c r="O2926">
        <v>0</v>
      </c>
      <c r="P2926">
        <v>0</v>
      </c>
      <c r="Q2926">
        <v>0</v>
      </c>
      <c r="R2926">
        <v>0</v>
      </c>
      <c r="S2926">
        <v>0</v>
      </c>
      <c r="T2926">
        <v>0</v>
      </c>
      <c r="U2926">
        <v>0</v>
      </c>
      <c r="V2926">
        <v>16</v>
      </c>
      <c r="W2926">
        <v>112</v>
      </c>
      <c r="X2926">
        <v>0</v>
      </c>
      <c r="Z2926">
        <v>2</v>
      </c>
      <c r="AA2926">
        <v>0</v>
      </c>
      <c r="AB2926">
        <v>0</v>
      </c>
      <c r="AC2926">
        <v>0</v>
      </c>
      <c r="AD2926" t="s">
        <v>5716</v>
      </c>
    </row>
    <row r="2927" spans="1:30" x14ac:dyDescent="0.25">
      <c r="H2927" t="s">
        <v>5717</v>
      </c>
    </row>
    <row r="2928" spans="1:30" x14ac:dyDescent="0.25">
      <c r="A2928">
        <v>1461</v>
      </c>
      <c r="B2928">
        <v>1500</v>
      </c>
      <c r="C2928" t="s">
        <v>5718</v>
      </c>
      <c r="D2928" t="s">
        <v>40</v>
      </c>
      <c r="E2928" t="s">
        <v>120</v>
      </c>
      <c r="F2928" t="s">
        <v>5719</v>
      </c>
      <c r="G2928" t="str">
        <f>"00014629"</f>
        <v>00014629</v>
      </c>
      <c r="H2928" t="s">
        <v>5153</v>
      </c>
      <c r="I2928">
        <v>0</v>
      </c>
      <c r="J2928">
        <v>0</v>
      </c>
      <c r="K2928">
        <v>0</v>
      </c>
      <c r="L2928">
        <v>0</v>
      </c>
      <c r="M2928">
        <v>0</v>
      </c>
      <c r="N2928">
        <v>70</v>
      </c>
      <c r="O2928">
        <v>0</v>
      </c>
      <c r="P2928">
        <v>0</v>
      </c>
      <c r="Q2928">
        <v>0</v>
      </c>
      <c r="R2928">
        <v>0</v>
      </c>
      <c r="S2928">
        <v>0</v>
      </c>
      <c r="T2928">
        <v>0</v>
      </c>
      <c r="U2928">
        <v>0</v>
      </c>
      <c r="V2928">
        <v>0</v>
      </c>
      <c r="W2928">
        <v>0</v>
      </c>
      <c r="X2928">
        <v>0</v>
      </c>
      <c r="Z2928">
        <v>0</v>
      </c>
      <c r="AA2928">
        <v>0</v>
      </c>
      <c r="AB2928">
        <v>0</v>
      </c>
      <c r="AC2928">
        <v>0</v>
      </c>
      <c r="AD2928" t="s">
        <v>5720</v>
      </c>
    </row>
    <row r="2929" spans="1:30" x14ac:dyDescent="0.25">
      <c r="H2929" t="s">
        <v>5721</v>
      </c>
    </row>
    <row r="2930" spans="1:30" x14ac:dyDescent="0.25">
      <c r="A2930">
        <v>1462</v>
      </c>
      <c r="B2930">
        <v>3678</v>
      </c>
      <c r="C2930" t="s">
        <v>5722</v>
      </c>
      <c r="D2930" t="s">
        <v>1507</v>
      </c>
      <c r="E2930" t="s">
        <v>141</v>
      </c>
      <c r="F2930" t="s">
        <v>5723</v>
      </c>
      <c r="G2930" t="str">
        <f>"00148266"</f>
        <v>00148266</v>
      </c>
      <c r="H2930">
        <v>682</v>
      </c>
      <c r="I2930">
        <v>0</v>
      </c>
      <c r="J2930">
        <v>0</v>
      </c>
      <c r="K2930">
        <v>0</v>
      </c>
      <c r="L2930">
        <v>0</v>
      </c>
      <c r="M2930">
        <v>0</v>
      </c>
      <c r="N2930">
        <v>0</v>
      </c>
      <c r="O2930">
        <v>0</v>
      </c>
      <c r="P2930">
        <v>50</v>
      </c>
      <c r="Q2930">
        <v>0</v>
      </c>
      <c r="R2930">
        <v>0</v>
      </c>
      <c r="S2930">
        <v>0</v>
      </c>
      <c r="T2930">
        <v>0</v>
      </c>
      <c r="U2930">
        <v>0</v>
      </c>
      <c r="V2930">
        <v>0</v>
      </c>
      <c r="W2930">
        <v>0</v>
      </c>
      <c r="X2930">
        <v>0</v>
      </c>
      <c r="Z2930">
        <v>0</v>
      </c>
      <c r="AA2930">
        <v>0</v>
      </c>
      <c r="AB2930">
        <v>0</v>
      </c>
      <c r="AC2930">
        <v>0</v>
      </c>
      <c r="AD2930">
        <v>732</v>
      </c>
    </row>
    <row r="2931" spans="1:30" x14ac:dyDescent="0.25">
      <c r="H2931" t="s">
        <v>5724</v>
      </c>
    </row>
    <row r="2932" spans="1:30" x14ac:dyDescent="0.25">
      <c r="A2932">
        <v>1463</v>
      </c>
      <c r="B2932">
        <v>4903</v>
      </c>
      <c r="C2932" t="s">
        <v>5725</v>
      </c>
      <c r="D2932" t="s">
        <v>445</v>
      </c>
      <c r="E2932" t="s">
        <v>57</v>
      </c>
      <c r="F2932" t="s">
        <v>5726</v>
      </c>
      <c r="G2932" t="str">
        <f>"00315573"</f>
        <v>00315573</v>
      </c>
      <c r="H2932">
        <v>660</v>
      </c>
      <c r="I2932">
        <v>0</v>
      </c>
      <c r="J2932">
        <v>0</v>
      </c>
      <c r="K2932">
        <v>0</v>
      </c>
      <c r="L2932">
        <v>0</v>
      </c>
      <c r="M2932">
        <v>0</v>
      </c>
      <c r="N2932">
        <v>30</v>
      </c>
      <c r="O2932">
        <v>0</v>
      </c>
      <c r="P2932">
        <v>0</v>
      </c>
      <c r="Q2932">
        <v>0</v>
      </c>
      <c r="R2932">
        <v>0</v>
      </c>
      <c r="S2932">
        <v>0</v>
      </c>
      <c r="T2932">
        <v>0</v>
      </c>
      <c r="U2932">
        <v>0</v>
      </c>
      <c r="V2932">
        <v>6</v>
      </c>
      <c r="W2932">
        <v>42</v>
      </c>
      <c r="X2932">
        <v>0</v>
      </c>
      <c r="Z2932">
        <v>0</v>
      </c>
      <c r="AA2932">
        <v>0</v>
      </c>
      <c r="AB2932">
        <v>0</v>
      </c>
      <c r="AC2932">
        <v>0</v>
      </c>
      <c r="AD2932">
        <v>732</v>
      </c>
    </row>
    <row r="2933" spans="1:30" x14ac:dyDescent="0.25">
      <c r="H2933" t="s">
        <v>5727</v>
      </c>
    </row>
    <row r="2934" spans="1:30" x14ac:dyDescent="0.25">
      <c r="A2934">
        <v>1464</v>
      </c>
      <c r="B2934">
        <v>4351</v>
      </c>
      <c r="C2934" t="s">
        <v>5728</v>
      </c>
      <c r="D2934" t="s">
        <v>1237</v>
      </c>
      <c r="E2934" t="s">
        <v>3156</v>
      </c>
      <c r="F2934" t="s">
        <v>5729</v>
      </c>
      <c r="G2934" t="str">
        <f>"00257082"</f>
        <v>00257082</v>
      </c>
      <c r="H2934" t="s">
        <v>872</v>
      </c>
      <c r="I2934">
        <v>0</v>
      </c>
      <c r="J2934">
        <v>0</v>
      </c>
      <c r="K2934">
        <v>0</v>
      </c>
      <c r="L2934">
        <v>0</v>
      </c>
      <c r="M2934">
        <v>0</v>
      </c>
      <c r="N2934">
        <v>30</v>
      </c>
      <c r="O2934">
        <v>0</v>
      </c>
      <c r="P2934">
        <v>0</v>
      </c>
      <c r="Q2934">
        <v>0</v>
      </c>
      <c r="R2934">
        <v>0</v>
      </c>
      <c r="S2934">
        <v>0</v>
      </c>
      <c r="T2934">
        <v>0</v>
      </c>
      <c r="U2934">
        <v>0</v>
      </c>
      <c r="V2934">
        <v>0</v>
      </c>
      <c r="W2934">
        <v>0</v>
      </c>
      <c r="X2934">
        <v>0</v>
      </c>
      <c r="Z2934">
        <v>0</v>
      </c>
      <c r="AA2934">
        <v>0</v>
      </c>
      <c r="AB2934">
        <v>0</v>
      </c>
      <c r="AC2934">
        <v>0</v>
      </c>
      <c r="AD2934" t="s">
        <v>5730</v>
      </c>
    </row>
    <row r="2935" spans="1:30" x14ac:dyDescent="0.25">
      <c r="H2935" t="s">
        <v>5731</v>
      </c>
    </row>
    <row r="2936" spans="1:30" x14ac:dyDescent="0.25">
      <c r="A2936">
        <v>1465</v>
      </c>
      <c r="B2936">
        <v>1561</v>
      </c>
      <c r="C2936" t="s">
        <v>5732</v>
      </c>
      <c r="D2936" t="s">
        <v>5733</v>
      </c>
      <c r="E2936" t="s">
        <v>102</v>
      </c>
      <c r="F2936" t="s">
        <v>5734</v>
      </c>
      <c r="G2936" t="str">
        <f>"00213324"</f>
        <v>00213324</v>
      </c>
      <c r="H2936" t="s">
        <v>872</v>
      </c>
      <c r="I2936">
        <v>0</v>
      </c>
      <c r="J2936">
        <v>0</v>
      </c>
      <c r="K2936">
        <v>0</v>
      </c>
      <c r="L2936">
        <v>0</v>
      </c>
      <c r="M2936">
        <v>0</v>
      </c>
      <c r="N2936">
        <v>30</v>
      </c>
      <c r="O2936">
        <v>0</v>
      </c>
      <c r="P2936">
        <v>0</v>
      </c>
      <c r="Q2936">
        <v>0</v>
      </c>
      <c r="R2936">
        <v>0</v>
      </c>
      <c r="S2936">
        <v>0</v>
      </c>
      <c r="T2936">
        <v>0</v>
      </c>
      <c r="U2936">
        <v>0</v>
      </c>
      <c r="V2936">
        <v>0</v>
      </c>
      <c r="W2936">
        <v>0</v>
      </c>
      <c r="X2936">
        <v>0</v>
      </c>
      <c r="Z2936">
        <v>0</v>
      </c>
      <c r="AA2936">
        <v>0</v>
      </c>
      <c r="AB2936">
        <v>0</v>
      </c>
      <c r="AC2936">
        <v>0</v>
      </c>
      <c r="AD2936" t="s">
        <v>5730</v>
      </c>
    </row>
    <row r="2937" spans="1:30" x14ac:dyDescent="0.25">
      <c r="H2937" t="s">
        <v>5735</v>
      </c>
    </row>
    <row r="2938" spans="1:30" x14ac:dyDescent="0.25">
      <c r="A2938">
        <v>1466</v>
      </c>
      <c r="B2938">
        <v>2294</v>
      </c>
      <c r="C2938" t="s">
        <v>5736</v>
      </c>
      <c r="D2938" t="s">
        <v>5679</v>
      </c>
      <c r="E2938" t="s">
        <v>5737</v>
      </c>
      <c r="F2938" t="s">
        <v>5738</v>
      </c>
      <c r="G2938" t="str">
        <f>"00147504"</f>
        <v>00147504</v>
      </c>
      <c r="H2938" t="s">
        <v>1368</v>
      </c>
      <c r="I2938">
        <v>0</v>
      </c>
      <c r="J2938">
        <v>0</v>
      </c>
      <c r="K2938">
        <v>0</v>
      </c>
      <c r="L2938">
        <v>0</v>
      </c>
      <c r="M2938">
        <v>0</v>
      </c>
      <c r="N2938">
        <v>30</v>
      </c>
      <c r="O2938">
        <v>0</v>
      </c>
      <c r="P2938">
        <v>0</v>
      </c>
      <c r="Q2938">
        <v>0</v>
      </c>
      <c r="R2938">
        <v>0</v>
      </c>
      <c r="S2938">
        <v>0</v>
      </c>
      <c r="T2938">
        <v>0</v>
      </c>
      <c r="U2938">
        <v>0</v>
      </c>
      <c r="V2938">
        <v>0</v>
      </c>
      <c r="W2938">
        <v>0</v>
      </c>
      <c r="X2938">
        <v>0</v>
      </c>
      <c r="Z2938">
        <v>0</v>
      </c>
      <c r="AA2938">
        <v>0</v>
      </c>
      <c r="AB2938">
        <v>0</v>
      </c>
      <c r="AC2938">
        <v>0</v>
      </c>
      <c r="AD2938" t="s">
        <v>5739</v>
      </c>
    </row>
    <row r="2939" spans="1:30" x14ac:dyDescent="0.25">
      <c r="H2939" t="s">
        <v>5740</v>
      </c>
    </row>
    <row r="2940" spans="1:30" x14ac:dyDescent="0.25">
      <c r="A2940">
        <v>1467</v>
      </c>
      <c r="B2940">
        <v>1723</v>
      </c>
      <c r="C2940" t="s">
        <v>258</v>
      </c>
      <c r="D2940" t="s">
        <v>1443</v>
      </c>
      <c r="E2940" t="s">
        <v>542</v>
      </c>
      <c r="F2940" t="s">
        <v>5741</v>
      </c>
      <c r="G2940" t="str">
        <f>"201511041775"</f>
        <v>201511041775</v>
      </c>
      <c r="H2940" t="s">
        <v>1368</v>
      </c>
      <c r="I2940">
        <v>0</v>
      </c>
      <c r="J2940">
        <v>0</v>
      </c>
      <c r="K2940">
        <v>0</v>
      </c>
      <c r="L2940">
        <v>0</v>
      </c>
      <c r="M2940">
        <v>0</v>
      </c>
      <c r="N2940">
        <v>30</v>
      </c>
      <c r="O2940">
        <v>0</v>
      </c>
      <c r="P2940">
        <v>0</v>
      </c>
      <c r="Q2940">
        <v>0</v>
      </c>
      <c r="R2940">
        <v>0</v>
      </c>
      <c r="S2940">
        <v>0</v>
      </c>
      <c r="T2940">
        <v>0</v>
      </c>
      <c r="U2940">
        <v>0</v>
      </c>
      <c r="V2940">
        <v>0</v>
      </c>
      <c r="W2940">
        <v>0</v>
      </c>
      <c r="X2940">
        <v>0</v>
      </c>
      <c r="Z2940">
        <v>0</v>
      </c>
      <c r="AA2940">
        <v>0</v>
      </c>
      <c r="AB2940">
        <v>0</v>
      </c>
      <c r="AC2940">
        <v>0</v>
      </c>
      <c r="AD2940" t="s">
        <v>5739</v>
      </c>
    </row>
    <row r="2941" spans="1:30" x14ac:dyDescent="0.25">
      <c r="H2941" t="s">
        <v>5742</v>
      </c>
    </row>
    <row r="2942" spans="1:30" x14ac:dyDescent="0.25">
      <c r="A2942">
        <v>1468</v>
      </c>
      <c r="B2942">
        <v>2391</v>
      </c>
      <c r="C2942" t="s">
        <v>5743</v>
      </c>
      <c r="D2942" t="s">
        <v>191</v>
      </c>
      <c r="E2942" t="s">
        <v>389</v>
      </c>
      <c r="F2942" t="s">
        <v>5744</v>
      </c>
      <c r="G2942" t="str">
        <f>"00157844"</f>
        <v>00157844</v>
      </c>
      <c r="H2942" t="s">
        <v>1465</v>
      </c>
      <c r="I2942">
        <v>0</v>
      </c>
      <c r="J2942">
        <v>0</v>
      </c>
      <c r="K2942">
        <v>0</v>
      </c>
      <c r="L2942">
        <v>0</v>
      </c>
      <c r="M2942">
        <v>0</v>
      </c>
      <c r="N2942">
        <v>0</v>
      </c>
      <c r="O2942">
        <v>0</v>
      </c>
      <c r="P2942">
        <v>0</v>
      </c>
      <c r="Q2942">
        <v>0</v>
      </c>
      <c r="R2942">
        <v>0</v>
      </c>
      <c r="S2942">
        <v>0</v>
      </c>
      <c r="T2942">
        <v>0</v>
      </c>
      <c r="U2942">
        <v>0</v>
      </c>
      <c r="V2942">
        <v>0</v>
      </c>
      <c r="W2942">
        <v>0</v>
      </c>
      <c r="X2942">
        <v>0</v>
      </c>
      <c r="Z2942">
        <v>1</v>
      </c>
      <c r="AA2942">
        <v>0</v>
      </c>
      <c r="AB2942">
        <v>0</v>
      </c>
      <c r="AC2942">
        <v>0</v>
      </c>
      <c r="AD2942" t="s">
        <v>1465</v>
      </c>
    </row>
    <row r="2943" spans="1:30" x14ac:dyDescent="0.25">
      <c r="H2943">
        <v>1255</v>
      </c>
    </row>
    <row r="2944" spans="1:30" x14ac:dyDescent="0.25">
      <c r="A2944">
        <v>1469</v>
      </c>
      <c r="B2944">
        <v>5531</v>
      </c>
      <c r="C2944" t="s">
        <v>5745</v>
      </c>
      <c r="D2944" t="s">
        <v>1150</v>
      </c>
      <c r="E2944" t="s">
        <v>102</v>
      </c>
      <c r="F2944" t="s">
        <v>5746</v>
      </c>
      <c r="G2944" t="str">
        <f>"00355307"</f>
        <v>00355307</v>
      </c>
      <c r="H2944" t="s">
        <v>855</v>
      </c>
      <c r="I2944">
        <v>0</v>
      </c>
      <c r="J2944">
        <v>0</v>
      </c>
      <c r="K2944">
        <v>0</v>
      </c>
      <c r="L2944">
        <v>0</v>
      </c>
      <c r="M2944">
        <v>0</v>
      </c>
      <c r="N2944">
        <v>0</v>
      </c>
      <c r="O2944">
        <v>0</v>
      </c>
      <c r="P2944">
        <v>0</v>
      </c>
      <c r="Q2944">
        <v>0</v>
      </c>
      <c r="R2944">
        <v>0</v>
      </c>
      <c r="S2944">
        <v>0</v>
      </c>
      <c r="T2944">
        <v>0</v>
      </c>
      <c r="U2944">
        <v>0</v>
      </c>
      <c r="V2944">
        <v>5</v>
      </c>
      <c r="W2944">
        <v>35</v>
      </c>
      <c r="X2944">
        <v>0</v>
      </c>
      <c r="Z2944">
        <v>0</v>
      </c>
      <c r="AA2944">
        <v>0</v>
      </c>
      <c r="AB2944">
        <v>0</v>
      </c>
      <c r="AC2944">
        <v>0</v>
      </c>
      <c r="AD2944" t="s">
        <v>5747</v>
      </c>
    </row>
    <row r="2945" spans="1:30" x14ac:dyDescent="0.25">
      <c r="H2945" t="s">
        <v>5748</v>
      </c>
    </row>
    <row r="2946" spans="1:30" x14ac:dyDescent="0.25">
      <c r="A2946">
        <v>1470</v>
      </c>
      <c r="B2946">
        <v>5551</v>
      </c>
      <c r="C2946" t="s">
        <v>5749</v>
      </c>
      <c r="D2946" t="s">
        <v>5750</v>
      </c>
      <c r="E2946" t="s">
        <v>5751</v>
      </c>
      <c r="F2946" t="s">
        <v>5752</v>
      </c>
      <c r="G2946" t="str">
        <f>"00339381"</f>
        <v>00339381</v>
      </c>
      <c r="H2946">
        <v>660</v>
      </c>
      <c r="I2946">
        <v>0</v>
      </c>
      <c r="J2946">
        <v>0</v>
      </c>
      <c r="K2946">
        <v>0</v>
      </c>
      <c r="L2946">
        <v>0</v>
      </c>
      <c r="M2946">
        <v>0</v>
      </c>
      <c r="N2946">
        <v>70</v>
      </c>
      <c r="O2946">
        <v>0</v>
      </c>
      <c r="P2946">
        <v>0</v>
      </c>
      <c r="Q2946">
        <v>0</v>
      </c>
      <c r="R2946">
        <v>0</v>
      </c>
      <c r="S2946">
        <v>0</v>
      </c>
      <c r="T2946">
        <v>0</v>
      </c>
      <c r="U2946">
        <v>0</v>
      </c>
      <c r="V2946">
        <v>0</v>
      </c>
      <c r="W2946">
        <v>0</v>
      </c>
      <c r="X2946">
        <v>0</v>
      </c>
      <c r="Z2946">
        <v>0</v>
      </c>
      <c r="AA2946">
        <v>0</v>
      </c>
      <c r="AB2946">
        <v>0</v>
      </c>
      <c r="AC2946">
        <v>0</v>
      </c>
      <c r="AD2946">
        <v>730</v>
      </c>
    </row>
    <row r="2947" spans="1:30" x14ac:dyDescent="0.25">
      <c r="H2947" t="s">
        <v>5753</v>
      </c>
    </row>
    <row r="2948" spans="1:30" x14ac:dyDescent="0.25">
      <c r="A2948">
        <v>1471</v>
      </c>
      <c r="B2948">
        <v>1343</v>
      </c>
      <c r="C2948" t="s">
        <v>2676</v>
      </c>
      <c r="D2948" t="s">
        <v>120</v>
      </c>
      <c r="E2948" t="s">
        <v>28</v>
      </c>
      <c r="F2948" t="s">
        <v>5754</v>
      </c>
      <c r="G2948" t="str">
        <f>"00299883"</f>
        <v>00299883</v>
      </c>
      <c r="H2948" t="s">
        <v>1007</v>
      </c>
      <c r="I2948">
        <v>0</v>
      </c>
      <c r="J2948">
        <v>0</v>
      </c>
      <c r="K2948">
        <v>0</v>
      </c>
      <c r="L2948">
        <v>0</v>
      </c>
      <c r="M2948">
        <v>0</v>
      </c>
      <c r="N2948">
        <v>30</v>
      </c>
      <c r="O2948">
        <v>0</v>
      </c>
      <c r="P2948">
        <v>0</v>
      </c>
      <c r="Q2948">
        <v>0</v>
      </c>
      <c r="R2948">
        <v>0</v>
      </c>
      <c r="S2948">
        <v>0</v>
      </c>
      <c r="T2948">
        <v>0</v>
      </c>
      <c r="U2948">
        <v>0</v>
      </c>
      <c r="V2948">
        <v>6</v>
      </c>
      <c r="W2948">
        <v>42</v>
      </c>
      <c r="X2948">
        <v>0</v>
      </c>
      <c r="Z2948">
        <v>0</v>
      </c>
      <c r="AA2948">
        <v>0</v>
      </c>
      <c r="AB2948">
        <v>0</v>
      </c>
      <c r="AC2948">
        <v>0</v>
      </c>
      <c r="AD2948" t="s">
        <v>5755</v>
      </c>
    </row>
    <row r="2949" spans="1:30" x14ac:dyDescent="0.25">
      <c r="H2949" t="s">
        <v>1235</v>
      </c>
    </row>
    <row r="2950" spans="1:30" x14ac:dyDescent="0.25">
      <c r="A2950">
        <v>1472</v>
      </c>
      <c r="B2950">
        <v>4390</v>
      </c>
      <c r="C2950" t="s">
        <v>5756</v>
      </c>
      <c r="D2950" t="s">
        <v>5757</v>
      </c>
      <c r="E2950" t="s">
        <v>325</v>
      </c>
      <c r="F2950" t="s">
        <v>5758</v>
      </c>
      <c r="G2950" t="str">
        <f>"200902000507"</f>
        <v>200902000507</v>
      </c>
      <c r="H2950" t="s">
        <v>265</v>
      </c>
      <c r="I2950">
        <v>0</v>
      </c>
      <c r="J2950">
        <v>0</v>
      </c>
      <c r="K2950">
        <v>0</v>
      </c>
      <c r="L2950">
        <v>0</v>
      </c>
      <c r="M2950">
        <v>0</v>
      </c>
      <c r="N2950">
        <v>30</v>
      </c>
      <c r="O2950">
        <v>0</v>
      </c>
      <c r="P2950">
        <v>0</v>
      </c>
      <c r="Q2950">
        <v>0</v>
      </c>
      <c r="R2950">
        <v>0</v>
      </c>
      <c r="S2950">
        <v>0</v>
      </c>
      <c r="T2950">
        <v>0</v>
      </c>
      <c r="U2950">
        <v>0</v>
      </c>
      <c r="V2950">
        <v>0</v>
      </c>
      <c r="W2950">
        <v>0</v>
      </c>
      <c r="X2950">
        <v>0</v>
      </c>
      <c r="Z2950">
        <v>0</v>
      </c>
      <c r="AA2950">
        <v>0</v>
      </c>
      <c r="AB2950">
        <v>0</v>
      </c>
      <c r="AC2950">
        <v>0</v>
      </c>
      <c r="AD2950" t="s">
        <v>5759</v>
      </c>
    </row>
    <row r="2951" spans="1:30" x14ac:dyDescent="0.25">
      <c r="H2951" t="s">
        <v>570</v>
      </c>
    </row>
    <row r="2952" spans="1:30" x14ac:dyDescent="0.25">
      <c r="A2952">
        <v>1473</v>
      </c>
      <c r="B2952">
        <v>2984</v>
      </c>
      <c r="C2952" t="s">
        <v>5760</v>
      </c>
      <c r="D2952" t="s">
        <v>27</v>
      </c>
      <c r="E2952" t="s">
        <v>49</v>
      </c>
      <c r="F2952" t="s">
        <v>5761</v>
      </c>
      <c r="G2952" t="str">
        <f>"00363127"</f>
        <v>00363127</v>
      </c>
      <c r="H2952" t="s">
        <v>265</v>
      </c>
      <c r="I2952">
        <v>0</v>
      </c>
      <c r="J2952">
        <v>0</v>
      </c>
      <c r="K2952">
        <v>0</v>
      </c>
      <c r="L2952">
        <v>0</v>
      </c>
      <c r="M2952">
        <v>0</v>
      </c>
      <c r="N2952">
        <v>30</v>
      </c>
      <c r="O2952">
        <v>0</v>
      </c>
      <c r="P2952">
        <v>0</v>
      </c>
      <c r="Q2952">
        <v>0</v>
      </c>
      <c r="R2952">
        <v>0</v>
      </c>
      <c r="S2952">
        <v>0</v>
      </c>
      <c r="T2952">
        <v>0</v>
      </c>
      <c r="U2952">
        <v>0</v>
      </c>
      <c r="V2952">
        <v>0</v>
      </c>
      <c r="W2952">
        <v>0</v>
      </c>
      <c r="X2952">
        <v>0</v>
      </c>
      <c r="Z2952">
        <v>0</v>
      </c>
      <c r="AA2952">
        <v>0</v>
      </c>
      <c r="AB2952">
        <v>0</v>
      </c>
      <c r="AC2952">
        <v>0</v>
      </c>
      <c r="AD2952" t="s">
        <v>5759</v>
      </c>
    </row>
    <row r="2953" spans="1:30" x14ac:dyDescent="0.25">
      <c r="H2953" t="s">
        <v>5762</v>
      </c>
    </row>
    <row r="2954" spans="1:30" x14ac:dyDescent="0.25">
      <c r="A2954">
        <v>1474</v>
      </c>
      <c r="B2954">
        <v>5871</v>
      </c>
      <c r="C2954" t="s">
        <v>5763</v>
      </c>
      <c r="D2954" t="s">
        <v>70</v>
      </c>
      <c r="E2954" t="s">
        <v>254</v>
      </c>
      <c r="F2954" t="s">
        <v>5764</v>
      </c>
      <c r="G2954" t="str">
        <f>"201406002787"</f>
        <v>201406002787</v>
      </c>
      <c r="H2954" t="s">
        <v>586</v>
      </c>
      <c r="I2954">
        <v>0</v>
      </c>
      <c r="J2954">
        <v>0</v>
      </c>
      <c r="K2954">
        <v>0</v>
      </c>
      <c r="L2954">
        <v>0</v>
      </c>
      <c r="M2954">
        <v>0</v>
      </c>
      <c r="N2954">
        <v>30</v>
      </c>
      <c r="O2954">
        <v>0</v>
      </c>
      <c r="P2954">
        <v>0</v>
      </c>
      <c r="Q2954">
        <v>0</v>
      </c>
      <c r="R2954">
        <v>0</v>
      </c>
      <c r="S2954">
        <v>0</v>
      </c>
      <c r="T2954">
        <v>0</v>
      </c>
      <c r="U2954">
        <v>0</v>
      </c>
      <c r="V2954">
        <v>5</v>
      </c>
      <c r="W2954">
        <v>35</v>
      </c>
      <c r="X2954">
        <v>0</v>
      </c>
      <c r="Z2954">
        <v>0</v>
      </c>
      <c r="AA2954">
        <v>0</v>
      </c>
      <c r="AB2954">
        <v>0</v>
      </c>
      <c r="AC2954">
        <v>0</v>
      </c>
      <c r="AD2954" t="s">
        <v>5765</v>
      </c>
    </row>
    <row r="2955" spans="1:30" x14ac:dyDescent="0.25">
      <c r="H2955" t="s">
        <v>5766</v>
      </c>
    </row>
    <row r="2956" spans="1:30" x14ac:dyDescent="0.25">
      <c r="A2956">
        <v>1475</v>
      </c>
      <c r="B2956">
        <v>1801</v>
      </c>
      <c r="C2956" t="s">
        <v>5767</v>
      </c>
      <c r="D2956" t="s">
        <v>84</v>
      </c>
      <c r="E2956" t="s">
        <v>3087</v>
      </c>
      <c r="F2956" t="s">
        <v>5768</v>
      </c>
      <c r="G2956" t="str">
        <f>"00037273"</f>
        <v>00037273</v>
      </c>
      <c r="H2956" t="s">
        <v>1080</v>
      </c>
      <c r="I2956">
        <v>0</v>
      </c>
      <c r="J2956">
        <v>0</v>
      </c>
      <c r="K2956">
        <v>0</v>
      </c>
      <c r="L2956">
        <v>0</v>
      </c>
      <c r="M2956">
        <v>0</v>
      </c>
      <c r="N2956">
        <v>50</v>
      </c>
      <c r="O2956">
        <v>0</v>
      </c>
      <c r="P2956">
        <v>0</v>
      </c>
      <c r="Q2956">
        <v>0</v>
      </c>
      <c r="R2956">
        <v>0</v>
      </c>
      <c r="S2956">
        <v>0</v>
      </c>
      <c r="T2956">
        <v>0</v>
      </c>
      <c r="U2956">
        <v>0</v>
      </c>
      <c r="V2956">
        <v>0</v>
      </c>
      <c r="W2956">
        <v>0</v>
      </c>
      <c r="X2956">
        <v>0</v>
      </c>
      <c r="Z2956">
        <v>1</v>
      </c>
      <c r="AA2956">
        <v>0</v>
      </c>
      <c r="AB2956">
        <v>0</v>
      </c>
      <c r="AC2956">
        <v>0</v>
      </c>
      <c r="AD2956" t="s">
        <v>5769</v>
      </c>
    </row>
    <row r="2957" spans="1:30" x14ac:dyDescent="0.25">
      <c r="H2957" t="s">
        <v>5770</v>
      </c>
    </row>
    <row r="2958" spans="1:30" x14ac:dyDescent="0.25">
      <c r="A2958">
        <v>1476</v>
      </c>
      <c r="B2958">
        <v>621</v>
      </c>
      <c r="C2958" t="s">
        <v>5771</v>
      </c>
      <c r="D2958" t="s">
        <v>859</v>
      </c>
      <c r="E2958" t="s">
        <v>32</v>
      </c>
      <c r="F2958" t="s">
        <v>5772</v>
      </c>
      <c r="G2958" t="str">
        <f>"201402001676"</f>
        <v>201402001676</v>
      </c>
      <c r="H2958" t="s">
        <v>2160</v>
      </c>
      <c r="I2958">
        <v>0</v>
      </c>
      <c r="J2958">
        <v>0</v>
      </c>
      <c r="K2958">
        <v>0</v>
      </c>
      <c r="L2958">
        <v>0</v>
      </c>
      <c r="M2958">
        <v>0</v>
      </c>
      <c r="N2958">
        <v>30</v>
      </c>
      <c r="O2958">
        <v>0</v>
      </c>
      <c r="P2958">
        <v>0</v>
      </c>
      <c r="Q2958">
        <v>0</v>
      </c>
      <c r="R2958">
        <v>0</v>
      </c>
      <c r="S2958">
        <v>0</v>
      </c>
      <c r="T2958">
        <v>0</v>
      </c>
      <c r="U2958">
        <v>0</v>
      </c>
      <c r="V2958">
        <v>3</v>
      </c>
      <c r="W2958">
        <v>21</v>
      </c>
      <c r="X2958">
        <v>0</v>
      </c>
      <c r="Z2958">
        <v>1</v>
      </c>
      <c r="AA2958">
        <v>0</v>
      </c>
      <c r="AB2958">
        <v>0</v>
      </c>
      <c r="AC2958">
        <v>0</v>
      </c>
      <c r="AD2958" t="s">
        <v>5773</v>
      </c>
    </row>
    <row r="2959" spans="1:30" x14ac:dyDescent="0.25">
      <c r="H2959" t="s">
        <v>5774</v>
      </c>
    </row>
    <row r="2960" spans="1:30" x14ac:dyDescent="0.25">
      <c r="A2960">
        <v>1477</v>
      </c>
      <c r="B2960">
        <v>5176</v>
      </c>
      <c r="C2960" t="s">
        <v>5775</v>
      </c>
      <c r="D2960" t="s">
        <v>615</v>
      </c>
      <c r="E2960" t="s">
        <v>32</v>
      </c>
      <c r="F2960" t="s">
        <v>5776</v>
      </c>
      <c r="G2960" t="str">
        <f>"00226787"</f>
        <v>00226787</v>
      </c>
      <c r="H2960" t="s">
        <v>1549</v>
      </c>
      <c r="I2960">
        <v>0</v>
      </c>
      <c r="J2960">
        <v>0</v>
      </c>
      <c r="K2960">
        <v>0</v>
      </c>
      <c r="L2960">
        <v>0</v>
      </c>
      <c r="M2960">
        <v>0</v>
      </c>
      <c r="N2960">
        <v>30</v>
      </c>
      <c r="O2960">
        <v>0</v>
      </c>
      <c r="P2960">
        <v>0</v>
      </c>
      <c r="Q2960">
        <v>0</v>
      </c>
      <c r="R2960">
        <v>0</v>
      </c>
      <c r="S2960">
        <v>0</v>
      </c>
      <c r="T2960">
        <v>0</v>
      </c>
      <c r="U2960">
        <v>0</v>
      </c>
      <c r="V2960">
        <v>0</v>
      </c>
      <c r="W2960">
        <v>0</v>
      </c>
      <c r="X2960">
        <v>0</v>
      </c>
      <c r="Z2960">
        <v>0</v>
      </c>
      <c r="AA2960">
        <v>0</v>
      </c>
      <c r="AB2960">
        <v>0</v>
      </c>
      <c r="AC2960">
        <v>0</v>
      </c>
      <c r="AD2960" t="s">
        <v>5777</v>
      </c>
    </row>
    <row r="2961" spans="1:30" x14ac:dyDescent="0.25">
      <c r="H2961" t="s">
        <v>5778</v>
      </c>
    </row>
    <row r="2962" spans="1:30" x14ac:dyDescent="0.25">
      <c r="A2962">
        <v>1478</v>
      </c>
      <c r="B2962">
        <v>4101</v>
      </c>
      <c r="C2962" t="s">
        <v>5779</v>
      </c>
      <c r="D2962" t="s">
        <v>5780</v>
      </c>
      <c r="E2962" t="s">
        <v>28</v>
      </c>
      <c r="F2962" t="s">
        <v>5781</v>
      </c>
      <c r="G2962" t="str">
        <f>"00195441"</f>
        <v>00195441</v>
      </c>
      <c r="H2962" t="s">
        <v>1549</v>
      </c>
      <c r="I2962">
        <v>0</v>
      </c>
      <c r="J2962">
        <v>0</v>
      </c>
      <c r="K2962">
        <v>0</v>
      </c>
      <c r="L2962">
        <v>0</v>
      </c>
      <c r="M2962">
        <v>0</v>
      </c>
      <c r="N2962">
        <v>30</v>
      </c>
      <c r="O2962">
        <v>0</v>
      </c>
      <c r="P2962">
        <v>0</v>
      </c>
      <c r="Q2962">
        <v>0</v>
      </c>
      <c r="R2962">
        <v>0</v>
      </c>
      <c r="S2962">
        <v>0</v>
      </c>
      <c r="T2962">
        <v>0</v>
      </c>
      <c r="U2962">
        <v>0</v>
      </c>
      <c r="V2962">
        <v>0</v>
      </c>
      <c r="W2962">
        <v>0</v>
      </c>
      <c r="X2962">
        <v>0</v>
      </c>
      <c r="Z2962">
        <v>0</v>
      </c>
      <c r="AA2962">
        <v>0</v>
      </c>
      <c r="AB2962">
        <v>0</v>
      </c>
      <c r="AC2962">
        <v>0</v>
      </c>
      <c r="AD2962" t="s">
        <v>5777</v>
      </c>
    </row>
    <row r="2963" spans="1:30" x14ac:dyDescent="0.25">
      <c r="H2963" t="s">
        <v>5782</v>
      </c>
    </row>
    <row r="2964" spans="1:30" x14ac:dyDescent="0.25">
      <c r="A2964">
        <v>1479</v>
      </c>
      <c r="B2964">
        <v>383</v>
      </c>
      <c r="C2964" t="s">
        <v>5783</v>
      </c>
      <c r="D2964" t="s">
        <v>167</v>
      </c>
      <c r="E2964" t="s">
        <v>49</v>
      </c>
      <c r="F2964" t="s">
        <v>5784</v>
      </c>
      <c r="G2964" t="str">
        <f>"00287008"</f>
        <v>00287008</v>
      </c>
      <c r="H2964" t="s">
        <v>950</v>
      </c>
      <c r="I2964">
        <v>0</v>
      </c>
      <c r="J2964">
        <v>0</v>
      </c>
      <c r="K2964">
        <v>0</v>
      </c>
      <c r="L2964">
        <v>0</v>
      </c>
      <c r="M2964">
        <v>0</v>
      </c>
      <c r="N2964">
        <v>0</v>
      </c>
      <c r="O2964">
        <v>0</v>
      </c>
      <c r="P2964">
        <v>0</v>
      </c>
      <c r="Q2964">
        <v>0</v>
      </c>
      <c r="R2964">
        <v>0</v>
      </c>
      <c r="S2964">
        <v>0</v>
      </c>
      <c r="T2964">
        <v>0</v>
      </c>
      <c r="U2964">
        <v>0</v>
      </c>
      <c r="V2964">
        <v>11</v>
      </c>
      <c r="W2964">
        <v>77</v>
      </c>
      <c r="X2964">
        <v>0</v>
      </c>
      <c r="Z2964">
        <v>0</v>
      </c>
      <c r="AA2964">
        <v>0</v>
      </c>
      <c r="AB2964">
        <v>0</v>
      </c>
      <c r="AC2964">
        <v>0</v>
      </c>
      <c r="AD2964" t="s">
        <v>4402</v>
      </c>
    </row>
    <row r="2965" spans="1:30" x14ac:dyDescent="0.25">
      <c r="H2965" t="s">
        <v>5785</v>
      </c>
    </row>
    <row r="2966" spans="1:30" x14ac:dyDescent="0.25">
      <c r="A2966">
        <v>1480</v>
      </c>
      <c r="B2966">
        <v>2497</v>
      </c>
      <c r="C2966" t="s">
        <v>5786</v>
      </c>
      <c r="D2966" t="s">
        <v>5787</v>
      </c>
      <c r="E2966" t="s">
        <v>5788</v>
      </c>
      <c r="F2966" t="s">
        <v>5789</v>
      </c>
      <c r="G2966" t="str">
        <f>"00137810"</f>
        <v>00137810</v>
      </c>
      <c r="H2966" t="s">
        <v>877</v>
      </c>
      <c r="I2966">
        <v>0</v>
      </c>
      <c r="J2966">
        <v>0</v>
      </c>
      <c r="K2966">
        <v>0</v>
      </c>
      <c r="L2966">
        <v>0</v>
      </c>
      <c r="M2966">
        <v>0</v>
      </c>
      <c r="N2966">
        <v>30</v>
      </c>
      <c r="O2966">
        <v>0</v>
      </c>
      <c r="P2966">
        <v>0</v>
      </c>
      <c r="Q2966">
        <v>0</v>
      </c>
      <c r="R2966">
        <v>0</v>
      </c>
      <c r="S2966">
        <v>0</v>
      </c>
      <c r="T2966">
        <v>0</v>
      </c>
      <c r="U2966">
        <v>0</v>
      </c>
      <c r="V2966">
        <v>0</v>
      </c>
      <c r="W2966">
        <v>0</v>
      </c>
      <c r="X2966">
        <v>0</v>
      </c>
      <c r="Z2966">
        <v>0</v>
      </c>
      <c r="AA2966">
        <v>0</v>
      </c>
      <c r="AB2966">
        <v>0</v>
      </c>
      <c r="AC2966">
        <v>0</v>
      </c>
      <c r="AD2966" t="s">
        <v>5790</v>
      </c>
    </row>
    <row r="2967" spans="1:30" x14ac:dyDescent="0.25">
      <c r="H2967" t="s">
        <v>1191</v>
      </c>
    </row>
    <row r="2968" spans="1:30" x14ac:dyDescent="0.25">
      <c r="A2968">
        <v>1481</v>
      </c>
      <c r="B2968">
        <v>5031</v>
      </c>
      <c r="C2968" t="s">
        <v>5791</v>
      </c>
      <c r="D2968" t="s">
        <v>959</v>
      </c>
      <c r="E2968" t="s">
        <v>5791</v>
      </c>
      <c r="F2968" t="s">
        <v>5792</v>
      </c>
      <c r="G2968" t="str">
        <f>"00226395"</f>
        <v>00226395</v>
      </c>
      <c r="H2968" t="s">
        <v>877</v>
      </c>
      <c r="I2968">
        <v>0</v>
      </c>
      <c r="J2968">
        <v>0</v>
      </c>
      <c r="K2968">
        <v>0</v>
      </c>
      <c r="L2968">
        <v>0</v>
      </c>
      <c r="M2968">
        <v>0</v>
      </c>
      <c r="N2968">
        <v>30</v>
      </c>
      <c r="O2968">
        <v>0</v>
      </c>
      <c r="P2968">
        <v>0</v>
      </c>
      <c r="Q2968">
        <v>0</v>
      </c>
      <c r="R2968">
        <v>0</v>
      </c>
      <c r="S2968">
        <v>0</v>
      </c>
      <c r="T2968">
        <v>0</v>
      </c>
      <c r="U2968">
        <v>0</v>
      </c>
      <c r="V2968">
        <v>0</v>
      </c>
      <c r="W2968">
        <v>0</v>
      </c>
      <c r="X2968">
        <v>0</v>
      </c>
      <c r="Z2968">
        <v>0</v>
      </c>
      <c r="AA2968">
        <v>0</v>
      </c>
      <c r="AB2968">
        <v>0</v>
      </c>
      <c r="AC2968">
        <v>0</v>
      </c>
      <c r="AD2968" t="s">
        <v>5790</v>
      </c>
    </row>
    <row r="2969" spans="1:30" x14ac:dyDescent="0.25">
      <c r="H2969" t="s">
        <v>5793</v>
      </c>
    </row>
    <row r="2970" spans="1:30" x14ac:dyDescent="0.25">
      <c r="A2970">
        <v>1482</v>
      </c>
      <c r="B2970">
        <v>3892</v>
      </c>
      <c r="C2970" t="s">
        <v>5794</v>
      </c>
      <c r="D2970" t="s">
        <v>1427</v>
      </c>
      <c r="E2970" t="s">
        <v>254</v>
      </c>
      <c r="F2970" t="s">
        <v>5795</v>
      </c>
      <c r="G2970" t="str">
        <f>"00368499"</f>
        <v>00368499</v>
      </c>
      <c r="H2970">
        <v>726</v>
      </c>
      <c r="I2970">
        <v>0</v>
      </c>
      <c r="J2970">
        <v>0</v>
      </c>
      <c r="K2970">
        <v>0</v>
      </c>
      <c r="L2970">
        <v>0</v>
      </c>
      <c r="M2970">
        <v>0</v>
      </c>
      <c r="N2970">
        <v>0</v>
      </c>
      <c r="O2970">
        <v>0</v>
      </c>
      <c r="P2970">
        <v>0</v>
      </c>
      <c r="Q2970">
        <v>0</v>
      </c>
      <c r="R2970">
        <v>0</v>
      </c>
      <c r="S2970">
        <v>0</v>
      </c>
      <c r="T2970">
        <v>0</v>
      </c>
      <c r="U2970">
        <v>0</v>
      </c>
      <c r="V2970">
        <v>0</v>
      </c>
      <c r="W2970">
        <v>0</v>
      </c>
      <c r="X2970">
        <v>0</v>
      </c>
      <c r="Z2970">
        <v>2</v>
      </c>
      <c r="AA2970">
        <v>0</v>
      </c>
      <c r="AB2970">
        <v>0</v>
      </c>
      <c r="AC2970">
        <v>0</v>
      </c>
      <c r="AD2970">
        <v>726</v>
      </c>
    </row>
    <row r="2971" spans="1:30" x14ac:dyDescent="0.25">
      <c r="H2971" t="s">
        <v>5796</v>
      </c>
    </row>
    <row r="2972" spans="1:30" x14ac:dyDescent="0.25">
      <c r="A2972">
        <v>1483</v>
      </c>
      <c r="B2972">
        <v>3161</v>
      </c>
      <c r="C2972" t="s">
        <v>5797</v>
      </c>
      <c r="D2972" t="s">
        <v>1507</v>
      </c>
      <c r="E2972" t="s">
        <v>50</v>
      </c>
      <c r="F2972" t="s">
        <v>5798</v>
      </c>
      <c r="G2972" t="str">
        <f>"00357642"</f>
        <v>00357642</v>
      </c>
      <c r="H2972">
        <v>726</v>
      </c>
      <c r="I2972">
        <v>0</v>
      </c>
      <c r="J2972">
        <v>0</v>
      </c>
      <c r="K2972">
        <v>0</v>
      </c>
      <c r="L2972">
        <v>0</v>
      </c>
      <c r="M2972">
        <v>0</v>
      </c>
      <c r="N2972">
        <v>0</v>
      </c>
      <c r="O2972">
        <v>0</v>
      </c>
      <c r="P2972">
        <v>0</v>
      </c>
      <c r="Q2972">
        <v>0</v>
      </c>
      <c r="R2972">
        <v>0</v>
      </c>
      <c r="S2972">
        <v>0</v>
      </c>
      <c r="T2972">
        <v>0</v>
      </c>
      <c r="U2972">
        <v>0</v>
      </c>
      <c r="V2972">
        <v>0</v>
      </c>
      <c r="W2972">
        <v>0</v>
      </c>
      <c r="X2972">
        <v>0</v>
      </c>
      <c r="Z2972">
        <v>0</v>
      </c>
      <c r="AA2972">
        <v>0</v>
      </c>
      <c r="AB2972">
        <v>0</v>
      </c>
      <c r="AC2972">
        <v>0</v>
      </c>
      <c r="AD2972">
        <v>726</v>
      </c>
    </row>
    <row r="2973" spans="1:30" x14ac:dyDescent="0.25">
      <c r="H2973" t="s">
        <v>5799</v>
      </c>
    </row>
    <row r="2974" spans="1:30" x14ac:dyDescent="0.25">
      <c r="A2974">
        <v>1484</v>
      </c>
      <c r="B2974">
        <v>1408</v>
      </c>
      <c r="C2974" t="s">
        <v>940</v>
      </c>
      <c r="D2974" t="s">
        <v>236</v>
      </c>
      <c r="E2974" t="s">
        <v>542</v>
      </c>
      <c r="F2974" t="s">
        <v>5800</v>
      </c>
      <c r="G2974" t="str">
        <f>"00311731"</f>
        <v>00311731</v>
      </c>
      <c r="H2974" t="s">
        <v>1388</v>
      </c>
      <c r="I2974">
        <v>0</v>
      </c>
      <c r="J2974">
        <v>0</v>
      </c>
      <c r="K2974">
        <v>0</v>
      </c>
      <c r="L2974">
        <v>0</v>
      </c>
      <c r="M2974">
        <v>0</v>
      </c>
      <c r="N2974">
        <v>0</v>
      </c>
      <c r="O2974">
        <v>0</v>
      </c>
      <c r="P2974">
        <v>0</v>
      </c>
      <c r="Q2974">
        <v>0</v>
      </c>
      <c r="R2974">
        <v>0</v>
      </c>
      <c r="S2974">
        <v>0</v>
      </c>
      <c r="T2974">
        <v>0</v>
      </c>
      <c r="U2974">
        <v>0</v>
      </c>
      <c r="V2974">
        <v>0</v>
      </c>
      <c r="W2974">
        <v>0</v>
      </c>
      <c r="X2974">
        <v>0</v>
      </c>
      <c r="Z2974">
        <v>2</v>
      </c>
      <c r="AA2974">
        <v>0</v>
      </c>
      <c r="AB2974">
        <v>0</v>
      </c>
      <c r="AC2974">
        <v>0</v>
      </c>
      <c r="AD2974" t="s">
        <v>1388</v>
      </c>
    </row>
    <row r="2975" spans="1:30" x14ac:dyDescent="0.25">
      <c r="H2975" t="s">
        <v>5801</v>
      </c>
    </row>
    <row r="2976" spans="1:30" x14ac:dyDescent="0.25">
      <c r="A2976">
        <v>1485</v>
      </c>
      <c r="B2976">
        <v>6201</v>
      </c>
      <c r="C2976" t="s">
        <v>5802</v>
      </c>
      <c r="D2976" t="s">
        <v>33</v>
      </c>
      <c r="E2976" t="s">
        <v>254</v>
      </c>
      <c r="F2976" t="s">
        <v>5803</v>
      </c>
      <c r="G2976" t="str">
        <f>"201511021829"</f>
        <v>201511021829</v>
      </c>
      <c r="H2976" t="s">
        <v>2254</v>
      </c>
      <c r="I2976">
        <v>0</v>
      </c>
      <c r="J2976">
        <v>0</v>
      </c>
      <c r="K2976">
        <v>0</v>
      </c>
      <c r="L2976">
        <v>0</v>
      </c>
      <c r="M2976">
        <v>0</v>
      </c>
      <c r="N2976">
        <v>50</v>
      </c>
      <c r="O2976">
        <v>0</v>
      </c>
      <c r="P2976">
        <v>0</v>
      </c>
      <c r="Q2976">
        <v>0</v>
      </c>
      <c r="R2976">
        <v>0</v>
      </c>
      <c r="S2976">
        <v>0</v>
      </c>
      <c r="T2976">
        <v>0</v>
      </c>
      <c r="U2976">
        <v>0</v>
      </c>
      <c r="V2976">
        <v>0</v>
      </c>
      <c r="W2976">
        <v>0</v>
      </c>
      <c r="X2976">
        <v>0</v>
      </c>
      <c r="Z2976">
        <v>0</v>
      </c>
      <c r="AA2976">
        <v>0</v>
      </c>
      <c r="AB2976">
        <v>0</v>
      </c>
      <c r="AC2976">
        <v>0</v>
      </c>
      <c r="AD2976" t="s">
        <v>5804</v>
      </c>
    </row>
    <row r="2977" spans="1:30" x14ac:dyDescent="0.25">
      <c r="H2977" t="s">
        <v>5805</v>
      </c>
    </row>
    <row r="2978" spans="1:30" x14ac:dyDescent="0.25">
      <c r="A2978">
        <v>1486</v>
      </c>
      <c r="B2978">
        <v>5847</v>
      </c>
      <c r="C2978" t="s">
        <v>5806</v>
      </c>
      <c r="D2978" t="s">
        <v>167</v>
      </c>
      <c r="E2978" t="s">
        <v>254</v>
      </c>
      <c r="F2978" t="s">
        <v>5807</v>
      </c>
      <c r="G2978" t="str">
        <f>"201511005512"</f>
        <v>201511005512</v>
      </c>
      <c r="H2978" t="s">
        <v>521</v>
      </c>
      <c r="I2978">
        <v>0</v>
      </c>
      <c r="J2978">
        <v>0</v>
      </c>
      <c r="K2978">
        <v>0</v>
      </c>
      <c r="L2978">
        <v>0</v>
      </c>
      <c r="M2978">
        <v>0</v>
      </c>
      <c r="N2978">
        <v>0</v>
      </c>
      <c r="O2978">
        <v>0</v>
      </c>
      <c r="P2978">
        <v>0</v>
      </c>
      <c r="Q2978">
        <v>0</v>
      </c>
      <c r="R2978">
        <v>0</v>
      </c>
      <c r="S2978">
        <v>0</v>
      </c>
      <c r="T2978">
        <v>0</v>
      </c>
      <c r="U2978">
        <v>0</v>
      </c>
      <c r="V2978">
        <v>0</v>
      </c>
      <c r="W2978">
        <v>0</v>
      </c>
      <c r="X2978">
        <v>0</v>
      </c>
      <c r="Z2978">
        <v>2</v>
      </c>
      <c r="AA2978">
        <v>0</v>
      </c>
      <c r="AB2978">
        <v>0</v>
      </c>
      <c r="AC2978">
        <v>0</v>
      </c>
      <c r="AD2978" t="s">
        <v>521</v>
      </c>
    </row>
    <row r="2979" spans="1:30" x14ac:dyDescent="0.25">
      <c r="H2979" t="s">
        <v>5808</v>
      </c>
    </row>
    <row r="2980" spans="1:30" x14ac:dyDescent="0.25">
      <c r="A2980">
        <v>1487</v>
      </c>
      <c r="B2980">
        <v>5460</v>
      </c>
      <c r="C2980" t="s">
        <v>5809</v>
      </c>
      <c r="D2980" t="s">
        <v>185</v>
      </c>
      <c r="E2980" t="s">
        <v>49</v>
      </c>
      <c r="F2980" t="s">
        <v>5810</v>
      </c>
      <c r="G2980" t="str">
        <f>"00320976"</f>
        <v>00320976</v>
      </c>
      <c r="H2980" t="s">
        <v>2598</v>
      </c>
      <c r="I2980">
        <v>0</v>
      </c>
      <c r="J2980">
        <v>0</v>
      </c>
      <c r="K2980">
        <v>0</v>
      </c>
      <c r="L2980">
        <v>0</v>
      </c>
      <c r="M2980">
        <v>0</v>
      </c>
      <c r="N2980">
        <v>30</v>
      </c>
      <c r="O2980">
        <v>0</v>
      </c>
      <c r="P2980">
        <v>0</v>
      </c>
      <c r="Q2980">
        <v>0</v>
      </c>
      <c r="R2980">
        <v>0</v>
      </c>
      <c r="S2980">
        <v>0</v>
      </c>
      <c r="T2980">
        <v>0</v>
      </c>
      <c r="U2980">
        <v>0</v>
      </c>
      <c r="V2980">
        <v>7</v>
      </c>
      <c r="W2980">
        <v>49</v>
      </c>
      <c r="X2980">
        <v>0</v>
      </c>
      <c r="Z2980">
        <v>0</v>
      </c>
      <c r="AA2980">
        <v>0</v>
      </c>
      <c r="AB2980">
        <v>0</v>
      </c>
      <c r="AC2980">
        <v>0</v>
      </c>
      <c r="AD2980" t="s">
        <v>5811</v>
      </c>
    </row>
    <row r="2981" spans="1:30" x14ac:dyDescent="0.25">
      <c r="H2981" t="s">
        <v>5812</v>
      </c>
    </row>
    <row r="2982" spans="1:30" x14ac:dyDescent="0.25">
      <c r="A2982">
        <v>1488</v>
      </c>
      <c r="B2982">
        <v>722</v>
      </c>
      <c r="C2982" t="s">
        <v>5813</v>
      </c>
      <c r="D2982" t="s">
        <v>5814</v>
      </c>
      <c r="E2982" t="s">
        <v>120</v>
      </c>
      <c r="F2982" t="s">
        <v>5815</v>
      </c>
      <c r="G2982" t="str">
        <f>"00238750"</f>
        <v>00238750</v>
      </c>
      <c r="H2982">
        <v>693</v>
      </c>
      <c r="I2982">
        <v>0</v>
      </c>
      <c r="J2982">
        <v>0</v>
      </c>
      <c r="K2982">
        <v>0</v>
      </c>
      <c r="L2982">
        <v>0</v>
      </c>
      <c r="M2982">
        <v>0</v>
      </c>
      <c r="N2982">
        <v>30</v>
      </c>
      <c r="O2982">
        <v>0</v>
      </c>
      <c r="P2982">
        <v>0</v>
      </c>
      <c r="Q2982">
        <v>0</v>
      </c>
      <c r="R2982">
        <v>0</v>
      </c>
      <c r="S2982">
        <v>0</v>
      </c>
      <c r="T2982">
        <v>0</v>
      </c>
      <c r="U2982">
        <v>0</v>
      </c>
      <c r="V2982">
        <v>0</v>
      </c>
      <c r="W2982">
        <v>0</v>
      </c>
      <c r="X2982">
        <v>0</v>
      </c>
      <c r="Z2982">
        <v>0</v>
      </c>
      <c r="AA2982">
        <v>0</v>
      </c>
      <c r="AB2982">
        <v>0</v>
      </c>
      <c r="AC2982">
        <v>0</v>
      </c>
      <c r="AD2982">
        <v>723</v>
      </c>
    </row>
    <row r="2983" spans="1:30" x14ac:dyDescent="0.25">
      <c r="H2983" t="s">
        <v>5816</v>
      </c>
    </row>
    <row r="2984" spans="1:30" x14ac:dyDescent="0.25">
      <c r="A2984">
        <v>1489</v>
      </c>
      <c r="B2984">
        <v>3776</v>
      </c>
      <c r="C2984" t="s">
        <v>5817</v>
      </c>
      <c r="D2984" t="s">
        <v>218</v>
      </c>
      <c r="E2984" t="s">
        <v>32</v>
      </c>
      <c r="F2984" t="s">
        <v>5818</v>
      </c>
      <c r="G2984" t="str">
        <f>"201406012650"</f>
        <v>201406012650</v>
      </c>
      <c r="H2984">
        <v>693</v>
      </c>
      <c r="I2984">
        <v>0</v>
      </c>
      <c r="J2984">
        <v>0</v>
      </c>
      <c r="K2984">
        <v>0</v>
      </c>
      <c r="L2984">
        <v>0</v>
      </c>
      <c r="M2984">
        <v>0</v>
      </c>
      <c r="N2984">
        <v>30</v>
      </c>
      <c r="O2984">
        <v>0</v>
      </c>
      <c r="P2984">
        <v>0</v>
      </c>
      <c r="Q2984">
        <v>0</v>
      </c>
      <c r="R2984">
        <v>0</v>
      </c>
      <c r="S2984">
        <v>0</v>
      </c>
      <c r="T2984">
        <v>0</v>
      </c>
      <c r="U2984">
        <v>0</v>
      </c>
      <c r="V2984">
        <v>0</v>
      </c>
      <c r="W2984">
        <v>0</v>
      </c>
      <c r="X2984">
        <v>0</v>
      </c>
      <c r="Z2984">
        <v>0</v>
      </c>
      <c r="AA2984">
        <v>0</v>
      </c>
      <c r="AB2984">
        <v>0</v>
      </c>
      <c r="AC2984">
        <v>0</v>
      </c>
      <c r="AD2984">
        <v>723</v>
      </c>
    </row>
    <row r="2985" spans="1:30" x14ac:dyDescent="0.25">
      <c r="H2985" t="s">
        <v>4606</v>
      </c>
    </row>
    <row r="2986" spans="1:30" x14ac:dyDescent="0.25">
      <c r="A2986">
        <v>1490</v>
      </c>
      <c r="B2986">
        <v>1421</v>
      </c>
      <c r="C2986" t="s">
        <v>5819</v>
      </c>
      <c r="D2986" t="s">
        <v>49</v>
      </c>
      <c r="E2986" t="s">
        <v>120</v>
      </c>
      <c r="F2986" t="s">
        <v>5820</v>
      </c>
      <c r="G2986" t="str">
        <f>"201511027570"</f>
        <v>201511027570</v>
      </c>
      <c r="H2986">
        <v>693</v>
      </c>
      <c r="I2986">
        <v>0</v>
      </c>
      <c r="J2986">
        <v>0</v>
      </c>
      <c r="K2986">
        <v>0</v>
      </c>
      <c r="L2986">
        <v>0</v>
      </c>
      <c r="M2986">
        <v>0</v>
      </c>
      <c r="N2986">
        <v>30</v>
      </c>
      <c r="O2986">
        <v>0</v>
      </c>
      <c r="P2986">
        <v>0</v>
      </c>
      <c r="Q2986">
        <v>0</v>
      </c>
      <c r="R2986">
        <v>0</v>
      </c>
      <c r="S2986">
        <v>0</v>
      </c>
      <c r="T2986">
        <v>0</v>
      </c>
      <c r="U2986">
        <v>0</v>
      </c>
      <c r="V2986">
        <v>0</v>
      </c>
      <c r="W2986">
        <v>0</v>
      </c>
      <c r="X2986">
        <v>0</v>
      </c>
      <c r="Z2986">
        <v>2</v>
      </c>
      <c r="AA2986">
        <v>0</v>
      </c>
      <c r="AB2986">
        <v>0</v>
      </c>
      <c r="AC2986">
        <v>0</v>
      </c>
      <c r="AD2986">
        <v>723</v>
      </c>
    </row>
    <row r="2987" spans="1:30" x14ac:dyDescent="0.25">
      <c r="H2987" t="s">
        <v>5821</v>
      </c>
    </row>
    <row r="2988" spans="1:30" x14ac:dyDescent="0.25">
      <c r="A2988">
        <v>1491</v>
      </c>
      <c r="B2988">
        <v>2940</v>
      </c>
      <c r="C2988" t="s">
        <v>5822</v>
      </c>
      <c r="D2988" t="s">
        <v>102</v>
      </c>
      <c r="E2988" t="s">
        <v>49</v>
      </c>
      <c r="F2988" t="s">
        <v>5823</v>
      </c>
      <c r="G2988" t="str">
        <f>"00337649"</f>
        <v>00337649</v>
      </c>
      <c r="H2988" t="s">
        <v>2937</v>
      </c>
      <c r="I2988">
        <v>0</v>
      </c>
      <c r="J2988">
        <v>0</v>
      </c>
      <c r="K2988">
        <v>0</v>
      </c>
      <c r="L2988">
        <v>0</v>
      </c>
      <c r="M2988">
        <v>0</v>
      </c>
      <c r="N2988">
        <v>30</v>
      </c>
      <c r="O2988">
        <v>0</v>
      </c>
      <c r="P2988">
        <v>0</v>
      </c>
      <c r="Q2988">
        <v>0</v>
      </c>
      <c r="R2988">
        <v>0</v>
      </c>
      <c r="S2988">
        <v>0</v>
      </c>
      <c r="T2988">
        <v>0</v>
      </c>
      <c r="U2988">
        <v>0</v>
      </c>
      <c r="V2988">
        <v>0</v>
      </c>
      <c r="W2988">
        <v>0</v>
      </c>
      <c r="X2988">
        <v>0</v>
      </c>
      <c r="Z2988">
        <v>0</v>
      </c>
      <c r="AA2988">
        <v>0</v>
      </c>
      <c r="AB2988">
        <v>0</v>
      </c>
      <c r="AC2988">
        <v>0</v>
      </c>
      <c r="AD2988" t="s">
        <v>5824</v>
      </c>
    </row>
    <row r="2989" spans="1:30" x14ac:dyDescent="0.25">
      <c r="H2989" t="s">
        <v>5825</v>
      </c>
    </row>
    <row r="2990" spans="1:30" x14ac:dyDescent="0.25">
      <c r="A2990">
        <v>1492</v>
      </c>
      <c r="B2990">
        <v>1649</v>
      </c>
      <c r="C2990" t="s">
        <v>5826</v>
      </c>
      <c r="D2990" t="s">
        <v>5827</v>
      </c>
      <c r="E2990" t="s">
        <v>28</v>
      </c>
      <c r="F2990" t="s">
        <v>5828</v>
      </c>
      <c r="G2990" t="str">
        <f>"00162640"</f>
        <v>00162640</v>
      </c>
      <c r="H2990" t="s">
        <v>2937</v>
      </c>
      <c r="I2990">
        <v>0</v>
      </c>
      <c r="J2990">
        <v>0</v>
      </c>
      <c r="K2990">
        <v>0</v>
      </c>
      <c r="L2990">
        <v>0</v>
      </c>
      <c r="M2990">
        <v>0</v>
      </c>
      <c r="N2990">
        <v>30</v>
      </c>
      <c r="O2990">
        <v>0</v>
      </c>
      <c r="P2990">
        <v>0</v>
      </c>
      <c r="Q2990">
        <v>0</v>
      </c>
      <c r="R2990">
        <v>0</v>
      </c>
      <c r="S2990">
        <v>0</v>
      </c>
      <c r="T2990">
        <v>0</v>
      </c>
      <c r="U2990">
        <v>0</v>
      </c>
      <c r="V2990">
        <v>0</v>
      </c>
      <c r="W2990">
        <v>0</v>
      </c>
      <c r="X2990">
        <v>0</v>
      </c>
      <c r="Z2990">
        <v>0</v>
      </c>
      <c r="AA2990">
        <v>0</v>
      </c>
      <c r="AB2990">
        <v>0</v>
      </c>
      <c r="AC2990">
        <v>0</v>
      </c>
      <c r="AD2990" t="s">
        <v>5824</v>
      </c>
    </row>
    <row r="2991" spans="1:30" x14ac:dyDescent="0.25">
      <c r="H2991" t="s">
        <v>5829</v>
      </c>
    </row>
    <row r="2992" spans="1:30" x14ac:dyDescent="0.25">
      <c r="A2992">
        <v>1493</v>
      </c>
      <c r="B2992">
        <v>5294</v>
      </c>
      <c r="C2992" t="s">
        <v>875</v>
      </c>
      <c r="D2992" t="s">
        <v>425</v>
      </c>
      <c r="E2992" t="s">
        <v>120</v>
      </c>
      <c r="F2992" t="s">
        <v>5830</v>
      </c>
      <c r="G2992" t="str">
        <f>"00230463"</f>
        <v>00230463</v>
      </c>
      <c r="H2992" t="s">
        <v>3464</v>
      </c>
      <c r="I2992">
        <v>0</v>
      </c>
      <c r="J2992">
        <v>0</v>
      </c>
      <c r="K2992">
        <v>0</v>
      </c>
      <c r="L2992">
        <v>0</v>
      </c>
      <c r="M2992">
        <v>0</v>
      </c>
      <c r="N2992">
        <v>30</v>
      </c>
      <c r="O2992">
        <v>0</v>
      </c>
      <c r="P2992">
        <v>0</v>
      </c>
      <c r="Q2992">
        <v>0</v>
      </c>
      <c r="R2992">
        <v>0</v>
      </c>
      <c r="S2992">
        <v>0</v>
      </c>
      <c r="T2992">
        <v>0</v>
      </c>
      <c r="U2992">
        <v>0</v>
      </c>
      <c r="V2992">
        <v>0</v>
      </c>
      <c r="W2992">
        <v>0</v>
      </c>
      <c r="X2992">
        <v>0</v>
      </c>
      <c r="Z2992">
        <v>0</v>
      </c>
      <c r="AA2992">
        <v>0</v>
      </c>
      <c r="AB2992">
        <v>0</v>
      </c>
      <c r="AC2992">
        <v>0</v>
      </c>
      <c r="AD2992" t="s">
        <v>5831</v>
      </c>
    </row>
    <row r="2993" spans="1:30" x14ac:dyDescent="0.25">
      <c r="H2993" t="s">
        <v>5832</v>
      </c>
    </row>
    <row r="2994" spans="1:30" x14ac:dyDescent="0.25">
      <c r="A2994">
        <v>1494</v>
      </c>
      <c r="B2994">
        <v>5923</v>
      </c>
      <c r="C2994" t="s">
        <v>5833</v>
      </c>
      <c r="D2994" t="s">
        <v>218</v>
      </c>
      <c r="E2994" t="s">
        <v>57</v>
      </c>
      <c r="F2994" t="s">
        <v>5834</v>
      </c>
      <c r="G2994" t="str">
        <f>"201412006932"</f>
        <v>201412006932</v>
      </c>
      <c r="H2994" t="s">
        <v>3464</v>
      </c>
      <c r="I2994">
        <v>0</v>
      </c>
      <c r="J2994">
        <v>0</v>
      </c>
      <c r="K2994">
        <v>0</v>
      </c>
      <c r="L2994">
        <v>0</v>
      </c>
      <c r="M2994">
        <v>0</v>
      </c>
      <c r="N2994">
        <v>30</v>
      </c>
      <c r="O2994">
        <v>0</v>
      </c>
      <c r="P2994">
        <v>0</v>
      </c>
      <c r="Q2994">
        <v>0</v>
      </c>
      <c r="R2994">
        <v>0</v>
      </c>
      <c r="S2994">
        <v>0</v>
      </c>
      <c r="T2994">
        <v>0</v>
      </c>
      <c r="U2994">
        <v>0</v>
      </c>
      <c r="V2994">
        <v>0</v>
      </c>
      <c r="W2994">
        <v>0</v>
      </c>
      <c r="X2994">
        <v>0</v>
      </c>
      <c r="Z2994">
        <v>0</v>
      </c>
      <c r="AA2994">
        <v>0</v>
      </c>
      <c r="AB2994">
        <v>0</v>
      </c>
      <c r="AC2994">
        <v>0</v>
      </c>
      <c r="AD2994" t="s">
        <v>5831</v>
      </c>
    </row>
    <row r="2995" spans="1:30" x14ac:dyDescent="0.25">
      <c r="H2995" t="s">
        <v>1191</v>
      </c>
    </row>
    <row r="2996" spans="1:30" x14ac:dyDescent="0.25">
      <c r="A2996">
        <v>1495</v>
      </c>
      <c r="B2996">
        <v>5503</v>
      </c>
      <c r="C2996" t="s">
        <v>4408</v>
      </c>
      <c r="D2996" t="s">
        <v>218</v>
      </c>
      <c r="E2996" t="s">
        <v>120</v>
      </c>
      <c r="F2996" t="s">
        <v>5835</v>
      </c>
      <c r="G2996" t="str">
        <f>"00229110"</f>
        <v>00229110</v>
      </c>
      <c r="H2996" t="s">
        <v>2413</v>
      </c>
      <c r="I2996">
        <v>0</v>
      </c>
      <c r="J2996">
        <v>0</v>
      </c>
      <c r="K2996">
        <v>0</v>
      </c>
      <c r="L2996">
        <v>0</v>
      </c>
      <c r="M2996">
        <v>0</v>
      </c>
      <c r="N2996">
        <v>30</v>
      </c>
      <c r="O2996">
        <v>0</v>
      </c>
      <c r="P2996">
        <v>0</v>
      </c>
      <c r="Q2996">
        <v>0</v>
      </c>
      <c r="R2996">
        <v>0</v>
      </c>
      <c r="S2996">
        <v>0</v>
      </c>
      <c r="T2996">
        <v>0</v>
      </c>
      <c r="U2996">
        <v>0</v>
      </c>
      <c r="V2996">
        <v>0</v>
      </c>
      <c r="W2996">
        <v>0</v>
      </c>
      <c r="X2996">
        <v>0</v>
      </c>
      <c r="Z2996">
        <v>0</v>
      </c>
      <c r="AA2996">
        <v>0</v>
      </c>
      <c r="AB2996">
        <v>0</v>
      </c>
      <c r="AC2996">
        <v>0</v>
      </c>
      <c r="AD2996" t="s">
        <v>5836</v>
      </c>
    </row>
    <row r="2997" spans="1:30" x14ac:dyDescent="0.25">
      <c r="H2997" t="s">
        <v>5837</v>
      </c>
    </row>
    <row r="2998" spans="1:30" x14ac:dyDescent="0.25">
      <c r="A2998">
        <v>1496</v>
      </c>
      <c r="B2998">
        <v>6266</v>
      </c>
      <c r="C2998" t="s">
        <v>682</v>
      </c>
      <c r="D2998" t="s">
        <v>32</v>
      </c>
      <c r="E2998" t="s">
        <v>299</v>
      </c>
      <c r="F2998" t="s">
        <v>5838</v>
      </c>
      <c r="G2998" t="str">
        <f>"201310000059"</f>
        <v>201310000059</v>
      </c>
      <c r="H2998" t="s">
        <v>285</v>
      </c>
      <c r="I2998">
        <v>0</v>
      </c>
      <c r="J2998">
        <v>0</v>
      </c>
      <c r="K2998">
        <v>0</v>
      </c>
      <c r="L2998">
        <v>0</v>
      </c>
      <c r="M2998">
        <v>0</v>
      </c>
      <c r="N2998">
        <v>30</v>
      </c>
      <c r="O2998">
        <v>0</v>
      </c>
      <c r="P2998">
        <v>0</v>
      </c>
      <c r="Q2998">
        <v>0</v>
      </c>
      <c r="R2998">
        <v>0</v>
      </c>
      <c r="S2998">
        <v>0</v>
      </c>
      <c r="T2998">
        <v>0</v>
      </c>
      <c r="U2998">
        <v>0</v>
      </c>
      <c r="V2998">
        <v>0</v>
      </c>
      <c r="W2998">
        <v>0</v>
      </c>
      <c r="X2998">
        <v>0</v>
      </c>
      <c r="Z2998">
        <v>0</v>
      </c>
      <c r="AA2998">
        <v>0</v>
      </c>
      <c r="AB2998">
        <v>0</v>
      </c>
      <c r="AC2998">
        <v>0</v>
      </c>
      <c r="AD2998" t="s">
        <v>5839</v>
      </c>
    </row>
    <row r="2999" spans="1:30" x14ac:dyDescent="0.25">
      <c r="H2999" t="s">
        <v>5840</v>
      </c>
    </row>
    <row r="3000" spans="1:30" x14ac:dyDescent="0.25">
      <c r="A3000">
        <v>1497</v>
      </c>
      <c r="B3000">
        <v>6180</v>
      </c>
      <c r="C3000" t="s">
        <v>5841</v>
      </c>
      <c r="D3000" t="s">
        <v>1888</v>
      </c>
      <c r="E3000" t="s">
        <v>64</v>
      </c>
      <c r="F3000" t="s">
        <v>5842</v>
      </c>
      <c r="G3000" t="str">
        <f>"00369699"</f>
        <v>00369699</v>
      </c>
      <c r="H3000" t="s">
        <v>285</v>
      </c>
      <c r="I3000">
        <v>0</v>
      </c>
      <c r="J3000">
        <v>0</v>
      </c>
      <c r="K3000">
        <v>0</v>
      </c>
      <c r="L3000">
        <v>0</v>
      </c>
      <c r="M3000">
        <v>0</v>
      </c>
      <c r="N3000">
        <v>30</v>
      </c>
      <c r="O3000">
        <v>0</v>
      </c>
      <c r="P3000">
        <v>0</v>
      </c>
      <c r="Q3000">
        <v>0</v>
      </c>
      <c r="R3000">
        <v>0</v>
      </c>
      <c r="S3000">
        <v>0</v>
      </c>
      <c r="T3000">
        <v>0</v>
      </c>
      <c r="U3000">
        <v>0</v>
      </c>
      <c r="V3000">
        <v>0</v>
      </c>
      <c r="W3000">
        <v>0</v>
      </c>
      <c r="X3000">
        <v>0</v>
      </c>
      <c r="Z3000">
        <v>2</v>
      </c>
      <c r="AA3000">
        <v>0</v>
      </c>
      <c r="AB3000">
        <v>0</v>
      </c>
      <c r="AC3000">
        <v>0</v>
      </c>
      <c r="AD3000" t="s">
        <v>5839</v>
      </c>
    </row>
    <row r="3001" spans="1:30" x14ac:dyDescent="0.25">
      <c r="H3001">
        <v>1255</v>
      </c>
    </row>
    <row r="3002" spans="1:30" x14ac:dyDescent="0.25">
      <c r="A3002">
        <v>1498</v>
      </c>
      <c r="B3002">
        <v>2470</v>
      </c>
      <c r="C3002" t="s">
        <v>5843</v>
      </c>
      <c r="D3002" t="s">
        <v>598</v>
      </c>
      <c r="E3002" t="s">
        <v>5844</v>
      </c>
      <c r="F3002" t="s">
        <v>5845</v>
      </c>
      <c r="G3002" t="str">
        <f>"00189854"</f>
        <v>00189854</v>
      </c>
      <c r="H3002" t="s">
        <v>1100</v>
      </c>
      <c r="I3002">
        <v>0</v>
      </c>
      <c r="J3002">
        <v>0</v>
      </c>
      <c r="K3002">
        <v>0</v>
      </c>
      <c r="L3002">
        <v>0</v>
      </c>
      <c r="M3002">
        <v>0</v>
      </c>
      <c r="N3002">
        <v>0</v>
      </c>
      <c r="O3002">
        <v>0</v>
      </c>
      <c r="P3002">
        <v>0</v>
      </c>
      <c r="Q3002">
        <v>0</v>
      </c>
      <c r="R3002">
        <v>0</v>
      </c>
      <c r="S3002">
        <v>0</v>
      </c>
      <c r="T3002">
        <v>0</v>
      </c>
      <c r="U3002">
        <v>0</v>
      </c>
      <c r="V3002">
        <v>0</v>
      </c>
      <c r="W3002">
        <v>0</v>
      </c>
      <c r="X3002">
        <v>0</v>
      </c>
      <c r="Z3002">
        <v>0</v>
      </c>
      <c r="AA3002">
        <v>0</v>
      </c>
      <c r="AB3002">
        <v>0</v>
      </c>
      <c r="AC3002">
        <v>0</v>
      </c>
      <c r="AD3002" t="s">
        <v>1100</v>
      </c>
    </row>
    <row r="3003" spans="1:30" x14ac:dyDescent="0.25">
      <c r="H3003" t="s">
        <v>5846</v>
      </c>
    </row>
    <row r="3004" spans="1:30" x14ac:dyDescent="0.25">
      <c r="A3004">
        <v>1499</v>
      </c>
      <c r="B3004">
        <v>1207</v>
      </c>
      <c r="C3004" t="s">
        <v>5847</v>
      </c>
      <c r="D3004" t="s">
        <v>180</v>
      </c>
      <c r="E3004" t="s">
        <v>155</v>
      </c>
      <c r="F3004" t="s">
        <v>5848</v>
      </c>
      <c r="G3004" t="str">
        <f>"201406001531"</f>
        <v>201406001531</v>
      </c>
      <c r="H3004" t="s">
        <v>1796</v>
      </c>
      <c r="I3004">
        <v>0</v>
      </c>
      <c r="J3004">
        <v>0</v>
      </c>
      <c r="K3004">
        <v>0</v>
      </c>
      <c r="L3004">
        <v>0</v>
      </c>
      <c r="M3004">
        <v>0</v>
      </c>
      <c r="N3004">
        <v>30</v>
      </c>
      <c r="O3004">
        <v>0</v>
      </c>
      <c r="P3004">
        <v>0</v>
      </c>
      <c r="Q3004">
        <v>0</v>
      </c>
      <c r="R3004">
        <v>0</v>
      </c>
      <c r="S3004">
        <v>0</v>
      </c>
      <c r="T3004">
        <v>0</v>
      </c>
      <c r="U3004">
        <v>0</v>
      </c>
      <c r="V3004">
        <v>0</v>
      </c>
      <c r="W3004">
        <v>0</v>
      </c>
      <c r="X3004">
        <v>0</v>
      </c>
      <c r="Z3004">
        <v>0</v>
      </c>
      <c r="AA3004">
        <v>0</v>
      </c>
      <c r="AB3004">
        <v>0</v>
      </c>
      <c r="AC3004">
        <v>0</v>
      </c>
      <c r="AD3004" t="s">
        <v>5849</v>
      </c>
    </row>
    <row r="3005" spans="1:30" x14ac:dyDescent="0.25">
      <c r="H3005" t="s">
        <v>5850</v>
      </c>
    </row>
    <row r="3006" spans="1:30" x14ac:dyDescent="0.25">
      <c r="A3006">
        <v>1500</v>
      </c>
      <c r="B3006">
        <v>4557</v>
      </c>
      <c r="C3006" t="s">
        <v>5851</v>
      </c>
      <c r="D3006" t="s">
        <v>425</v>
      </c>
      <c r="E3006" t="s">
        <v>141</v>
      </c>
      <c r="F3006" t="s">
        <v>5852</v>
      </c>
      <c r="G3006" t="str">
        <f>"00358884"</f>
        <v>00358884</v>
      </c>
      <c r="H3006" t="s">
        <v>380</v>
      </c>
      <c r="I3006">
        <v>0</v>
      </c>
      <c r="J3006">
        <v>0</v>
      </c>
      <c r="K3006">
        <v>0</v>
      </c>
      <c r="L3006">
        <v>0</v>
      </c>
      <c r="M3006">
        <v>0</v>
      </c>
      <c r="N3006">
        <v>0</v>
      </c>
      <c r="O3006">
        <v>0</v>
      </c>
      <c r="P3006">
        <v>0</v>
      </c>
      <c r="Q3006">
        <v>0</v>
      </c>
      <c r="R3006">
        <v>0</v>
      </c>
      <c r="S3006">
        <v>0</v>
      </c>
      <c r="T3006">
        <v>0</v>
      </c>
      <c r="U3006">
        <v>0</v>
      </c>
      <c r="V3006">
        <v>6</v>
      </c>
      <c r="W3006">
        <v>42</v>
      </c>
      <c r="X3006">
        <v>0</v>
      </c>
      <c r="Z3006">
        <v>1</v>
      </c>
      <c r="AA3006">
        <v>0</v>
      </c>
      <c r="AB3006">
        <v>0</v>
      </c>
      <c r="AC3006">
        <v>0</v>
      </c>
      <c r="AD3006" t="s">
        <v>5853</v>
      </c>
    </row>
    <row r="3007" spans="1:30" x14ac:dyDescent="0.25">
      <c r="H3007" t="s">
        <v>5854</v>
      </c>
    </row>
    <row r="3008" spans="1:30" x14ac:dyDescent="0.25">
      <c r="A3008">
        <v>1501</v>
      </c>
      <c r="B3008">
        <v>1091</v>
      </c>
      <c r="C3008" t="s">
        <v>5855</v>
      </c>
      <c r="D3008" t="s">
        <v>385</v>
      </c>
      <c r="E3008" t="s">
        <v>76</v>
      </c>
      <c r="F3008" t="s">
        <v>5856</v>
      </c>
      <c r="G3008" t="str">
        <f>"00181503"</f>
        <v>00181503</v>
      </c>
      <c r="H3008" t="s">
        <v>2703</v>
      </c>
      <c r="I3008">
        <v>0</v>
      </c>
      <c r="J3008">
        <v>0</v>
      </c>
      <c r="K3008">
        <v>0</v>
      </c>
      <c r="L3008">
        <v>0</v>
      </c>
      <c r="M3008">
        <v>0</v>
      </c>
      <c r="N3008">
        <v>30</v>
      </c>
      <c r="O3008">
        <v>0</v>
      </c>
      <c r="P3008">
        <v>0</v>
      </c>
      <c r="Q3008">
        <v>0</v>
      </c>
      <c r="R3008">
        <v>0</v>
      </c>
      <c r="S3008">
        <v>0</v>
      </c>
      <c r="T3008">
        <v>0</v>
      </c>
      <c r="U3008">
        <v>0</v>
      </c>
      <c r="V3008">
        <v>0</v>
      </c>
      <c r="W3008">
        <v>0</v>
      </c>
      <c r="X3008">
        <v>0</v>
      </c>
      <c r="Z3008">
        <v>0</v>
      </c>
      <c r="AA3008">
        <v>0</v>
      </c>
      <c r="AB3008">
        <v>0</v>
      </c>
      <c r="AC3008">
        <v>0</v>
      </c>
      <c r="AD3008" t="s">
        <v>5857</v>
      </c>
    </row>
    <row r="3009" spans="1:30" x14ac:dyDescent="0.25">
      <c r="H3009" t="s">
        <v>5858</v>
      </c>
    </row>
    <row r="3010" spans="1:30" x14ac:dyDescent="0.25">
      <c r="A3010">
        <v>1502</v>
      </c>
      <c r="B3010">
        <v>2301</v>
      </c>
      <c r="C3010" t="s">
        <v>5859</v>
      </c>
      <c r="D3010" t="s">
        <v>218</v>
      </c>
      <c r="E3010" t="s">
        <v>32</v>
      </c>
      <c r="F3010" t="s">
        <v>5860</v>
      </c>
      <c r="G3010" t="str">
        <f>"00160333"</f>
        <v>00160333</v>
      </c>
      <c r="H3010" t="s">
        <v>505</v>
      </c>
      <c r="I3010">
        <v>0</v>
      </c>
      <c r="J3010">
        <v>0</v>
      </c>
      <c r="K3010">
        <v>0</v>
      </c>
      <c r="L3010">
        <v>0</v>
      </c>
      <c r="M3010">
        <v>0</v>
      </c>
      <c r="N3010">
        <v>30</v>
      </c>
      <c r="O3010">
        <v>0</v>
      </c>
      <c r="P3010">
        <v>0</v>
      </c>
      <c r="Q3010">
        <v>0</v>
      </c>
      <c r="R3010">
        <v>0</v>
      </c>
      <c r="S3010">
        <v>0</v>
      </c>
      <c r="T3010">
        <v>0</v>
      </c>
      <c r="U3010">
        <v>0</v>
      </c>
      <c r="V3010">
        <v>0</v>
      </c>
      <c r="W3010">
        <v>0</v>
      </c>
      <c r="X3010">
        <v>0</v>
      </c>
      <c r="Z3010">
        <v>1</v>
      </c>
      <c r="AA3010">
        <v>0</v>
      </c>
      <c r="AB3010">
        <v>0</v>
      </c>
      <c r="AC3010">
        <v>0</v>
      </c>
      <c r="AD3010" t="s">
        <v>5861</v>
      </c>
    </row>
    <row r="3011" spans="1:30" x14ac:dyDescent="0.25">
      <c r="H3011" t="s">
        <v>5862</v>
      </c>
    </row>
    <row r="3012" spans="1:30" x14ac:dyDescent="0.25">
      <c r="A3012">
        <v>1503</v>
      </c>
      <c r="B3012">
        <v>5826</v>
      </c>
      <c r="C3012" t="s">
        <v>5863</v>
      </c>
      <c r="D3012" t="s">
        <v>5864</v>
      </c>
      <c r="E3012" t="s">
        <v>5865</v>
      </c>
      <c r="F3012" t="s">
        <v>5866</v>
      </c>
      <c r="G3012" t="str">
        <f>"00350478"</f>
        <v>00350478</v>
      </c>
      <c r="H3012" t="s">
        <v>505</v>
      </c>
      <c r="I3012">
        <v>0</v>
      </c>
      <c r="J3012">
        <v>0</v>
      </c>
      <c r="K3012">
        <v>0</v>
      </c>
      <c r="L3012">
        <v>0</v>
      </c>
      <c r="M3012">
        <v>0</v>
      </c>
      <c r="N3012">
        <v>30</v>
      </c>
      <c r="O3012">
        <v>0</v>
      </c>
      <c r="P3012">
        <v>0</v>
      </c>
      <c r="Q3012">
        <v>0</v>
      </c>
      <c r="R3012">
        <v>0</v>
      </c>
      <c r="S3012">
        <v>0</v>
      </c>
      <c r="T3012">
        <v>0</v>
      </c>
      <c r="U3012">
        <v>0</v>
      </c>
      <c r="V3012">
        <v>0</v>
      </c>
      <c r="W3012">
        <v>0</v>
      </c>
      <c r="X3012">
        <v>0</v>
      </c>
      <c r="Z3012">
        <v>0</v>
      </c>
      <c r="AA3012">
        <v>0</v>
      </c>
      <c r="AB3012">
        <v>0</v>
      </c>
      <c r="AC3012">
        <v>0</v>
      </c>
      <c r="AD3012" t="s">
        <v>5861</v>
      </c>
    </row>
    <row r="3013" spans="1:30" x14ac:dyDescent="0.25">
      <c r="H3013" t="s">
        <v>5277</v>
      </c>
    </row>
    <row r="3014" spans="1:30" x14ac:dyDescent="0.25">
      <c r="A3014">
        <v>1504</v>
      </c>
      <c r="B3014">
        <v>5844</v>
      </c>
      <c r="C3014" t="s">
        <v>5867</v>
      </c>
      <c r="D3014" t="s">
        <v>4459</v>
      </c>
      <c r="E3014" t="s">
        <v>102</v>
      </c>
      <c r="F3014" t="s">
        <v>5868</v>
      </c>
      <c r="G3014" t="str">
        <f>"201410002556"</f>
        <v>201410002556</v>
      </c>
      <c r="H3014">
        <v>715</v>
      </c>
      <c r="I3014">
        <v>0</v>
      </c>
      <c r="J3014">
        <v>0</v>
      </c>
      <c r="K3014">
        <v>0</v>
      </c>
      <c r="L3014">
        <v>0</v>
      </c>
      <c r="M3014">
        <v>0</v>
      </c>
      <c r="N3014">
        <v>0</v>
      </c>
      <c r="O3014">
        <v>0</v>
      </c>
      <c r="P3014">
        <v>0</v>
      </c>
      <c r="Q3014">
        <v>0</v>
      </c>
      <c r="R3014">
        <v>0</v>
      </c>
      <c r="S3014">
        <v>0</v>
      </c>
      <c r="T3014">
        <v>0</v>
      </c>
      <c r="U3014">
        <v>0</v>
      </c>
      <c r="V3014">
        <v>0</v>
      </c>
      <c r="W3014">
        <v>0</v>
      </c>
      <c r="X3014">
        <v>0</v>
      </c>
      <c r="Z3014">
        <v>0</v>
      </c>
      <c r="AA3014">
        <v>0</v>
      </c>
      <c r="AB3014">
        <v>0</v>
      </c>
      <c r="AC3014">
        <v>0</v>
      </c>
      <c r="AD3014">
        <v>715</v>
      </c>
    </row>
    <row r="3015" spans="1:30" x14ac:dyDescent="0.25">
      <c r="H3015" t="s">
        <v>5869</v>
      </c>
    </row>
    <row r="3016" spans="1:30" x14ac:dyDescent="0.25">
      <c r="A3016">
        <v>1505</v>
      </c>
      <c r="B3016">
        <v>3591</v>
      </c>
      <c r="C3016" t="s">
        <v>5870</v>
      </c>
      <c r="D3016" t="s">
        <v>815</v>
      </c>
      <c r="E3016" t="s">
        <v>859</v>
      </c>
      <c r="F3016" t="s">
        <v>5871</v>
      </c>
      <c r="G3016" t="str">
        <f>"200810000426"</f>
        <v>200810000426</v>
      </c>
      <c r="H3016" t="s">
        <v>2457</v>
      </c>
      <c r="I3016">
        <v>0</v>
      </c>
      <c r="J3016">
        <v>0</v>
      </c>
      <c r="K3016">
        <v>0</v>
      </c>
      <c r="L3016">
        <v>0</v>
      </c>
      <c r="M3016">
        <v>0</v>
      </c>
      <c r="N3016">
        <v>30</v>
      </c>
      <c r="O3016">
        <v>0</v>
      </c>
      <c r="P3016">
        <v>0</v>
      </c>
      <c r="Q3016">
        <v>0</v>
      </c>
      <c r="R3016">
        <v>0</v>
      </c>
      <c r="S3016">
        <v>0</v>
      </c>
      <c r="T3016">
        <v>0</v>
      </c>
      <c r="U3016">
        <v>0</v>
      </c>
      <c r="V3016">
        <v>0</v>
      </c>
      <c r="W3016">
        <v>0</v>
      </c>
      <c r="X3016">
        <v>0</v>
      </c>
      <c r="Z3016">
        <v>0</v>
      </c>
      <c r="AA3016">
        <v>0</v>
      </c>
      <c r="AB3016">
        <v>0</v>
      </c>
      <c r="AC3016">
        <v>0</v>
      </c>
      <c r="AD3016" t="s">
        <v>5872</v>
      </c>
    </row>
    <row r="3017" spans="1:30" x14ac:dyDescent="0.25">
      <c r="H3017" t="s">
        <v>5873</v>
      </c>
    </row>
    <row r="3018" spans="1:30" x14ac:dyDescent="0.25">
      <c r="A3018">
        <v>1506</v>
      </c>
      <c r="B3018">
        <v>5051</v>
      </c>
      <c r="C3018" t="s">
        <v>5874</v>
      </c>
      <c r="D3018" t="s">
        <v>2030</v>
      </c>
      <c r="E3018" t="s">
        <v>542</v>
      </c>
      <c r="F3018" t="s">
        <v>5875</v>
      </c>
      <c r="G3018" t="str">
        <f>"00342422"</f>
        <v>00342422</v>
      </c>
      <c r="H3018" t="s">
        <v>2457</v>
      </c>
      <c r="I3018">
        <v>0</v>
      </c>
      <c r="J3018">
        <v>0</v>
      </c>
      <c r="K3018">
        <v>0</v>
      </c>
      <c r="L3018">
        <v>0</v>
      </c>
      <c r="M3018">
        <v>0</v>
      </c>
      <c r="N3018">
        <v>30</v>
      </c>
      <c r="O3018">
        <v>0</v>
      </c>
      <c r="P3018">
        <v>0</v>
      </c>
      <c r="Q3018">
        <v>0</v>
      </c>
      <c r="R3018">
        <v>0</v>
      </c>
      <c r="S3018">
        <v>0</v>
      </c>
      <c r="T3018">
        <v>0</v>
      </c>
      <c r="U3018">
        <v>0</v>
      </c>
      <c r="V3018">
        <v>0</v>
      </c>
      <c r="W3018">
        <v>0</v>
      </c>
      <c r="X3018">
        <v>0</v>
      </c>
      <c r="Z3018">
        <v>0</v>
      </c>
      <c r="AA3018">
        <v>0</v>
      </c>
      <c r="AB3018">
        <v>0</v>
      </c>
      <c r="AC3018">
        <v>0</v>
      </c>
      <c r="AD3018" t="s">
        <v>5872</v>
      </c>
    </row>
    <row r="3019" spans="1:30" x14ac:dyDescent="0.25">
      <c r="H3019" t="s">
        <v>5876</v>
      </c>
    </row>
    <row r="3020" spans="1:30" x14ac:dyDescent="0.25">
      <c r="A3020">
        <v>1507</v>
      </c>
      <c r="B3020">
        <v>1950</v>
      </c>
      <c r="C3020" t="s">
        <v>5877</v>
      </c>
      <c r="D3020" t="s">
        <v>167</v>
      </c>
      <c r="E3020" t="s">
        <v>28</v>
      </c>
      <c r="F3020" t="s">
        <v>5878</v>
      </c>
      <c r="G3020" t="str">
        <f>"00112931"</f>
        <v>00112931</v>
      </c>
      <c r="H3020" t="s">
        <v>2798</v>
      </c>
      <c r="I3020">
        <v>0</v>
      </c>
      <c r="J3020">
        <v>0</v>
      </c>
      <c r="K3020">
        <v>0</v>
      </c>
      <c r="L3020">
        <v>0</v>
      </c>
      <c r="M3020">
        <v>0</v>
      </c>
      <c r="N3020">
        <v>0</v>
      </c>
      <c r="O3020">
        <v>0</v>
      </c>
      <c r="P3020">
        <v>0</v>
      </c>
      <c r="Q3020">
        <v>0</v>
      </c>
      <c r="R3020">
        <v>0</v>
      </c>
      <c r="S3020">
        <v>0</v>
      </c>
      <c r="T3020">
        <v>0</v>
      </c>
      <c r="U3020">
        <v>0</v>
      </c>
      <c r="V3020">
        <v>6</v>
      </c>
      <c r="W3020">
        <v>42</v>
      </c>
      <c r="X3020">
        <v>0</v>
      </c>
      <c r="Z3020">
        <v>0</v>
      </c>
      <c r="AA3020">
        <v>0</v>
      </c>
      <c r="AB3020">
        <v>0</v>
      </c>
      <c r="AC3020">
        <v>0</v>
      </c>
      <c r="AD3020" t="s">
        <v>5879</v>
      </c>
    </row>
    <row r="3021" spans="1:30" x14ac:dyDescent="0.25">
      <c r="H3021" t="s">
        <v>5880</v>
      </c>
    </row>
    <row r="3022" spans="1:30" x14ac:dyDescent="0.25">
      <c r="A3022">
        <v>1508</v>
      </c>
      <c r="B3022">
        <v>3193</v>
      </c>
      <c r="C3022" t="s">
        <v>5881</v>
      </c>
      <c r="D3022" t="s">
        <v>5882</v>
      </c>
      <c r="E3022" t="s">
        <v>33</v>
      </c>
      <c r="F3022" t="s">
        <v>5883</v>
      </c>
      <c r="G3022" t="str">
        <f>"00350901"</f>
        <v>00350901</v>
      </c>
      <c r="H3022" t="s">
        <v>1719</v>
      </c>
      <c r="I3022">
        <v>0</v>
      </c>
      <c r="J3022">
        <v>0</v>
      </c>
      <c r="K3022">
        <v>0</v>
      </c>
      <c r="L3022">
        <v>0</v>
      </c>
      <c r="M3022">
        <v>0</v>
      </c>
      <c r="N3022">
        <v>0</v>
      </c>
      <c r="O3022">
        <v>0</v>
      </c>
      <c r="P3022">
        <v>0</v>
      </c>
      <c r="Q3022">
        <v>0</v>
      </c>
      <c r="R3022">
        <v>0</v>
      </c>
      <c r="S3022">
        <v>0</v>
      </c>
      <c r="T3022">
        <v>0</v>
      </c>
      <c r="U3022">
        <v>0</v>
      </c>
      <c r="V3022">
        <v>0</v>
      </c>
      <c r="W3022">
        <v>0</v>
      </c>
      <c r="X3022">
        <v>0</v>
      </c>
      <c r="Z3022">
        <v>0</v>
      </c>
      <c r="AA3022">
        <v>0</v>
      </c>
      <c r="AB3022">
        <v>0</v>
      </c>
      <c r="AC3022">
        <v>0</v>
      </c>
      <c r="AD3022" t="s">
        <v>1719</v>
      </c>
    </row>
    <row r="3023" spans="1:30" x14ac:dyDescent="0.25">
      <c r="H3023" t="s">
        <v>5884</v>
      </c>
    </row>
    <row r="3024" spans="1:30" x14ac:dyDescent="0.25">
      <c r="A3024">
        <v>1509</v>
      </c>
      <c r="B3024">
        <v>2224</v>
      </c>
      <c r="C3024" t="s">
        <v>5885</v>
      </c>
      <c r="D3024" t="s">
        <v>120</v>
      </c>
      <c r="E3024" t="s">
        <v>5886</v>
      </c>
      <c r="F3024" t="s">
        <v>5887</v>
      </c>
      <c r="G3024" t="str">
        <f>"00325297"</f>
        <v>00325297</v>
      </c>
      <c r="H3024" t="s">
        <v>1719</v>
      </c>
      <c r="I3024">
        <v>0</v>
      </c>
      <c r="J3024">
        <v>0</v>
      </c>
      <c r="K3024">
        <v>0</v>
      </c>
      <c r="L3024">
        <v>0</v>
      </c>
      <c r="M3024">
        <v>0</v>
      </c>
      <c r="N3024">
        <v>0</v>
      </c>
      <c r="O3024">
        <v>0</v>
      </c>
      <c r="P3024">
        <v>0</v>
      </c>
      <c r="Q3024">
        <v>0</v>
      </c>
      <c r="R3024">
        <v>0</v>
      </c>
      <c r="S3024">
        <v>0</v>
      </c>
      <c r="T3024">
        <v>0</v>
      </c>
      <c r="U3024">
        <v>0</v>
      </c>
      <c r="V3024">
        <v>0</v>
      </c>
      <c r="W3024">
        <v>0</v>
      </c>
      <c r="X3024">
        <v>0</v>
      </c>
      <c r="Z3024">
        <v>0</v>
      </c>
      <c r="AA3024">
        <v>0</v>
      </c>
      <c r="AB3024">
        <v>0</v>
      </c>
      <c r="AC3024">
        <v>0</v>
      </c>
      <c r="AD3024" t="s">
        <v>1719</v>
      </c>
    </row>
    <row r="3025" spans="1:30" x14ac:dyDescent="0.25">
      <c r="H3025" t="s">
        <v>5888</v>
      </c>
    </row>
    <row r="3026" spans="1:30" x14ac:dyDescent="0.25">
      <c r="A3026">
        <v>1510</v>
      </c>
      <c r="B3026">
        <v>208</v>
      </c>
      <c r="C3026" t="s">
        <v>5889</v>
      </c>
      <c r="D3026" t="s">
        <v>444</v>
      </c>
      <c r="E3026" t="s">
        <v>50</v>
      </c>
      <c r="F3026" t="s">
        <v>5890</v>
      </c>
      <c r="G3026" t="str">
        <f>"00283180"</f>
        <v>00283180</v>
      </c>
      <c r="H3026" t="s">
        <v>1719</v>
      </c>
      <c r="I3026">
        <v>0</v>
      </c>
      <c r="J3026">
        <v>0</v>
      </c>
      <c r="K3026">
        <v>0</v>
      </c>
      <c r="L3026">
        <v>0</v>
      </c>
      <c r="M3026">
        <v>0</v>
      </c>
      <c r="N3026">
        <v>0</v>
      </c>
      <c r="O3026">
        <v>0</v>
      </c>
      <c r="P3026">
        <v>0</v>
      </c>
      <c r="Q3026">
        <v>0</v>
      </c>
      <c r="R3026">
        <v>0</v>
      </c>
      <c r="S3026">
        <v>0</v>
      </c>
      <c r="T3026">
        <v>0</v>
      </c>
      <c r="U3026">
        <v>0</v>
      </c>
      <c r="V3026">
        <v>0</v>
      </c>
      <c r="W3026">
        <v>0</v>
      </c>
      <c r="X3026">
        <v>0</v>
      </c>
      <c r="Z3026">
        <v>1</v>
      </c>
      <c r="AA3026">
        <v>0</v>
      </c>
      <c r="AB3026">
        <v>0</v>
      </c>
      <c r="AC3026">
        <v>0</v>
      </c>
      <c r="AD3026" t="s">
        <v>1719</v>
      </c>
    </row>
    <row r="3027" spans="1:30" x14ac:dyDescent="0.25">
      <c r="H3027" t="s">
        <v>5891</v>
      </c>
    </row>
    <row r="3028" spans="1:30" x14ac:dyDescent="0.25">
      <c r="A3028">
        <v>1511</v>
      </c>
      <c r="B3028">
        <v>2467</v>
      </c>
      <c r="C3028" t="s">
        <v>5892</v>
      </c>
      <c r="D3028" t="s">
        <v>283</v>
      </c>
      <c r="E3028" t="s">
        <v>1406</v>
      </c>
      <c r="F3028" t="s">
        <v>5893</v>
      </c>
      <c r="G3028" t="str">
        <f>"00191003"</f>
        <v>00191003</v>
      </c>
      <c r="H3028" t="s">
        <v>363</v>
      </c>
      <c r="I3028">
        <v>0</v>
      </c>
      <c r="J3028">
        <v>0</v>
      </c>
      <c r="K3028">
        <v>0</v>
      </c>
      <c r="L3028">
        <v>0</v>
      </c>
      <c r="M3028">
        <v>0</v>
      </c>
      <c r="N3028">
        <v>30</v>
      </c>
      <c r="O3028">
        <v>0</v>
      </c>
      <c r="P3028">
        <v>0</v>
      </c>
      <c r="Q3028">
        <v>0</v>
      </c>
      <c r="R3028">
        <v>0</v>
      </c>
      <c r="S3028">
        <v>0</v>
      </c>
      <c r="T3028">
        <v>0</v>
      </c>
      <c r="U3028">
        <v>0</v>
      </c>
      <c r="V3028">
        <v>0</v>
      </c>
      <c r="W3028">
        <v>0</v>
      </c>
      <c r="X3028">
        <v>0</v>
      </c>
      <c r="Z3028">
        <v>1</v>
      </c>
      <c r="AA3028">
        <v>0</v>
      </c>
      <c r="AB3028">
        <v>0</v>
      </c>
      <c r="AC3028">
        <v>0</v>
      </c>
      <c r="AD3028" t="s">
        <v>5894</v>
      </c>
    </row>
    <row r="3029" spans="1:30" x14ac:dyDescent="0.25">
      <c r="H3029" t="s">
        <v>5895</v>
      </c>
    </row>
    <row r="3030" spans="1:30" x14ac:dyDescent="0.25">
      <c r="A3030">
        <v>1512</v>
      </c>
      <c r="B3030">
        <v>439</v>
      </c>
      <c r="C3030" t="s">
        <v>5896</v>
      </c>
      <c r="D3030" t="s">
        <v>815</v>
      </c>
      <c r="E3030" t="s">
        <v>107</v>
      </c>
      <c r="F3030" t="s">
        <v>5897</v>
      </c>
      <c r="G3030" t="str">
        <f>"200802003659"</f>
        <v>200802003659</v>
      </c>
      <c r="H3030" t="s">
        <v>1588</v>
      </c>
      <c r="I3030">
        <v>0</v>
      </c>
      <c r="J3030">
        <v>0</v>
      </c>
      <c r="K3030">
        <v>0</v>
      </c>
      <c r="L3030">
        <v>0</v>
      </c>
      <c r="M3030">
        <v>0</v>
      </c>
      <c r="N3030">
        <v>0</v>
      </c>
      <c r="O3030">
        <v>0</v>
      </c>
      <c r="P3030">
        <v>0</v>
      </c>
      <c r="Q3030">
        <v>0</v>
      </c>
      <c r="R3030">
        <v>0</v>
      </c>
      <c r="S3030">
        <v>0</v>
      </c>
      <c r="T3030">
        <v>0</v>
      </c>
      <c r="U3030">
        <v>0</v>
      </c>
      <c r="V3030">
        <v>0</v>
      </c>
      <c r="W3030">
        <v>0</v>
      </c>
      <c r="X3030">
        <v>0</v>
      </c>
      <c r="Z3030">
        <v>0</v>
      </c>
      <c r="AA3030">
        <v>0</v>
      </c>
      <c r="AB3030">
        <v>0</v>
      </c>
      <c r="AC3030">
        <v>0</v>
      </c>
      <c r="AD3030" t="s">
        <v>1588</v>
      </c>
    </row>
    <row r="3031" spans="1:30" x14ac:dyDescent="0.25">
      <c r="H3031" t="s">
        <v>5898</v>
      </c>
    </row>
    <row r="3032" spans="1:30" x14ac:dyDescent="0.25">
      <c r="A3032">
        <v>1513</v>
      </c>
      <c r="B3032">
        <v>2570</v>
      </c>
      <c r="C3032" t="s">
        <v>5899</v>
      </c>
      <c r="D3032" t="s">
        <v>1480</v>
      </c>
      <c r="E3032" t="s">
        <v>102</v>
      </c>
      <c r="F3032" t="s">
        <v>5900</v>
      </c>
      <c r="G3032" t="str">
        <f>"00253053"</f>
        <v>00253053</v>
      </c>
      <c r="H3032" t="s">
        <v>2497</v>
      </c>
      <c r="I3032">
        <v>0</v>
      </c>
      <c r="J3032">
        <v>0</v>
      </c>
      <c r="K3032">
        <v>0</v>
      </c>
      <c r="L3032">
        <v>0</v>
      </c>
      <c r="M3032">
        <v>0</v>
      </c>
      <c r="N3032">
        <v>30</v>
      </c>
      <c r="O3032">
        <v>0</v>
      </c>
      <c r="P3032">
        <v>0</v>
      </c>
      <c r="Q3032">
        <v>0</v>
      </c>
      <c r="R3032">
        <v>0</v>
      </c>
      <c r="S3032">
        <v>0</v>
      </c>
      <c r="T3032">
        <v>0</v>
      </c>
      <c r="U3032">
        <v>0</v>
      </c>
      <c r="V3032">
        <v>0</v>
      </c>
      <c r="W3032">
        <v>0</v>
      </c>
      <c r="X3032">
        <v>0</v>
      </c>
      <c r="Z3032">
        <v>0</v>
      </c>
      <c r="AA3032">
        <v>0</v>
      </c>
      <c r="AB3032">
        <v>0</v>
      </c>
      <c r="AC3032">
        <v>0</v>
      </c>
      <c r="AD3032" t="s">
        <v>5901</v>
      </c>
    </row>
    <row r="3033" spans="1:30" x14ac:dyDescent="0.25">
      <c r="H3033" t="s">
        <v>1327</v>
      </c>
    </row>
    <row r="3034" spans="1:30" x14ac:dyDescent="0.25">
      <c r="A3034">
        <v>1514</v>
      </c>
      <c r="B3034">
        <v>1811</v>
      </c>
      <c r="C3034" t="s">
        <v>5902</v>
      </c>
      <c r="D3034" t="s">
        <v>5903</v>
      </c>
      <c r="E3034" t="s">
        <v>181</v>
      </c>
      <c r="F3034" t="s">
        <v>5904</v>
      </c>
      <c r="G3034" t="str">
        <f>"00316930"</f>
        <v>00316930</v>
      </c>
      <c r="H3034">
        <v>660</v>
      </c>
      <c r="I3034">
        <v>0</v>
      </c>
      <c r="J3034">
        <v>0</v>
      </c>
      <c r="K3034">
        <v>0</v>
      </c>
      <c r="L3034">
        <v>0</v>
      </c>
      <c r="M3034">
        <v>0</v>
      </c>
      <c r="N3034">
        <v>50</v>
      </c>
      <c r="O3034">
        <v>0</v>
      </c>
      <c r="P3034">
        <v>0</v>
      </c>
      <c r="Q3034">
        <v>0</v>
      </c>
      <c r="R3034">
        <v>0</v>
      </c>
      <c r="S3034">
        <v>0</v>
      </c>
      <c r="T3034">
        <v>0</v>
      </c>
      <c r="U3034">
        <v>0</v>
      </c>
      <c r="V3034">
        <v>0</v>
      </c>
      <c r="W3034">
        <v>0</v>
      </c>
      <c r="X3034">
        <v>0</v>
      </c>
      <c r="Z3034">
        <v>0</v>
      </c>
      <c r="AA3034">
        <v>0</v>
      </c>
      <c r="AB3034">
        <v>0</v>
      </c>
      <c r="AC3034">
        <v>0</v>
      </c>
      <c r="AD3034">
        <v>710</v>
      </c>
    </row>
    <row r="3035" spans="1:30" x14ac:dyDescent="0.25">
      <c r="H3035" t="s">
        <v>5905</v>
      </c>
    </row>
    <row r="3036" spans="1:30" x14ac:dyDescent="0.25">
      <c r="A3036">
        <v>1515</v>
      </c>
      <c r="B3036">
        <v>2924</v>
      </c>
      <c r="C3036" t="s">
        <v>5906</v>
      </c>
      <c r="D3036" t="s">
        <v>325</v>
      </c>
      <c r="E3036" t="s">
        <v>129</v>
      </c>
      <c r="F3036" t="s">
        <v>5907</v>
      </c>
      <c r="G3036" t="str">
        <f>"00252151"</f>
        <v>00252151</v>
      </c>
      <c r="H3036">
        <v>660</v>
      </c>
      <c r="I3036">
        <v>0</v>
      </c>
      <c r="J3036">
        <v>0</v>
      </c>
      <c r="K3036">
        <v>0</v>
      </c>
      <c r="L3036">
        <v>0</v>
      </c>
      <c r="M3036">
        <v>0</v>
      </c>
      <c r="N3036">
        <v>50</v>
      </c>
      <c r="O3036">
        <v>0</v>
      </c>
      <c r="P3036">
        <v>0</v>
      </c>
      <c r="Q3036">
        <v>0</v>
      </c>
      <c r="R3036">
        <v>0</v>
      </c>
      <c r="S3036">
        <v>0</v>
      </c>
      <c r="T3036">
        <v>0</v>
      </c>
      <c r="U3036">
        <v>0</v>
      </c>
      <c r="V3036">
        <v>0</v>
      </c>
      <c r="W3036">
        <v>0</v>
      </c>
      <c r="X3036">
        <v>0</v>
      </c>
      <c r="Z3036">
        <v>0</v>
      </c>
      <c r="AA3036">
        <v>0</v>
      </c>
      <c r="AB3036">
        <v>0</v>
      </c>
      <c r="AC3036">
        <v>0</v>
      </c>
      <c r="AD3036">
        <v>710</v>
      </c>
    </row>
    <row r="3037" spans="1:30" x14ac:dyDescent="0.25">
      <c r="H3037" t="s">
        <v>570</v>
      </c>
    </row>
    <row r="3038" spans="1:30" x14ac:dyDescent="0.25">
      <c r="A3038">
        <v>1516</v>
      </c>
      <c r="B3038">
        <v>4762</v>
      </c>
      <c r="C3038" t="s">
        <v>5908</v>
      </c>
      <c r="D3038" t="s">
        <v>151</v>
      </c>
      <c r="E3038" t="s">
        <v>32</v>
      </c>
      <c r="F3038" t="s">
        <v>5909</v>
      </c>
      <c r="G3038" t="str">
        <f>"00365310"</f>
        <v>00365310</v>
      </c>
      <c r="H3038" t="s">
        <v>2552</v>
      </c>
      <c r="I3038">
        <v>0</v>
      </c>
      <c r="J3038">
        <v>0</v>
      </c>
      <c r="K3038">
        <v>0</v>
      </c>
      <c r="L3038">
        <v>0</v>
      </c>
      <c r="M3038">
        <v>0</v>
      </c>
      <c r="N3038">
        <v>0</v>
      </c>
      <c r="O3038">
        <v>0</v>
      </c>
      <c r="P3038">
        <v>30</v>
      </c>
      <c r="Q3038">
        <v>0</v>
      </c>
      <c r="R3038">
        <v>0</v>
      </c>
      <c r="S3038">
        <v>0</v>
      </c>
      <c r="T3038">
        <v>0</v>
      </c>
      <c r="U3038">
        <v>0</v>
      </c>
      <c r="V3038">
        <v>0</v>
      </c>
      <c r="W3038">
        <v>0</v>
      </c>
      <c r="X3038">
        <v>0</v>
      </c>
      <c r="Z3038">
        <v>0</v>
      </c>
      <c r="AA3038">
        <v>0</v>
      </c>
      <c r="AB3038">
        <v>0</v>
      </c>
      <c r="AC3038">
        <v>0</v>
      </c>
      <c r="AD3038" t="s">
        <v>5910</v>
      </c>
    </row>
    <row r="3039" spans="1:30" x14ac:dyDescent="0.25">
      <c r="H3039">
        <v>1255</v>
      </c>
    </row>
    <row r="3040" spans="1:30" x14ac:dyDescent="0.25">
      <c r="A3040">
        <v>1517</v>
      </c>
      <c r="B3040">
        <v>4058</v>
      </c>
      <c r="C3040" t="s">
        <v>5911</v>
      </c>
      <c r="D3040" t="s">
        <v>180</v>
      </c>
      <c r="E3040" t="s">
        <v>28</v>
      </c>
      <c r="F3040" t="s">
        <v>5912</v>
      </c>
      <c r="G3040" t="str">
        <f>"00157523"</f>
        <v>00157523</v>
      </c>
      <c r="H3040" t="s">
        <v>4053</v>
      </c>
      <c r="I3040">
        <v>0</v>
      </c>
      <c r="J3040">
        <v>0</v>
      </c>
      <c r="K3040">
        <v>0</v>
      </c>
      <c r="L3040">
        <v>0</v>
      </c>
      <c r="M3040">
        <v>0</v>
      </c>
      <c r="N3040">
        <v>30</v>
      </c>
      <c r="O3040">
        <v>0</v>
      </c>
      <c r="P3040">
        <v>0</v>
      </c>
      <c r="Q3040">
        <v>0</v>
      </c>
      <c r="R3040">
        <v>0</v>
      </c>
      <c r="S3040">
        <v>0</v>
      </c>
      <c r="T3040">
        <v>0</v>
      </c>
      <c r="U3040">
        <v>0</v>
      </c>
      <c r="V3040">
        <v>8</v>
      </c>
      <c r="W3040">
        <v>56</v>
      </c>
      <c r="X3040">
        <v>0</v>
      </c>
      <c r="Z3040">
        <v>2</v>
      </c>
      <c r="AA3040">
        <v>0</v>
      </c>
      <c r="AB3040">
        <v>0</v>
      </c>
      <c r="AC3040">
        <v>0</v>
      </c>
      <c r="AD3040" t="s">
        <v>5913</v>
      </c>
    </row>
    <row r="3041" spans="1:30" x14ac:dyDescent="0.25">
      <c r="H3041" t="s">
        <v>5914</v>
      </c>
    </row>
    <row r="3042" spans="1:30" x14ac:dyDescent="0.25">
      <c r="A3042">
        <v>1518</v>
      </c>
      <c r="B3042">
        <v>782</v>
      </c>
      <c r="C3042" t="s">
        <v>5915</v>
      </c>
      <c r="D3042" t="s">
        <v>465</v>
      </c>
      <c r="E3042" t="s">
        <v>167</v>
      </c>
      <c r="F3042" t="s">
        <v>5916</v>
      </c>
      <c r="G3042" t="str">
        <f>"201410002619"</f>
        <v>201410002619</v>
      </c>
      <c r="H3042">
        <v>638</v>
      </c>
      <c r="I3042">
        <v>0</v>
      </c>
      <c r="J3042">
        <v>0</v>
      </c>
      <c r="K3042">
        <v>0</v>
      </c>
      <c r="L3042">
        <v>0</v>
      </c>
      <c r="M3042">
        <v>0</v>
      </c>
      <c r="N3042">
        <v>70</v>
      </c>
      <c r="O3042">
        <v>0</v>
      </c>
      <c r="P3042">
        <v>0</v>
      </c>
      <c r="Q3042">
        <v>0</v>
      </c>
      <c r="R3042">
        <v>0</v>
      </c>
      <c r="S3042">
        <v>0</v>
      </c>
      <c r="T3042">
        <v>0</v>
      </c>
      <c r="U3042">
        <v>0</v>
      </c>
      <c r="V3042">
        <v>0</v>
      </c>
      <c r="W3042">
        <v>0</v>
      </c>
      <c r="X3042">
        <v>0</v>
      </c>
      <c r="Z3042">
        <v>2</v>
      </c>
      <c r="AA3042">
        <v>0</v>
      </c>
      <c r="AB3042">
        <v>0</v>
      </c>
      <c r="AC3042">
        <v>0</v>
      </c>
      <c r="AD3042">
        <v>708</v>
      </c>
    </row>
    <row r="3043" spans="1:30" x14ac:dyDescent="0.25">
      <c r="H3043" t="s">
        <v>301</v>
      </c>
    </row>
    <row r="3044" spans="1:30" x14ac:dyDescent="0.25">
      <c r="A3044">
        <v>1519</v>
      </c>
      <c r="B3044">
        <v>2615</v>
      </c>
      <c r="C3044" t="s">
        <v>5917</v>
      </c>
      <c r="D3044" t="s">
        <v>5918</v>
      </c>
      <c r="E3044" t="s">
        <v>254</v>
      </c>
      <c r="F3044" t="s">
        <v>5919</v>
      </c>
      <c r="G3044" t="str">
        <f>"00326114"</f>
        <v>00326114</v>
      </c>
      <c r="H3044" t="s">
        <v>1080</v>
      </c>
      <c r="I3044">
        <v>0</v>
      </c>
      <c r="J3044">
        <v>0</v>
      </c>
      <c r="K3044">
        <v>0</v>
      </c>
      <c r="L3044">
        <v>0</v>
      </c>
      <c r="M3044">
        <v>0</v>
      </c>
      <c r="N3044">
        <v>30</v>
      </c>
      <c r="O3044">
        <v>0</v>
      </c>
      <c r="P3044">
        <v>0</v>
      </c>
      <c r="Q3044">
        <v>0</v>
      </c>
      <c r="R3044">
        <v>0</v>
      </c>
      <c r="S3044">
        <v>0</v>
      </c>
      <c r="T3044">
        <v>0</v>
      </c>
      <c r="U3044">
        <v>0</v>
      </c>
      <c r="V3044">
        <v>0</v>
      </c>
      <c r="W3044">
        <v>0</v>
      </c>
      <c r="X3044">
        <v>0</v>
      </c>
      <c r="Z3044">
        <v>0</v>
      </c>
      <c r="AA3044">
        <v>0</v>
      </c>
      <c r="AB3044">
        <v>0</v>
      </c>
      <c r="AC3044">
        <v>0</v>
      </c>
      <c r="AD3044" t="s">
        <v>5920</v>
      </c>
    </row>
    <row r="3045" spans="1:30" x14ac:dyDescent="0.25">
      <c r="H3045" t="s">
        <v>5921</v>
      </c>
    </row>
    <row r="3046" spans="1:30" x14ac:dyDescent="0.25">
      <c r="A3046">
        <v>1520</v>
      </c>
      <c r="B3046">
        <v>1831</v>
      </c>
      <c r="C3046" t="s">
        <v>5922</v>
      </c>
      <c r="D3046" t="s">
        <v>44</v>
      </c>
      <c r="E3046" t="s">
        <v>120</v>
      </c>
      <c r="F3046" t="s">
        <v>5923</v>
      </c>
      <c r="G3046" t="str">
        <f>"201601000443"</f>
        <v>201601000443</v>
      </c>
      <c r="H3046" t="s">
        <v>2160</v>
      </c>
      <c r="I3046">
        <v>0</v>
      </c>
      <c r="J3046">
        <v>0</v>
      </c>
      <c r="K3046">
        <v>0</v>
      </c>
      <c r="L3046">
        <v>0</v>
      </c>
      <c r="M3046">
        <v>0</v>
      </c>
      <c r="N3046">
        <v>0</v>
      </c>
      <c r="O3046">
        <v>30</v>
      </c>
      <c r="P3046">
        <v>0</v>
      </c>
      <c r="Q3046">
        <v>0</v>
      </c>
      <c r="R3046">
        <v>0</v>
      </c>
      <c r="S3046">
        <v>0</v>
      </c>
      <c r="T3046">
        <v>0</v>
      </c>
      <c r="U3046">
        <v>0</v>
      </c>
      <c r="V3046">
        <v>0</v>
      </c>
      <c r="W3046">
        <v>0</v>
      </c>
      <c r="X3046">
        <v>0</v>
      </c>
      <c r="Z3046">
        <v>0</v>
      </c>
      <c r="AA3046">
        <v>0</v>
      </c>
      <c r="AB3046">
        <v>0</v>
      </c>
      <c r="AC3046">
        <v>0</v>
      </c>
      <c r="AD3046" t="s">
        <v>5924</v>
      </c>
    </row>
    <row r="3047" spans="1:30" x14ac:dyDescent="0.25">
      <c r="H3047" t="s">
        <v>5925</v>
      </c>
    </row>
    <row r="3048" spans="1:30" x14ac:dyDescent="0.25">
      <c r="A3048">
        <v>1521</v>
      </c>
      <c r="B3048">
        <v>1212</v>
      </c>
      <c r="C3048" t="s">
        <v>4029</v>
      </c>
      <c r="D3048" t="s">
        <v>254</v>
      </c>
      <c r="E3048" t="s">
        <v>389</v>
      </c>
      <c r="F3048" t="s">
        <v>5926</v>
      </c>
      <c r="G3048" t="str">
        <f>"00163127"</f>
        <v>00163127</v>
      </c>
      <c r="H3048" t="s">
        <v>2036</v>
      </c>
      <c r="I3048">
        <v>0</v>
      </c>
      <c r="J3048">
        <v>0</v>
      </c>
      <c r="K3048">
        <v>0</v>
      </c>
      <c r="L3048">
        <v>0</v>
      </c>
      <c r="M3048">
        <v>0</v>
      </c>
      <c r="N3048">
        <v>30</v>
      </c>
      <c r="O3048">
        <v>0</v>
      </c>
      <c r="P3048">
        <v>0</v>
      </c>
      <c r="Q3048">
        <v>0</v>
      </c>
      <c r="R3048">
        <v>0</v>
      </c>
      <c r="S3048">
        <v>0</v>
      </c>
      <c r="T3048">
        <v>0</v>
      </c>
      <c r="U3048">
        <v>0</v>
      </c>
      <c r="V3048">
        <v>3</v>
      </c>
      <c r="W3048">
        <v>21</v>
      </c>
      <c r="X3048">
        <v>0</v>
      </c>
      <c r="Z3048">
        <v>0</v>
      </c>
      <c r="AA3048">
        <v>0</v>
      </c>
      <c r="AB3048">
        <v>0</v>
      </c>
      <c r="AC3048">
        <v>0</v>
      </c>
      <c r="AD3048" t="s">
        <v>5927</v>
      </c>
    </row>
    <row r="3049" spans="1:30" x14ac:dyDescent="0.25">
      <c r="H3049" t="s">
        <v>5928</v>
      </c>
    </row>
    <row r="3050" spans="1:30" x14ac:dyDescent="0.25">
      <c r="A3050">
        <v>1522</v>
      </c>
      <c r="B3050">
        <v>3245</v>
      </c>
      <c r="C3050" t="s">
        <v>5929</v>
      </c>
      <c r="D3050" t="s">
        <v>64</v>
      </c>
      <c r="E3050" t="s">
        <v>50</v>
      </c>
      <c r="F3050" t="s">
        <v>5930</v>
      </c>
      <c r="G3050" t="str">
        <f>"201406010496"</f>
        <v>201406010496</v>
      </c>
      <c r="H3050" t="s">
        <v>380</v>
      </c>
      <c r="I3050">
        <v>0</v>
      </c>
      <c r="J3050">
        <v>0</v>
      </c>
      <c r="K3050">
        <v>0</v>
      </c>
      <c r="L3050">
        <v>0</v>
      </c>
      <c r="M3050">
        <v>0</v>
      </c>
      <c r="N3050">
        <v>0</v>
      </c>
      <c r="O3050">
        <v>0</v>
      </c>
      <c r="P3050">
        <v>30</v>
      </c>
      <c r="Q3050">
        <v>0</v>
      </c>
      <c r="R3050">
        <v>0</v>
      </c>
      <c r="S3050">
        <v>0</v>
      </c>
      <c r="T3050">
        <v>0</v>
      </c>
      <c r="U3050">
        <v>0</v>
      </c>
      <c r="V3050">
        <v>0</v>
      </c>
      <c r="W3050">
        <v>0</v>
      </c>
      <c r="X3050">
        <v>0</v>
      </c>
      <c r="Z3050">
        <v>0</v>
      </c>
      <c r="AA3050">
        <v>0</v>
      </c>
      <c r="AB3050">
        <v>0</v>
      </c>
      <c r="AC3050">
        <v>0</v>
      </c>
      <c r="AD3050" t="s">
        <v>5931</v>
      </c>
    </row>
    <row r="3051" spans="1:30" x14ac:dyDescent="0.25">
      <c r="H3051" t="s">
        <v>5932</v>
      </c>
    </row>
    <row r="3052" spans="1:30" x14ac:dyDescent="0.25">
      <c r="A3052">
        <v>1523</v>
      </c>
      <c r="B3052">
        <v>1645</v>
      </c>
      <c r="C3052" t="s">
        <v>5524</v>
      </c>
      <c r="D3052" t="s">
        <v>2697</v>
      </c>
      <c r="E3052" t="s">
        <v>120</v>
      </c>
      <c r="F3052" t="s">
        <v>5933</v>
      </c>
      <c r="G3052" t="str">
        <f>"00228155"</f>
        <v>00228155</v>
      </c>
      <c r="H3052" t="s">
        <v>2254</v>
      </c>
      <c r="I3052">
        <v>0</v>
      </c>
      <c r="J3052">
        <v>0</v>
      </c>
      <c r="K3052">
        <v>0</v>
      </c>
      <c r="L3052">
        <v>0</v>
      </c>
      <c r="M3052">
        <v>0</v>
      </c>
      <c r="N3052">
        <v>30</v>
      </c>
      <c r="O3052">
        <v>0</v>
      </c>
      <c r="P3052">
        <v>0</v>
      </c>
      <c r="Q3052">
        <v>0</v>
      </c>
      <c r="R3052">
        <v>0</v>
      </c>
      <c r="S3052">
        <v>0</v>
      </c>
      <c r="T3052">
        <v>0</v>
      </c>
      <c r="U3052">
        <v>0</v>
      </c>
      <c r="V3052">
        <v>0</v>
      </c>
      <c r="W3052">
        <v>0</v>
      </c>
      <c r="X3052">
        <v>0</v>
      </c>
      <c r="Z3052">
        <v>0</v>
      </c>
      <c r="AA3052">
        <v>0</v>
      </c>
      <c r="AB3052">
        <v>0</v>
      </c>
      <c r="AC3052">
        <v>0</v>
      </c>
      <c r="AD3052" t="s">
        <v>5934</v>
      </c>
    </row>
    <row r="3053" spans="1:30" x14ac:dyDescent="0.25">
      <c r="H3053" t="s">
        <v>5935</v>
      </c>
    </row>
    <row r="3054" spans="1:30" x14ac:dyDescent="0.25">
      <c r="A3054">
        <v>1524</v>
      </c>
      <c r="B3054">
        <v>251</v>
      </c>
      <c r="C3054" t="s">
        <v>5936</v>
      </c>
      <c r="D3054" t="s">
        <v>5937</v>
      </c>
      <c r="E3054" t="s">
        <v>49</v>
      </c>
      <c r="F3054" t="s">
        <v>5938</v>
      </c>
      <c r="G3054" t="str">
        <f>"00285426"</f>
        <v>00285426</v>
      </c>
      <c r="H3054" t="s">
        <v>2798</v>
      </c>
      <c r="I3054">
        <v>0</v>
      </c>
      <c r="J3054">
        <v>0</v>
      </c>
      <c r="K3054">
        <v>0</v>
      </c>
      <c r="L3054">
        <v>0</v>
      </c>
      <c r="M3054">
        <v>0</v>
      </c>
      <c r="N3054">
        <v>30</v>
      </c>
      <c r="O3054">
        <v>0</v>
      </c>
      <c r="P3054">
        <v>0</v>
      </c>
      <c r="Q3054">
        <v>0</v>
      </c>
      <c r="R3054">
        <v>0</v>
      </c>
      <c r="S3054">
        <v>0</v>
      </c>
      <c r="T3054">
        <v>0</v>
      </c>
      <c r="U3054">
        <v>0</v>
      </c>
      <c r="V3054">
        <v>0</v>
      </c>
      <c r="W3054">
        <v>0</v>
      </c>
      <c r="X3054">
        <v>0</v>
      </c>
      <c r="Z3054">
        <v>0</v>
      </c>
      <c r="AA3054">
        <v>0</v>
      </c>
      <c r="AB3054">
        <v>0</v>
      </c>
      <c r="AC3054">
        <v>0</v>
      </c>
      <c r="AD3054" t="s">
        <v>5939</v>
      </c>
    </row>
    <row r="3055" spans="1:30" x14ac:dyDescent="0.25">
      <c r="H3055" t="s">
        <v>3020</v>
      </c>
    </row>
    <row r="3056" spans="1:30" x14ac:dyDescent="0.25">
      <c r="A3056">
        <v>1525</v>
      </c>
      <c r="B3056">
        <v>5666</v>
      </c>
      <c r="C3056" t="s">
        <v>5940</v>
      </c>
      <c r="D3056" t="s">
        <v>5941</v>
      </c>
      <c r="E3056" t="s">
        <v>5942</v>
      </c>
      <c r="F3056" t="s">
        <v>5943</v>
      </c>
      <c r="G3056" t="str">
        <f>"00196128"</f>
        <v>00196128</v>
      </c>
      <c r="H3056" t="s">
        <v>2798</v>
      </c>
      <c r="I3056">
        <v>0</v>
      </c>
      <c r="J3056">
        <v>0</v>
      </c>
      <c r="K3056">
        <v>0</v>
      </c>
      <c r="L3056">
        <v>0</v>
      </c>
      <c r="M3056">
        <v>0</v>
      </c>
      <c r="N3056">
        <v>30</v>
      </c>
      <c r="O3056">
        <v>0</v>
      </c>
      <c r="P3056">
        <v>0</v>
      </c>
      <c r="Q3056">
        <v>0</v>
      </c>
      <c r="R3056">
        <v>0</v>
      </c>
      <c r="S3056">
        <v>0</v>
      </c>
      <c r="T3056">
        <v>0</v>
      </c>
      <c r="U3056">
        <v>0</v>
      </c>
      <c r="V3056">
        <v>0</v>
      </c>
      <c r="W3056">
        <v>0</v>
      </c>
      <c r="X3056">
        <v>0</v>
      </c>
      <c r="Z3056">
        <v>0</v>
      </c>
      <c r="AA3056">
        <v>0</v>
      </c>
      <c r="AB3056">
        <v>0</v>
      </c>
      <c r="AC3056">
        <v>0</v>
      </c>
      <c r="AD3056" t="s">
        <v>5939</v>
      </c>
    </row>
    <row r="3057" spans="1:30" x14ac:dyDescent="0.25">
      <c r="H3057" t="s">
        <v>5944</v>
      </c>
    </row>
    <row r="3058" spans="1:30" x14ac:dyDescent="0.25">
      <c r="A3058">
        <v>1526</v>
      </c>
      <c r="B3058">
        <v>1636</v>
      </c>
      <c r="C3058" t="s">
        <v>2209</v>
      </c>
      <c r="D3058" t="s">
        <v>283</v>
      </c>
      <c r="E3058" t="s">
        <v>358</v>
      </c>
      <c r="F3058" t="s">
        <v>5945</v>
      </c>
      <c r="G3058" t="str">
        <f>"00008910"</f>
        <v>00008910</v>
      </c>
      <c r="H3058">
        <v>671</v>
      </c>
      <c r="I3058">
        <v>0</v>
      </c>
      <c r="J3058">
        <v>0</v>
      </c>
      <c r="K3058">
        <v>0</v>
      </c>
      <c r="L3058">
        <v>0</v>
      </c>
      <c r="M3058">
        <v>0</v>
      </c>
      <c r="N3058">
        <v>30</v>
      </c>
      <c r="O3058">
        <v>0</v>
      </c>
      <c r="P3058">
        <v>0</v>
      </c>
      <c r="Q3058">
        <v>0</v>
      </c>
      <c r="R3058">
        <v>0</v>
      </c>
      <c r="S3058">
        <v>0</v>
      </c>
      <c r="T3058">
        <v>0</v>
      </c>
      <c r="U3058">
        <v>0</v>
      </c>
      <c r="V3058">
        <v>0</v>
      </c>
      <c r="W3058">
        <v>0</v>
      </c>
      <c r="X3058">
        <v>0</v>
      </c>
      <c r="Z3058">
        <v>0</v>
      </c>
      <c r="AA3058">
        <v>0</v>
      </c>
      <c r="AB3058">
        <v>0</v>
      </c>
      <c r="AC3058">
        <v>0</v>
      </c>
      <c r="AD3058">
        <v>701</v>
      </c>
    </row>
    <row r="3059" spans="1:30" x14ac:dyDescent="0.25">
      <c r="H3059" t="s">
        <v>5946</v>
      </c>
    </row>
    <row r="3060" spans="1:30" x14ac:dyDescent="0.25">
      <c r="A3060">
        <v>1527</v>
      </c>
      <c r="B3060">
        <v>4393</v>
      </c>
      <c r="C3060" t="s">
        <v>5947</v>
      </c>
      <c r="D3060" t="s">
        <v>5948</v>
      </c>
      <c r="E3060" t="s">
        <v>102</v>
      </c>
      <c r="F3060" t="s">
        <v>5949</v>
      </c>
      <c r="G3060" t="str">
        <f>"201511027714"</f>
        <v>201511027714</v>
      </c>
      <c r="H3060">
        <v>671</v>
      </c>
      <c r="I3060">
        <v>0</v>
      </c>
      <c r="J3060">
        <v>0</v>
      </c>
      <c r="K3060">
        <v>0</v>
      </c>
      <c r="L3060">
        <v>0</v>
      </c>
      <c r="M3060">
        <v>0</v>
      </c>
      <c r="N3060">
        <v>30</v>
      </c>
      <c r="O3060">
        <v>0</v>
      </c>
      <c r="P3060">
        <v>0</v>
      </c>
      <c r="Q3060">
        <v>0</v>
      </c>
      <c r="R3060">
        <v>0</v>
      </c>
      <c r="S3060">
        <v>0</v>
      </c>
      <c r="T3060">
        <v>0</v>
      </c>
      <c r="U3060">
        <v>0</v>
      </c>
      <c r="V3060">
        <v>0</v>
      </c>
      <c r="W3060">
        <v>0</v>
      </c>
      <c r="X3060">
        <v>0</v>
      </c>
      <c r="Z3060">
        <v>0</v>
      </c>
      <c r="AA3060">
        <v>0</v>
      </c>
      <c r="AB3060">
        <v>0</v>
      </c>
      <c r="AC3060">
        <v>0</v>
      </c>
      <c r="AD3060">
        <v>701</v>
      </c>
    </row>
    <row r="3061" spans="1:30" x14ac:dyDescent="0.25">
      <c r="H3061" t="s">
        <v>5950</v>
      </c>
    </row>
    <row r="3062" spans="1:30" x14ac:dyDescent="0.25">
      <c r="A3062">
        <v>1528</v>
      </c>
      <c r="B3062">
        <v>2171</v>
      </c>
      <c r="C3062" t="s">
        <v>5951</v>
      </c>
      <c r="D3062" t="s">
        <v>32</v>
      </c>
      <c r="E3062" t="s">
        <v>542</v>
      </c>
      <c r="F3062" t="s">
        <v>5952</v>
      </c>
      <c r="G3062" t="str">
        <f>"00245816"</f>
        <v>00245816</v>
      </c>
      <c r="H3062">
        <v>638</v>
      </c>
      <c r="I3062">
        <v>0</v>
      </c>
      <c r="J3062">
        <v>0</v>
      </c>
      <c r="K3062">
        <v>0</v>
      </c>
      <c r="L3062">
        <v>0</v>
      </c>
      <c r="M3062">
        <v>0</v>
      </c>
      <c r="N3062">
        <v>0</v>
      </c>
      <c r="O3062">
        <v>0</v>
      </c>
      <c r="P3062">
        <v>0</v>
      </c>
      <c r="Q3062">
        <v>0</v>
      </c>
      <c r="R3062">
        <v>0</v>
      </c>
      <c r="S3062">
        <v>0</v>
      </c>
      <c r="T3062">
        <v>0</v>
      </c>
      <c r="U3062">
        <v>0</v>
      </c>
      <c r="V3062">
        <v>9</v>
      </c>
      <c r="W3062">
        <v>63</v>
      </c>
      <c r="X3062">
        <v>0</v>
      </c>
      <c r="Z3062">
        <v>1</v>
      </c>
      <c r="AA3062">
        <v>0</v>
      </c>
      <c r="AB3062">
        <v>0</v>
      </c>
      <c r="AC3062">
        <v>0</v>
      </c>
      <c r="AD3062">
        <v>701</v>
      </c>
    </row>
    <row r="3063" spans="1:30" x14ac:dyDescent="0.25">
      <c r="H3063" t="s">
        <v>483</v>
      </c>
    </row>
    <row r="3064" spans="1:30" x14ac:dyDescent="0.25">
      <c r="A3064">
        <v>1529</v>
      </c>
      <c r="B3064">
        <v>6263</v>
      </c>
      <c r="C3064" t="s">
        <v>1405</v>
      </c>
      <c r="D3064" t="s">
        <v>120</v>
      </c>
      <c r="E3064" t="s">
        <v>49</v>
      </c>
      <c r="F3064" t="s">
        <v>5953</v>
      </c>
      <c r="G3064" t="str">
        <f>"00161113"</f>
        <v>00161113</v>
      </c>
      <c r="H3064" t="s">
        <v>1040</v>
      </c>
      <c r="I3064">
        <v>0</v>
      </c>
      <c r="J3064">
        <v>0</v>
      </c>
      <c r="K3064">
        <v>0</v>
      </c>
      <c r="L3064">
        <v>0</v>
      </c>
      <c r="M3064">
        <v>0</v>
      </c>
      <c r="N3064">
        <v>30</v>
      </c>
      <c r="O3064">
        <v>0</v>
      </c>
      <c r="P3064">
        <v>0</v>
      </c>
      <c r="Q3064">
        <v>0</v>
      </c>
      <c r="R3064">
        <v>0</v>
      </c>
      <c r="S3064">
        <v>0</v>
      </c>
      <c r="T3064">
        <v>0</v>
      </c>
      <c r="U3064">
        <v>0</v>
      </c>
      <c r="V3064">
        <v>0</v>
      </c>
      <c r="W3064">
        <v>0</v>
      </c>
      <c r="X3064">
        <v>0</v>
      </c>
      <c r="Z3064">
        <v>1</v>
      </c>
      <c r="AA3064">
        <v>0</v>
      </c>
      <c r="AB3064">
        <v>0</v>
      </c>
      <c r="AC3064">
        <v>0</v>
      </c>
      <c r="AD3064" t="s">
        <v>5954</v>
      </c>
    </row>
    <row r="3065" spans="1:30" x14ac:dyDescent="0.25">
      <c r="H3065" t="s">
        <v>5955</v>
      </c>
    </row>
    <row r="3066" spans="1:30" x14ac:dyDescent="0.25">
      <c r="A3066">
        <v>1530</v>
      </c>
      <c r="B3066">
        <v>1051</v>
      </c>
      <c r="C3066" t="s">
        <v>5956</v>
      </c>
      <c r="D3066" t="s">
        <v>937</v>
      </c>
      <c r="E3066" t="s">
        <v>32</v>
      </c>
      <c r="F3066" t="s">
        <v>5957</v>
      </c>
      <c r="G3066" t="str">
        <f>"00300202"</f>
        <v>00300202</v>
      </c>
      <c r="H3066" t="s">
        <v>2628</v>
      </c>
      <c r="I3066">
        <v>0</v>
      </c>
      <c r="J3066">
        <v>0</v>
      </c>
      <c r="K3066">
        <v>0</v>
      </c>
      <c r="L3066">
        <v>0</v>
      </c>
      <c r="M3066">
        <v>0</v>
      </c>
      <c r="N3066">
        <v>30</v>
      </c>
      <c r="O3066">
        <v>0</v>
      </c>
      <c r="P3066">
        <v>0</v>
      </c>
      <c r="Q3066">
        <v>0</v>
      </c>
      <c r="R3066">
        <v>0</v>
      </c>
      <c r="S3066">
        <v>0</v>
      </c>
      <c r="T3066">
        <v>0</v>
      </c>
      <c r="U3066">
        <v>0</v>
      </c>
      <c r="V3066">
        <v>0</v>
      </c>
      <c r="W3066">
        <v>0</v>
      </c>
      <c r="X3066">
        <v>0</v>
      </c>
      <c r="Z3066">
        <v>0</v>
      </c>
      <c r="AA3066">
        <v>0</v>
      </c>
      <c r="AB3066">
        <v>0</v>
      </c>
      <c r="AC3066">
        <v>0</v>
      </c>
      <c r="AD3066" t="s">
        <v>5958</v>
      </c>
    </row>
    <row r="3067" spans="1:30" x14ac:dyDescent="0.25">
      <c r="H3067" t="s">
        <v>5959</v>
      </c>
    </row>
    <row r="3068" spans="1:30" x14ac:dyDescent="0.25">
      <c r="A3068">
        <v>1531</v>
      </c>
      <c r="B3068">
        <v>5632</v>
      </c>
      <c r="C3068" t="s">
        <v>5960</v>
      </c>
      <c r="D3068" t="s">
        <v>155</v>
      </c>
      <c r="E3068" t="s">
        <v>737</v>
      </c>
      <c r="F3068" t="s">
        <v>5961</v>
      </c>
      <c r="G3068" t="str">
        <f>"00155958"</f>
        <v>00155958</v>
      </c>
      <c r="H3068" t="s">
        <v>2628</v>
      </c>
      <c r="I3068">
        <v>0</v>
      </c>
      <c r="J3068">
        <v>0</v>
      </c>
      <c r="K3068">
        <v>0</v>
      </c>
      <c r="L3068">
        <v>0</v>
      </c>
      <c r="M3068">
        <v>0</v>
      </c>
      <c r="N3068">
        <v>30</v>
      </c>
      <c r="O3068">
        <v>0</v>
      </c>
      <c r="P3068">
        <v>0</v>
      </c>
      <c r="Q3068">
        <v>0</v>
      </c>
      <c r="R3068">
        <v>0</v>
      </c>
      <c r="S3068">
        <v>0</v>
      </c>
      <c r="T3068">
        <v>0</v>
      </c>
      <c r="U3068">
        <v>0</v>
      </c>
      <c r="V3068">
        <v>0</v>
      </c>
      <c r="W3068">
        <v>0</v>
      </c>
      <c r="X3068">
        <v>0</v>
      </c>
      <c r="Z3068">
        <v>0</v>
      </c>
      <c r="AA3068">
        <v>0</v>
      </c>
      <c r="AB3068">
        <v>0</v>
      </c>
      <c r="AC3068">
        <v>0</v>
      </c>
      <c r="AD3068" t="s">
        <v>5958</v>
      </c>
    </row>
    <row r="3069" spans="1:30" x14ac:dyDescent="0.25">
      <c r="H3069" t="s">
        <v>5962</v>
      </c>
    </row>
    <row r="3070" spans="1:30" x14ac:dyDescent="0.25">
      <c r="A3070">
        <v>1532</v>
      </c>
      <c r="B3070">
        <v>3935</v>
      </c>
      <c r="C3070" t="s">
        <v>5963</v>
      </c>
      <c r="D3070" t="s">
        <v>135</v>
      </c>
      <c r="E3070" t="s">
        <v>142</v>
      </c>
      <c r="F3070" t="s">
        <v>5964</v>
      </c>
      <c r="G3070" t="str">
        <f>"00157283"</f>
        <v>00157283</v>
      </c>
      <c r="H3070" t="s">
        <v>900</v>
      </c>
      <c r="I3070">
        <v>0</v>
      </c>
      <c r="J3070">
        <v>0</v>
      </c>
      <c r="K3070">
        <v>0</v>
      </c>
      <c r="L3070">
        <v>0</v>
      </c>
      <c r="M3070">
        <v>0</v>
      </c>
      <c r="N3070">
        <v>0</v>
      </c>
      <c r="O3070">
        <v>0</v>
      </c>
      <c r="P3070">
        <v>0</v>
      </c>
      <c r="Q3070">
        <v>0</v>
      </c>
      <c r="R3070">
        <v>0</v>
      </c>
      <c r="S3070">
        <v>0</v>
      </c>
      <c r="T3070">
        <v>0</v>
      </c>
      <c r="U3070">
        <v>0</v>
      </c>
      <c r="V3070">
        <v>0</v>
      </c>
      <c r="W3070">
        <v>0</v>
      </c>
      <c r="X3070">
        <v>0</v>
      </c>
      <c r="Z3070">
        <v>0</v>
      </c>
      <c r="AA3070">
        <v>0</v>
      </c>
      <c r="AB3070">
        <v>0</v>
      </c>
      <c r="AC3070">
        <v>0</v>
      </c>
      <c r="AD3070" t="s">
        <v>900</v>
      </c>
    </row>
    <row r="3071" spans="1:30" x14ac:dyDescent="0.25">
      <c r="H3071" t="s">
        <v>5965</v>
      </c>
    </row>
    <row r="3072" spans="1:30" x14ac:dyDescent="0.25">
      <c r="A3072">
        <v>1533</v>
      </c>
      <c r="B3072">
        <v>1660</v>
      </c>
      <c r="C3072" t="s">
        <v>5966</v>
      </c>
      <c r="D3072" t="s">
        <v>389</v>
      </c>
      <c r="E3072" t="s">
        <v>102</v>
      </c>
      <c r="F3072" t="s">
        <v>5967</v>
      </c>
      <c r="G3072" t="str">
        <f>"00308414"</f>
        <v>00308414</v>
      </c>
      <c r="H3072" t="s">
        <v>900</v>
      </c>
      <c r="I3072">
        <v>0</v>
      </c>
      <c r="J3072">
        <v>0</v>
      </c>
      <c r="K3072">
        <v>0</v>
      </c>
      <c r="L3072">
        <v>0</v>
      </c>
      <c r="M3072">
        <v>0</v>
      </c>
      <c r="N3072">
        <v>0</v>
      </c>
      <c r="O3072">
        <v>0</v>
      </c>
      <c r="P3072">
        <v>0</v>
      </c>
      <c r="Q3072">
        <v>0</v>
      </c>
      <c r="R3072">
        <v>0</v>
      </c>
      <c r="S3072">
        <v>0</v>
      </c>
      <c r="T3072">
        <v>0</v>
      </c>
      <c r="U3072">
        <v>0</v>
      </c>
      <c r="V3072">
        <v>0</v>
      </c>
      <c r="W3072">
        <v>0</v>
      </c>
      <c r="X3072">
        <v>0</v>
      </c>
      <c r="Z3072">
        <v>0</v>
      </c>
      <c r="AA3072">
        <v>0</v>
      </c>
      <c r="AB3072">
        <v>0</v>
      </c>
      <c r="AC3072">
        <v>0</v>
      </c>
      <c r="AD3072" t="s">
        <v>900</v>
      </c>
    </row>
    <row r="3073" spans="1:30" x14ac:dyDescent="0.25">
      <c r="H3073" t="s">
        <v>5968</v>
      </c>
    </row>
    <row r="3074" spans="1:30" x14ac:dyDescent="0.25">
      <c r="A3074">
        <v>1534</v>
      </c>
      <c r="B3074">
        <v>117</v>
      </c>
      <c r="C3074" t="s">
        <v>5969</v>
      </c>
      <c r="D3074" t="s">
        <v>141</v>
      </c>
      <c r="E3074" t="s">
        <v>45</v>
      </c>
      <c r="F3074" t="s">
        <v>5970</v>
      </c>
      <c r="G3074" t="str">
        <f>"201412004993"</f>
        <v>201412004993</v>
      </c>
      <c r="H3074" t="s">
        <v>3871</v>
      </c>
      <c r="I3074">
        <v>0</v>
      </c>
      <c r="J3074">
        <v>0</v>
      </c>
      <c r="K3074">
        <v>0</v>
      </c>
      <c r="L3074">
        <v>0</v>
      </c>
      <c r="M3074">
        <v>0</v>
      </c>
      <c r="N3074">
        <v>30</v>
      </c>
      <c r="O3074">
        <v>0</v>
      </c>
      <c r="P3074">
        <v>0</v>
      </c>
      <c r="Q3074">
        <v>0</v>
      </c>
      <c r="R3074">
        <v>0</v>
      </c>
      <c r="S3074">
        <v>0</v>
      </c>
      <c r="T3074">
        <v>0</v>
      </c>
      <c r="U3074">
        <v>0</v>
      </c>
      <c r="V3074">
        <v>5</v>
      </c>
      <c r="W3074">
        <v>35</v>
      </c>
      <c r="X3074">
        <v>0</v>
      </c>
      <c r="Z3074">
        <v>0</v>
      </c>
      <c r="AA3074">
        <v>0</v>
      </c>
      <c r="AB3074">
        <v>0</v>
      </c>
      <c r="AC3074">
        <v>0</v>
      </c>
      <c r="AD3074" t="s">
        <v>5971</v>
      </c>
    </row>
    <row r="3075" spans="1:30" x14ac:dyDescent="0.25">
      <c r="H3075" t="s">
        <v>301</v>
      </c>
    </row>
    <row r="3076" spans="1:30" x14ac:dyDescent="0.25">
      <c r="A3076">
        <v>1535</v>
      </c>
      <c r="B3076">
        <v>5177</v>
      </c>
      <c r="C3076" t="s">
        <v>2940</v>
      </c>
      <c r="D3076" t="s">
        <v>3726</v>
      </c>
      <c r="E3076" t="s">
        <v>50</v>
      </c>
      <c r="F3076" t="s">
        <v>5972</v>
      </c>
      <c r="G3076" t="str">
        <f>"00166028"</f>
        <v>00166028</v>
      </c>
      <c r="H3076">
        <v>627</v>
      </c>
      <c r="I3076">
        <v>0</v>
      </c>
      <c r="J3076">
        <v>0</v>
      </c>
      <c r="K3076">
        <v>0</v>
      </c>
      <c r="L3076">
        <v>0</v>
      </c>
      <c r="M3076">
        <v>0</v>
      </c>
      <c r="N3076">
        <v>0</v>
      </c>
      <c r="O3076">
        <v>0</v>
      </c>
      <c r="P3076">
        <v>0</v>
      </c>
      <c r="Q3076">
        <v>0</v>
      </c>
      <c r="R3076">
        <v>0</v>
      </c>
      <c r="S3076">
        <v>0</v>
      </c>
      <c r="T3076">
        <v>0</v>
      </c>
      <c r="U3076">
        <v>0</v>
      </c>
      <c r="V3076">
        <v>0</v>
      </c>
      <c r="W3076">
        <v>0</v>
      </c>
      <c r="X3076">
        <v>0</v>
      </c>
      <c r="Z3076">
        <v>0</v>
      </c>
      <c r="AA3076">
        <v>0</v>
      </c>
      <c r="AB3076">
        <v>4</v>
      </c>
      <c r="AC3076">
        <v>68</v>
      </c>
      <c r="AD3076">
        <v>695</v>
      </c>
    </row>
    <row r="3077" spans="1:30" x14ac:dyDescent="0.25">
      <c r="H3077" t="s">
        <v>1651</v>
      </c>
    </row>
    <row r="3078" spans="1:30" x14ac:dyDescent="0.25">
      <c r="A3078">
        <v>1536</v>
      </c>
      <c r="B3078">
        <v>5700</v>
      </c>
      <c r="C3078" t="s">
        <v>4338</v>
      </c>
      <c r="D3078" t="s">
        <v>5973</v>
      </c>
      <c r="E3078" t="s">
        <v>57</v>
      </c>
      <c r="F3078" t="s">
        <v>5974</v>
      </c>
      <c r="G3078" t="str">
        <f>"00159813"</f>
        <v>00159813</v>
      </c>
      <c r="H3078" t="s">
        <v>4254</v>
      </c>
      <c r="I3078">
        <v>0</v>
      </c>
      <c r="J3078">
        <v>0</v>
      </c>
      <c r="K3078">
        <v>0</v>
      </c>
      <c r="L3078">
        <v>0</v>
      </c>
      <c r="M3078">
        <v>0</v>
      </c>
      <c r="N3078">
        <v>30</v>
      </c>
      <c r="O3078">
        <v>0</v>
      </c>
      <c r="P3078">
        <v>0</v>
      </c>
      <c r="Q3078">
        <v>0</v>
      </c>
      <c r="R3078">
        <v>0</v>
      </c>
      <c r="S3078">
        <v>0</v>
      </c>
      <c r="T3078">
        <v>0</v>
      </c>
      <c r="U3078">
        <v>0</v>
      </c>
      <c r="V3078">
        <v>5</v>
      </c>
      <c r="W3078">
        <v>35</v>
      </c>
      <c r="X3078">
        <v>0</v>
      </c>
      <c r="Z3078">
        <v>0</v>
      </c>
      <c r="AA3078">
        <v>0</v>
      </c>
      <c r="AB3078">
        <v>0</v>
      </c>
      <c r="AC3078">
        <v>0</v>
      </c>
      <c r="AD3078" t="s">
        <v>5975</v>
      </c>
    </row>
    <row r="3079" spans="1:30" x14ac:dyDescent="0.25">
      <c r="H3079" t="s">
        <v>5976</v>
      </c>
    </row>
    <row r="3080" spans="1:30" x14ac:dyDescent="0.25">
      <c r="A3080">
        <v>1537</v>
      </c>
      <c r="B3080">
        <v>1135</v>
      </c>
      <c r="C3080" t="s">
        <v>5977</v>
      </c>
      <c r="D3080" t="s">
        <v>191</v>
      </c>
      <c r="E3080" t="s">
        <v>28</v>
      </c>
      <c r="F3080" t="s">
        <v>5978</v>
      </c>
      <c r="G3080" t="str">
        <f>"201410012750"</f>
        <v>201410012750</v>
      </c>
      <c r="H3080" t="s">
        <v>1057</v>
      </c>
      <c r="I3080">
        <v>0</v>
      </c>
      <c r="J3080">
        <v>0</v>
      </c>
      <c r="K3080">
        <v>0</v>
      </c>
      <c r="L3080">
        <v>0</v>
      </c>
      <c r="M3080">
        <v>0</v>
      </c>
      <c r="N3080">
        <v>0</v>
      </c>
      <c r="O3080">
        <v>0</v>
      </c>
      <c r="P3080">
        <v>0</v>
      </c>
      <c r="Q3080">
        <v>0</v>
      </c>
      <c r="R3080">
        <v>0</v>
      </c>
      <c r="S3080">
        <v>0</v>
      </c>
      <c r="T3080">
        <v>0</v>
      </c>
      <c r="U3080">
        <v>0</v>
      </c>
      <c r="V3080">
        <v>0</v>
      </c>
      <c r="W3080">
        <v>0</v>
      </c>
      <c r="X3080">
        <v>0</v>
      </c>
      <c r="Z3080">
        <v>0</v>
      </c>
      <c r="AA3080">
        <v>0</v>
      </c>
      <c r="AB3080">
        <v>0</v>
      </c>
      <c r="AC3080">
        <v>0</v>
      </c>
      <c r="AD3080" t="s">
        <v>1057</v>
      </c>
    </row>
    <row r="3081" spans="1:30" x14ac:dyDescent="0.25">
      <c r="H3081" t="s">
        <v>5979</v>
      </c>
    </row>
    <row r="3082" spans="1:30" x14ac:dyDescent="0.25">
      <c r="A3082">
        <v>1538</v>
      </c>
      <c r="B3082">
        <v>4882</v>
      </c>
      <c r="C3082" t="s">
        <v>5980</v>
      </c>
      <c r="D3082" t="s">
        <v>5981</v>
      </c>
      <c r="E3082" t="s">
        <v>49</v>
      </c>
      <c r="F3082" t="s">
        <v>5982</v>
      </c>
      <c r="G3082" t="str">
        <f>"00353612"</f>
        <v>00353612</v>
      </c>
      <c r="H3082" t="s">
        <v>5715</v>
      </c>
      <c r="I3082">
        <v>0</v>
      </c>
      <c r="J3082">
        <v>0</v>
      </c>
      <c r="K3082">
        <v>0</v>
      </c>
      <c r="L3082">
        <v>0</v>
      </c>
      <c r="M3082">
        <v>0</v>
      </c>
      <c r="N3082">
        <v>30</v>
      </c>
      <c r="O3082">
        <v>0</v>
      </c>
      <c r="P3082">
        <v>0</v>
      </c>
      <c r="Q3082">
        <v>0</v>
      </c>
      <c r="R3082">
        <v>0</v>
      </c>
      <c r="S3082">
        <v>0</v>
      </c>
      <c r="T3082">
        <v>0</v>
      </c>
      <c r="U3082">
        <v>0</v>
      </c>
      <c r="V3082">
        <v>6</v>
      </c>
      <c r="W3082">
        <v>42</v>
      </c>
      <c r="X3082">
        <v>0</v>
      </c>
      <c r="Z3082">
        <v>0</v>
      </c>
      <c r="AA3082">
        <v>0</v>
      </c>
      <c r="AB3082">
        <v>0</v>
      </c>
      <c r="AC3082">
        <v>0</v>
      </c>
      <c r="AD3082" t="s">
        <v>5983</v>
      </c>
    </row>
    <row r="3083" spans="1:30" x14ac:dyDescent="0.25">
      <c r="H3083" t="s">
        <v>5984</v>
      </c>
    </row>
    <row r="3084" spans="1:30" x14ac:dyDescent="0.25">
      <c r="A3084">
        <v>1539</v>
      </c>
      <c r="B3084">
        <v>3515</v>
      </c>
      <c r="C3084" t="s">
        <v>5985</v>
      </c>
      <c r="D3084" t="s">
        <v>57</v>
      </c>
      <c r="E3084" t="s">
        <v>120</v>
      </c>
      <c r="F3084" t="s">
        <v>5986</v>
      </c>
      <c r="G3084" t="str">
        <f>"00345297"</f>
        <v>00345297</v>
      </c>
      <c r="H3084" t="s">
        <v>2937</v>
      </c>
      <c r="I3084">
        <v>0</v>
      </c>
      <c r="J3084">
        <v>0</v>
      </c>
      <c r="K3084">
        <v>0</v>
      </c>
      <c r="L3084">
        <v>0</v>
      </c>
      <c r="M3084">
        <v>0</v>
      </c>
      <c r="N3084">
        <v>0</v>
      </c>
      <c r="O3084">
        <v>0</v>
      </c>
      <c r="P3084">
        <v>0</v>
      </c>
      <c r="Q3084">
        <v>0</v>
      </c>
      <c r="R3084">
        <v>0</v>
      </c>
      <c r="S3084">
        <v>0</v>
      </c>
      <c r="T3084">
        <v>0</v>
      </c>
      <c r="U3084">
        <v>0</v>
      </c>
      <c r="V3084">
        <v>0</v>
      </c>
      <c r="W3084">
        <v>0</v>
      </c>
      <c r="X3084">
        <v>0</v>
      </c>
      <c r="Z3084">
        <v>2</v>
      </c>
      <c r="AA3084">
        <v>0</v>
      </c>
      <c r="AB3084">
        <v>0</v>
      </c>
      <c r="AC3084">
        <v>0</v>
      </c>
      <c r="AD3084" t="s">
        <v>2937</v>
      </c>
    </row>
    <row r="3085" spans="1:30" x14ac:dyDescent="0.25">
      <c r="H3085" t="s">
        <v>1109</v>
      </c>
    </row>
    <row r="3086" spans="1:30" x14ac:dyDescent="0.25">
      <c r="A3086">
        <v>1540</v>
      </c>
      <c r="B3086">
        <v>1747</v>
      </c>
      <c r="C3086" t="s">
        <v>1904</v>
      </c>
      <c r="D3086" t="s">
        <v>5987</v>
      </c>
      <c r="E3086" t="s">
        <v>120</v>
      </c>
      <c r="F3086" t="s">
        <v>5988</v>
      </c>
      <c r="G3086" t="str">
        <f>"00318124"</f>
        <v>00318124</v>
      </c>
      <c r="H3086">
        <v>660</v>
      </c>
      <c r="I3086">
        <v>0</v>
      </c>
      <c r="J3086">
        <v>0</v>
      </c>
      <c r="K3086">
        <v>0</v>
      </c>
      <c r="L3086">
        <v>0</v>
      </c>
      <c r="M3086">
        <v>0</v>
      </c>
      <c r="N3086">
        <v>30</v>
      </c>
      <c r="O3086">
        <v>0</v>
      </c>
      <c r="P3086">
        <v>0</v>
      </c>
      <c r="Q3086">
        <v>0</v>
      </c>
      <c r="R3086">
        <v>0</v>
      </c>
      <c r="S3086">
        <v>0</v>
      </c>
      <c r="T3086">
        <v>0</v>
      </c>
      <c r="U3086">
        <v>0</v>
      </c>
      <c r="V3086">
        <v>0</v>
      </c>
      <c r="W3086">
        <v>0</v>
      </c>
      <c r="X3086">
        <v>0</v>
      </c>
      <c r="Z3086">
        <v>0</v>
      </c>
      <c r="AA3086">
        <v>0</v>
      </c>
      <c r="AB3086">
        <v>0</v>
      </c>
      <c r="AC3086">
        <v>0</v>
      </c>
      <c r="AD3086">
        <v>690</v>
      </c>
    </row>
    <row r="3087" spans="1:30" x14ac:dyDescent="0.25">
      <c r="H3087" t="s">
        <v>1191</v>
      </c>
    </row>
    <row r="3088" spans="1:30" x14ac:dyDescent="0.25">
      <c r="A3088">
        <v>1541</v>
      </c>
      <c r="B3088">
        <v>465</v>
      </c>
      <c r="C3088" t="s">
        <v>5989</v>
      </c>
      <c r="D3088" t="s">
        <v>5990</v>
      </c>
      <c r="E3088" t="s">
        <v>5991</v>
      </c>
      <c r="F3088" t="s">
        <v>5992</v>
      </c>
      <c r="G3088" t="str">
        <f>"00152330"</f>
        <v>00152330</v>
      </c>
      <c r="H3088" t="s">
        <v>3322</v>
      </c>
      <c r="I3088">
        <v>0</v>
      </c>
      <c r="J3088">
        <v>0</v>
      </c>
      <c r="K3088">
        <v>0</v>
      </c>
      <c r="L3088">
        <v>0</v>
      </c>
      <c r="M3088">
        <v>0</v>
      </c>
      <c r="N3088">
        <v>30</v>
      </c>
      <c r="O3088">
        <v>0</v>
      </c>
      <c r="P3088">
        <v>0</v>
      </c>
      <c r="Q3088">
        <v>0</v>
      </c>
      <c r="R3088">
        <v>0</v>
      </c>
      <c r="S3088">
        <v>0</v>
      </c>
      <c r="T3088">
        <v>0</v>
      </c>
      <c r="U3088">
        <v>0</v>
      </c>
      <c r="V3088">
        <v>0</v>
      </c>
      <c r="W3088">
        <v>0</v>
      </c>
      <c r="X3088">
        <v>0</v>
      </c>
      <c r="Z3088">
        <v>0</v>
      </c>
      <c r="AA3088">
        <v>0</v>
      </c>
      <c r="AB3088">
        <v>0</v>
      </c>
      <c r="AC3088">
        <v>0</v>
      </c>
      <c r="AD3088" t="s">
        <v>5993</v>
      </c>
    </row>
    <row r="3089" spans="1:30" x14ac:dyDescent="0.25">
      <c r="H3089" t="s">
        <v>5994</v>
      </c>
    </row>
    <row r="3090" spans="1:30" x14ac:dyDescent="0.25">
      <c r="A3090">
        <v>1542</v>
      </c>
      <c r="B3090">
        <v>2599</v>
      </c>
      <c r="C3090" t="s">
        <v>941</v>
      </c>
      <c r="D3090" t="s">
        <v>27</v>
      </c>
      <c r="E3090" t="s">
        <v>519</v>
      </c>
      <c r="F3090" t="s">
        <v>5995</v>
      </c>
      <c r="G3090" t="str">
        <f>"00150012"</f>
        <v>00150012</v>
      </c>
      <c r="H3090" t="s">
        <v>285</v>
      </c>
      <c r="I3090">
        <v>0</v>
      </c>
      <c r="J3090">
        <v>0</v>
      </c>
      <c r="K3090">
        <v>0</v>
      </c>
      <c r="L3090">
        <v>0</v>
      </c>
      <c r="M3090">
        <v>0</v>
      </c>
      <c r="N3090">
        <v>0</v>
      </c>
      <c r="O3090">
        <v>0</v>
      </c>
      <c r="P3090">
        <v>0</v>
      </c>
      <c r="Q3090">
        <v>0</v>
      </c>
      <c r="R3090">
        <v>0</v>
      </c>
      <c r="S3090">
        <v>0</v>
      </c>
      <c r="T3090">
        <v>0</v>
      </c>
      <c r="U3090">
        <v>0</v>
      </c>
      <c r="V3090">
        <v>0</v>
      </c>
      <c r="W3090">
        <v>0</v>
      </c>
      <c r="X3090">
        <v>0</v>
      </c>
      <c r="Z3090">
        <v>0</v>
      </c>
      <c r="AA3090">
        <v>0</v>
      </c>
      <c r="AB3090">
        <v>0</v>
      </c>
      <c r="AC3090">
        <v>0</v>
      </c>
      <c r="AD3090" t="s">
        <v>285</v>
      </c>
    </row>
    <row r="3091" spans="1:30" x14ac:dyDescent="0.25">
      <c r="H3091" t="s">
        <v>5996</v>
      </c>
    </row>
    <row r="3092" spans="1:30" x14ac:dyDescent="0.25">
      <c r="A3092">
        <v>1543</v>
      </c>
      <c r="B3092">
        <v>6074</v>
      </c>
      <c r="C3092" t="s">
        <v>5035</v>
      </c>
      <c r="D3092" t="s">
        <v>32</v>
      </c>
      <c r="E3092" t="s">
        <v>49</v>
      </c>
      <c r="F3092" t="s">
        <v>5997</v>
      </c>
      <c r="G3092" t="str">
        <f>"00370184"</f>
        <v>00370184</v>
      </c>
      <c r="H3092" t="s">
        <v>1007</v>
      </c>
      <c r="I3092">
        <v>0</v>
      </c>
      <c r="J3092">
        <v>0</v>
      </c>
      <c r="K3092">
        <v>0</v>
      </c>
      <c r="L3092">
        <v>0</v>
      </c>
      <c r="M3092">
        <v>0</v>
      </c>
      <c r="N3092">
        <v>30</v>
      </c>
      <c r="O3092">
        <v>0</v>
      </c>
      <c r="P3092">
        <v>0</v>
      </c>
      <c r="Q3092">
        <v>0</v>
      </c>
      <c r="R3092">
        <v>0</v>
      </c>
      <c r="S3092">
        <v>0</v>
      </c>
      <c r="T3092">
        <v>0</v>
      </c>
      <c r="U3092">
        <v>0</v>
      </c>
      <c r="V3092">
        <v>0</v>
      </c>
      <c r="W3092">
        <v>0</v>
      </c>
      <c r="X3092">
        <v>0</v>
      </c>
      <c r="Z3092">
        <v>0</v>
      </c>
      <c r="AA3092">
        <v>0</v>
      </c>
      <c r="AB3092">
        <v>0</v>
      </c>
      <c r="AC3092">
        <v>0</v>
      </c>
      <c r="AD3092" t="s">
        <v>5998</v>
      </c>
    </row>
    <row r="3093" spans="1:30" x14ac:dyDescent="0.25">
      <c r="H3093" t="s">
        <v>5307</v>
      </c>
    </row>
    <row r="3094" spans="1:30" x14ac:dyDescent="0.25">
      <c r="A3094">
        <v>1544</v>
      </c>
      <c r="B3094">
        <v>310</v>
      </c>
      <c r="C3094" t="s">
        <v>5999</v>
      </c>
      <c r="D3094" t="s">
        <v>283</v>
      </c>
      <c r="E3094" t="s">
        <v>167</v>
      </c>
      <c r="F3094" t="s">
        <v>6000</v>
      </c>
      <c r="G3094" t="str">
        <f>"00153157"</f>
        <v>00153157</v>
      </c>
      <c r="H3094" t="s">
        <v>248</v>
      </c>
      <c r="I3094">
        <v>0</v>
      </c>
      <c r="J3094">
        <v>0</v>
      </c>
      <c r="K3094">
        <v>0</v>
      </c>
      <c r="L3094">
        <v>0</v>
      </c>
      <c r="M3094">
        <v>0</v>
      </c>
      <c r="N3094">
        <v>30</v>
      </c>
      <c r="O3094">
        <v>0</v>
      </c>
      <c r="P3094">
        <v>0</v>
      </c>
      <c r="Q3094">
        <v>0</v>
      </c>
      <c r="R3094">
        <v>0</v>
      </c>
      <c r="S3094">
        <v>0</v>
      </c>
      <c r="T3094">
        <v>0</v>
      </c>
      <c r="U3094">
        <v>0</v>
      </c>
      <c r="V3094">
        <v>0</v>
      </c>
      <c r="W3094">
        <v>0</v>
      </c>
      <c r="X3094">
        <v>0</v>
      </c>
      <c r="Z3094">
        <v>0</v>
      </c>
      <c r="AA3094">
        <v>0</v>
      </c>
      <c r="AB3094">
        <v>0</v>
      </c>
      <c r="AC3094">
        <v>0</v>
      </c>
      <c r="AD3094" t="s">
        <v>6001</v>
      </c>
    </row>
    <row r="3095" spans="1:30" x14ac:dyDescent="0.25">
      <c r="H3095" t="s">
        <v>6002</v>
      </c>
    </row>
    <row r="3096" spans="1:30" x14ac:dyDescent="0.25">
      <c r="A3096">
        <v>1545</v>
      </c>
      <c r="B3096">
        <v>4893</v>
      </c>
      <c r="C3096" t="s">
        <v>6003</v>
      </c>
      <c r="D3096" t="s">
        <v>64</v>
      </c>
      <c r="E3096" t="s">
        <v>6004</v>
      </c>
      <c r="F3096" t="s">
        <v>6005</v>
      </c>
      <c r="G3096" t="str">
        <f>"00156163"</f>
        <v>00156163</v>
      </c>
      <c r="H3096" t="s">
        <v>248</v>
      </c>
      <c r="I3096">
        <v>0</v>
      </c>
      <c r="J3096">
        <v>0</v>
      </c>
      <c r="K3096">
        <v>0</v>
      </c>
      <c r="L3096">
        <v>0</v>
      </c>
      <c r="M3096">
        <v>0</v>
      </c>
      <c r="N3096">
        <v>30</v>
      </c>
      <c r="O3096">
        <v>0</v>
      </c>
      <c r="P3096">
        <v>0</v>
      </c>
      <c r="Q3096">
        <v>0</v>
      </c>
      <c r="R3096">
        <v>0</v>
      </c>
      <c r="S3096">
        <v>0</v>
      </c>
      <c r="T3096">
        <v>0</v>
      </c>
      <c r="U3096">
        <v>0</v>
      </c>
      <c r="V3096">
        <v>0</v>
      </c>
      <c r="W3096">
        <v>0</v>
      </c>
      <c r="X3096">
        <v>0</v>
      </c>
      <c r="Z3096">
        <v>2</v>
      </c>
      <c r="AA3096">
        <v>0</v>
      </c>
      <c r="AB3096">
        <v>0</v>
      </c>
      <c r="AC3096">
        <v>0</v>
      </c>
      <c r="AD3096" t="s">
        <v>6001</v>
      </c>
    </row>
    <row r="3097" spans="1:30" x14ac:dyDescent="0.25">
      <c r="H3097" t="s">
        <v>6006</v>
      </c>
    </row>
    <row r="3098" spans="1:30" x14ac:dyDescent="0.25">
      <c r="A3098">
        <v>1546</v>
      </c>
      <c r="B3098">
        <v>3975</v>
      </c>
      <c r="C3098" t="s">
        <v>6007</v>
      </c>
      <c r="D3098" t="s">
        <v>120</v>
      </c>
      <c r="E3098" t="s">
        <v>64</v>
      </c>
      <c r="F3098" t="s">
        <v>6008</v>
      </c>
      <c r="G3098" t="str">
        <f>"201511039091"</f>
        <v>201511039091</v>
      </c>
      <c r="H3098" t="s">
        <v>1559</v>
      </c>
      <c r="I3098">
        <v>0</v>
      </c>
      <c r="J3098">
        <v>0</v>
      </c>
      <c r="K3098">
        <v>0</v>
      </c>
      <c r="L3098">
        <v>0</v>
      </c>
      <c r="M3098">
        <v>0</v>
      </c>
      <c r="N3098">
        <v>30</v>
      </c>
      <c r="O3098">
        <v>0</v>
      </c>
      <c r="P3098">
        <v>0</v>
      </c>
      <c r="Q3098">
        <v>0</v>
      </c>
      <c r="R3098">
        <v>0</v>
      </c>
      <c r="S3098">
        <v>0</v>
      </c>
      <c r="T3098">
        <v>0</v>
      </c>
      <c r="U3098">
        <v>0</v>
      </c>
      <c r="V3098">
        <v>0</v>
      </c>
      <c r="W3098">
        <v>0</v>
      </c>
      <c r="X3098">
        <v>0</v>
      </c>
      <c r="Z3098">
        <v>0</v>
      </c>
      <c r="AA3098">
        <v>0</v>
      </c>
      <c r="AB3098">
        <v>0</v>
      </c>
      <c r="AC3098">
        <v>0</v>
      </c>
      <c r="AD3098" t="s">
        <v>6009</v>
      </c>
    </row>
    <row r="3099" spans="1:30" x14ac:dyDescent="0.25">
      <c r="H3099" t="s">
        <v>6010</v>
      </c>
    </row>
    <row r="3100" spans="1:30" x14ac:dyDescent="0.25">
      <c r="A3100">
        <v>1547</v>
      </c>
      <c r="B3100">
        <v>5394</v>
      </c>
      <c r="C3100" t="s">
        <v>6011</v>
      </c>
      <c r="D3100" t="s">
        <v>218</v>
      </c>
      <c r="E3100" t="s">
        <v>76</v>
      </c>
      <c r="F3100" t="s">
        <v>6012</v>
      </c>
      <c r="G3100" t="str">
        <f>"201511032358"</f>
        <v>201511032358</v>
      </c>
      <c r="H3100" t="s">
        <v>6013</v>
      </c>
      <c r="I3100">
        <v>0</v>
      </c>
      <c r="J3100">
        <v>0</v>
      </c>
      <c r="K3100">
        <v>0</v>
      </c>
      <c r="L3100">
        <v>0</v>
      </c>
      <c r="M3100">
        <v>0</v>
      </c>
      <c r="N3100">
        <v>0</v>
      </c>
      <c r="O3100">
        <v>0</v>
      </c>
      <c r="P3100">
        <v>0</v>
      </c>
      <c r="Q3100">
        <v>0</v>
      </c>
      <c r="R3100">
        <v>0</v>
      </c>
      <c r="S3100">
        <v>0</v>
      </c>
      <c r="T3100">
        <v>0</v>
      </c>
      <c r="U3100">
        <v>0</v>
      </c>
      <c r="V3100">
        <v>0</v>
      </c>
      <c r="W3100">
        <v>0</v>
      </c>
      <c r="X3100">
        <v>0</v>
      </c>
      <c r="Z3100">
        <v>0</v>
      </c>
      <c r="AA3100">
        <v>0</v>
      </c>
      <c r="AB3100">
        <v>5</v>
      </c>
      <c r="AC3100">
        <v>85</v>
      </c>
      <c r="AD3100" t="s">
        <v>6009</v>
      </c>
    </row>
    <row r="3101" spans="1:30" x14ac:dyDescent="0.25">
      <c r="H3101" t="s">
        <v>6014</v>
      </c>
    </row>
    <row r="3102" spans="1:30" x14ac:dyDescent="0.25">
      <c r="A3102">
        <v>1548</v>
      </c>
      <c r="B3102">
        <v>5252</v>
      </c>
      <c r="C3102" t="s">
        <v>6015</v>
      </c>
      <c r="D3102" t="s">
        <v>225</v>
      </c>
      <c r="E3102" t="s">
        <v>32</v>
      </c>
      <c r="F3102" t="s">
        <v>6016</v>
      </c>
      <c r="G3102" t="str">
        <f>"201405002096"</f>
        <v>201405002096</v>
      </c>
      <c r="H3102" t="s">
        <v>950</v>
      </c>
      <c r="I3102">
        <v>0</v>
      </c>
      <c r="J3102">
        <v>0</v>
      </c>
      <c r="K3102">
        <v>0</v>
      </c>
      <c r="L3102">
        <v>0</v>
      </c>
      <c r="M3102">
        <v>0</v>
      </c>
      <c r="N3102">
        <v>0</v>
      </c>
      <c r="O3102">
        <v>0</v>
      </c>
      <c r="P3102">
        <v>0</v>
      </c>
      <c r="Q3102">
        <v>0</v>
      </c>
      <c r="R3102">
        <v>0</v>
      </c>
      <c r="S3102">
        <v>0</v>
      </c>
      <c r="T3102">
        <v>0</v>
      </c>
      <c r="U3102">
        <v>0</v>
      </c>
      <c r="V3102">
        <v>5</v>
      </c>
      <c r="W3102">
        <v>35</v>
      </c>
      <c r="X3102">
        <v>0</v>
      </c>
      <c r="Z3102">
        <v>1</v>
      </c>
      <c r="AA3102">
        <v>0</v>
      </c>
      <c r="AB3102">
        <v>0</v>
      </c>
      <c r="AC3102">
        <v>0</v>
      </c>
      <c r="AD3102" t="s">
        <v>6017</v>
      </c>
    </row>
    <row r="3103" spans="1:30" x14ac:dyDescent="0.25">
      <c r="H3103" t="s">
        <v>6018</v>
      </c>
    </row>
    <row r="3104" spans="1:30" x14ac:dyDescent="0.25">
      <c r="A3104">
        <v>1549</v>
      </c>
      <c r="B3104">
        <v>1312</v>
      </c>
      <c r="C3104" t="s">
        <v>6019</v>
      </c>
      <c r="D3104" t="s">
        <v>167</v>
      </c>
      <c r="E3104" t="s">
        <v>102</v>
      </c>
      <c r="F3104" t="s">
        <v>6020</v>
      </c>
      <c r="G3104" t="str">
        <f>"201510002400"</f>
        <v>201510002400</v>
      </c>
      <c r="H3104" t="s">
        <v>2457</v>
      </c>
      <c r="I3104">
        <v>0</v>
      </c>
      <c r="J3104">
        <v>0</v>
      </c>
      <c r="K3104">
        <v>0</v>
      </c>
      <c r="L3104">
        <v>0</v>
      </c>
      <c r="M3104">
        <v>0</v>
      </c>
      <c r="N3104">
        <v>0</v>
      </c>
      <c r="O3104">
        <v>0</v>
      </c>
      <c r="P3104">
        <v>0</v>
      </c>
      <c r="Q3104">
        <v>0</v>
      </c>
      <c r="R3104">
        <v>0</v>
      </c>
      <c r="S3104">
        <v>0</v>
      </c>
      <c r="T3104">
        <v>0</v>
      </c>
      <c r="U3104">
        <v>0</v>
      </c>
      <c r="V3104">
        <v>0</v>
      </c>
      <c r="W3104">
        <v>0</v>
      </c>
      <c r="X3104">
        <v>0</v>
      </c>
      <c r="Z3104">
        <v>2</v>
      </c>
      <c r="AA3104">
        <v>0</v>
      </c>
      <c r="AB3104">
        <v>0</v>
      </c>
      <c r="AC3104">
        <v>0</v>
      </c>
      <c r="AD3104" t="s">
        <v>2457</v>
      </c>
    </row>
    <row r="3105" spans="1:30" x14ac:dyDescent="0.25">
      <c r="H3105" t="s">
        <v>6021</v>
      </c>
    </row>
    <row r="3106" spans="1:30" x14ac:dyDescent="0.25">
      <c r="A3106">
        <v>1550</v>
      </c>
      <c r="B3106">
        <v>985</v>
      </c>
      <c r="C3106" t="s">
        <v>6022</v>
      </c>
      <c r="D3106" t="s">
        <v>77</v>
      </c>
      <c r="E3106" t="s">
        <v>6022</v>
      </c>
      <c r="F3106" t="s">
        <v>6023</v>
      </c>
      <c r="G3106" t="str">
        <f>"00307061"</f>
        <v>00307061</v>
      </c>
      <c r="H3106" t="s">
        <v>2457</v>
      </c>
      <c r="I3106">
        <v>0</v>
      </c>
      <c r="J3106">
        <v>0</v>
      </c>
      <c r="K3106">
        <v>0</v>
      </c>
      <c r="L3106">
        <v>0</v>
      </c>
      <c r="M3106">
        <v>0</v>
      </c>
      <c r="N3106">
        <v>0</v>
      </c>
      <c r="O3106">
        <v>0</v>
      </c>
      <c r="P3106">
        <v>0</v>
      </c>
      <c r="Q3106">
        <v>0</v>
      </c>
      <c r="R3106">
        <v>0</v>
      </c>
      <c r="S3106">
        <v>0</v>
      </c>
      <c r="T3106">
        <v>0</v>
      </c>
      <c r="U3106">
        <v>0</v>
      </c>
      <c r="V3106">
        <v>0</v>
      </c>
      <c r="W3106">
        <v>0</v>
      </c>
      <c r="X3106">
        <v>0</v>
      </c>
      <c r="Z3106">
        <v>2</v>
      </c>
      <c r="AA3106">
        <v>0</v>
      </c>
      <c r="AB3106">
        <v>0</v>
      </c>
      <c r="AC3106">
        <v>0</v>
      </c>
      <c r="AD3106" t="s">
        <v>2457</v>
      </c>
    </row>
    <row r="3107" spans="1:30" x14ac:dyDescent="0.25">
      <c r="H3107" t="s">
        <v>6024</v>
      </c>
    </row>
    <row r="3108" spans="1:30" x14ac:dyDescent="0.25">
      <c r="A3108">
        <v>1551</v>
      </c>
      <c r="B3108">
        <v>997</v>
      </c>
      <c r="C3108" t="s">
        <v>6025</v>
      </c>
      <c r="D3108" t="s">
        <v>6026</v>
      </c>
      <c r="E3108" t="s">
        <v>167</v>
      </c>
      <c r="F3108" t="s">
        <v>6027</v>
      </c>
      <c r="G3108" t="str">
        <f>"00149268"</f>
        <v>00149268</v>
      </c>
      <c r="H3108" t="s">
        <v>363</v>
      </c>
      <c r="I3108">
        <v>0</v>
      </c>
      <c r="J3108">
        <v>0</v>
      </c>
      <c r="K3108">
        <v>0</v>
      </c>
      <c r="L3108">
        <v>0</v>
      </c>
      <c r="M3108">
        <v>0</v>
      </c>
      <c r="N3108">
        <v>0</v>
      </c>
      <c r="O3108">
        <v>0</v>
      </c>
      <c r="P3108">
        <v>0</v>
      </c>
      <c r="Q3108">
        <v>0</v>
      </c>
      <c r="R3108">
        <v>0</v>
      </c>
      <c r="S3108">
        <v>0</v>
      </c>
      <c r="T3108">
        <v>0</v>
      </c>
      <c r="U3108">
        <v>0</v>
      </c>
      <c r="V3108">
        <v>0</v>
      </c>
      <c r="W3108">
        <v>0</v>
      </c>
      <c r="X3108">
        <v>0</v>
      </c>
      <c r="Z3108">
        <v>0</v>
      </c>
      <c r="AA3108">
        <v>0</v>
      </c>
      <c r="AB3108">
        <v>0</v>
      </c>
      <c r="AC3108">
        <v>0</v>
      </c>
      <c r="AD3108" t="s">
        <v>363</v>
      </c>
    </row>
    <row r="3109" spans="1:30" x14ac:dyDescent="0.25">
      <c r="H3109" t="s">
        <v>6028</v>
      </c>
    </row>
    <row r="3110" spans="1:30" x14ac:dyDescent="0.25">
      <c r="A3110">
        <v>1552</v>
      </c>
      <c r="B3110">
        <v>5785</v>
      </c>
      <c r="C3110" t="s">
        <v>6029</v>
      </c>
      <c r="D3110" t="s">
        <v>1237</v>
      </c>
      <c r="E3110" t="s">
        <v>368</v>
      </c>
      <c r="F3110" t="s">
        <v>6030</v>
      </c>
      <c r="G3110" t="str">
        <f>"201412006435"</f>
        <v>201412006435</v>
      </c>
      <c r="H3110" t="s">
        <v>1986</v>
      </c>
      <c r="I3110">
        <v>0</v>
      </c>
      <c r="J3110">
        <v>0</v>
      </c>
      <c r="K3110">
        <v>0</v>
      </c>
      <c r="L3110">
        <v>0</v>
      </c>
      <c r="M3110">
        <v>0</v>
      </c>
      <c r="N3110">
        <v>30</v>
      </c>
      <c r="O3110">
        <v>0</v>
      </c>
      <c r="P3110">
        <v>0</v>
      </c>
      <c r="Q3110">
        <v>0</v>
      </c>
      <c r="R3110">
        <v>0</v>
      </c>
      <c r="S3110">
        <v>0</v>
      </c>
      <c r="T3110">
        <v>0</v>
      </c>
      <c r="U3110">
        <v>0</v>
      </c>
      <c r="V3110">
        <v>0</v>
      </c>
      <c r="W3110">
        <v>0</v>
      </c>
      <c r="X3110">
        <v>0</v>
      </c>
      <c r="Z3110">
        <v>1</v>
      </c>
      <c r="AA3110">
        <v>0</v>
      </c>
      <c r="AB3110">
        <v>0</v>
      </c>
      <c r="AC3110">
        <v>0</v>
      </c>
      <c r="AD3110" t="s">
        <v>6031</v>
      </c>
    </row>
    <row r="3111" spans="1:30" x14ac:dyDescent="0.25">
      <c r="H3111" t="s">
        <v>6032</v>
      </c>
    </row>
    <row r="3112" spans="1:30" x14ac:dyDescent="0.25">
      <c r="A3112">
        <v>1553</v>
      </c>
      <c r="B3112">
        <v>6250</v>
      </c>
      <c r="C3112" t="s">
        <v>6033</v>
      </c>
      <c r="D3112" t="s">
        <v>358</v>
      </c>
      <c r="E3112" t="s">
        <v>120</v>
      </c>
      <c r="F3112" t="s">
        <v>6034</v>
      </c>
      <c r="G3112" t="str">
        <f>"00194497"</f>
        <v>00194497</v>
      </c>
      <c r="H3112" t="s">
        <v>1986</v>
      </c>
      <c r="I3112">
        <v>0</v>
      </c>
      <c r="J3112">
        <v>0</v>
      </c>
      <c r="K3112">
        <v>0</v>
      </c>
      <c r="L3112">
        <v>0</v>
      </c>
      <c r="M3112">
        <v>0</v>
      </c>
      <c r="N3112">
        <v>30</v>
      </c>
      <c r="O3112">
        <v>0</v>
      </c>
      <c r="P3112">
        <v>0</v>
      </c>
      <c r="Q3112">
        <v>0</v>
      </c>
      <c r="R3112">
        <v>0</v>
      </c>
      <c r="S3112">
        <v>0</v>
      </c>
      <c r="T3112">
        <v>0</v>
      </c>
      <c r="U3112">
        <v>0</v>
      </c>
      <c r="V3112">
        <v>0</v>
      </c>
      <c r="W3112">
        <v>0</v>
      </c>
      <c r="X3112">
        <v>0</v>
      </c>
      <c r="Z3112">
        <v>0</v>
      </c>
      <c r="AA3112">
        <v>0</v>
      </c>
      <c r="AB3112">
        <v>0</v>
      </c>
      <c r="AC3112">
        <v>0</v>
      </c>
      <c r="AD3112" t="s">
        <v>6031</v>
      </c>
    </row>
    <row r="3113" spans="1:30" x14ac:dyDescent="0.25">
      <c r="H3113" t="s">
        <v>6035</v>
      </c>
    </row>
    <row r="3114" spans="1:30" x14ac:dyDescent="0.25">
      <c r="A3114">
        <v>1554</v>
      </c>
      <c r="B3114">
        <v>2575</v>
      </c>
      <c r="C3114" t="s">
        <v>6036</v>
      </c>
      <c r="D3114" t="s">
        <v>32</v>
      </c>
      <c r="E3114" t="s">
        <v>124</v>
      </c>
      <c r="F3114" t="s">
        <v>6037</v>
      </c>
      <c r="G3114" t="str">
        <f>"00260405"</f>
        <v>00260405</v>
      </c>
      <c r="H3114" t="s">
        <v>956</v>
      </c>
      <c r="I3114">
        <v>0</v>
      </c>
      <c r="J3114">
        <v>0</v>
      </c>
      <c r="K3114">
        <v>0</v>
      </c>
      <c r="L3114">
        <v>0</v>
      </c>
      <c r="M3114">
        <v>0</v>
      </c>
      <c r="N3114">
        <v>0</v>
      </c>
      <c r="O3114">
        <v>0</v>
      </c>
      <c r="P3114">
        <v>0</v>
      </c>
      <c r="Q3114">
        <v>0</v>
      </c>
      <c r="R3114">
        <v>0</v>
      </c>
      <c r="S3114">
        <v>0</v>
      </c>
      <c r="T3114">
        <v>0</v>
      </c>
      <c r="U3114">
        <v>0</v>
      </c>
      <c r="V3114">
        <v>0</v>
      </c>
      <c r="W3114">
        <v>0</v>
      </c>
      <c r="X3114">
        <v>0</v>
      </c>
      <c r="Z3114">
        <v>0</v>
      </c>
      <c r="AA3114">
        <v>0</v>
      </c>
      <c r="AB3114">
        <v>0</v>
      </c>
      <c r="AC3114">
        <v>0</v>
      </c>
      <c r="AD3114" t="s">
        <v>956</v>
      </c>
    </row>
    <row r="3115" spans="1:30" x14ac:dyDescent="0.25">
      <c r="H3115" t="s">
        <v>6038</v>
      </c>
    </row>
    <row r="3116" spans="1:30" x14ac:dyDescent="0.25">
      <c r="A3116">
        <v>1555</v>
      </c>
      <c r="B3116">
        <v>5910</v>
      </c>
      <c r="C3116" t="s">
        <v>6039</v>
      </c>
      <c r="D3116" t="s">
        <v>180</v>
      </c>
      <c r="E3116" t="s">
        <v>859</v>
      </c>
      <c r="F3116" t="s">
        <v>6040</v>
      </c>
      <c r="G3116" t="str">
        <f>"00356345"</f>
        <v>00356345</v>
      </c>
      <c r="H3116" t="s">
        <v>956</v>
      </c>
      <c r="I3116">
        <v>0</v>
      </c>
      <c r="J3116">
        <v>0</v>
      </c>
      <c r="K3116">
        <v>0</v>
      </c>
      <c r="L3116">
        <v>0</v>
      </c>
      <c r="M3116">
        <v>0</v>
      </c>
      <c r="N3116">
        <v>0</v>
      </c>
      <c r="O3116">
        <v>0</v>
      </c>
      <c r="P3116">
        <v>0</v>
      </c>
      <c r="Q3116">
        <v>0</v>
      </c>
      <c r="R3116">
        <v>0</v>
      </c>
      <c r="S3116">
        <v>0</v>
      </c>
      <c r="T3116">
        <v>0</v>
      </c>
      <c r="U3116">
        <v>0</v>
      </c>
      <c r="V3116">
        <v>0</v>
      </c>
      <c r="W3116">
        <v>0</v>
      </c>
      <c r="X3116">
        <v>0</v>
      </c>
      <c r="Z3116">
        <v>0</v>
      </c>
      <c r="AA3116">
        <v>0</v>
      </c>
      <c r="AB3116">
        <v>0</v>
      </c>
      <c r="AC3116">
        <v>0</v>
      </c>
      <c r="AD3116" t="s">
        <v>956</v>
      </c>
    </row>
    <row r="3117" spans="1:30" x14ac:dyDescent="0.25">
      <c r="H3117" t="s">
        <v>4886</v>
      </c>
    </row>
    <row r="3118" spans="1:30" x14ac:dyDescent="0.25">
      <c r="A3118">
        <v>1556</v>
      </c>
      <c r="B3118">
        <v>3104</v>
      </c>
      <c r="C3118" t="s">
        <v>6041</v>
      </c>
      <c r="D3118" t="s">
        <v>1473</v>
      </c>
      <c r="E3118" t="s">
        <v>28</v>
      </c>
      <c r="F3118" t="s">
        <v>6042</v>
      </c>
      <c r="G3118" t="str">
        <f>"00144595"</f>
        <v>00144595</v>
      </c>
      <c r="H3118" t="s">
        <v>956</v>
      </c>
      <c r="I3118">
        <v>0</v>
      </c>
      <c r="J3118">
        <v>0</v>
      </c>
      <c r="K3118">
        <v>0</v>
      </c>
      <c r="L3118">
        <v>0</v>
      </c>
      <c r="M3118">
        <v>0</v>
      </c>
      <c r="N3118">
        <v>0</v>
      </c>
      <c r="O3118">
        <v>0</v>
      </c>
      <c r="P3118">
        <v>0</v>
      </c>
      <c r="Q3118">
        <v>0</v>
      </c>
      <c r="R3118">
        <v>0</v>
      </c>
      <c r="S3118">
        <v>0</v>
      </c>
      <c r="T3118">
        <v>0</v>
      </c>
      <c r="U3118">
        <v>0</v>
      </c>
      <c r="V3118">
        <v>0</v>
      </c>
      <c r="W3118">
        <v>0</v>
      </c>
      <c r="X3118">
        <v>0</v>
      </c>
      <c r="Z3118">
        <v>0</v>
      </c>
      <c r="AA3118">
        <v>0</v>
      </c>
      <c r="AB3118">
        <v>0</v>
      </c>
      <c r="AC3118">
        <v>0</v>
      </c>
      <c r="AD3118" t="s">
        <v>956</v>
      </c>
    </row>
    <row r="3119" spans="1:30" x14ac:dyDescent="0.25">
      <c r="H3119" t="s">
        <v>6043</v>
      </c>
    </row>
    <row r="3120" spans="1:30" x14ac:dyDescent="0.25">
      <c r="A3120">
        <v>1557</v>
      </c>
      <c r="B3120">
        <v>3236</v>
      </c>
      <c r="C3120" t="s">
        <v>6044</v>
      </c>
      <c r="D3120" t="s">
        <v>124</v>
      </c>
      <c r="E3120" t="s">
        <v>28</v>
      </c>
      <c r="F3120" t="s">
        <v>6045</v>
      </c>
      <c r="G3120" t="str">
        <f>"00328053"</f>
        <v>00328053</v>
      </c>
      <c r="H3120" t="s">
        <v>956</v>
      </c>
      <c r="I3120">
        <v>0</v>
      </c>
      <c r="J3120">
        <v>0</v>
      </c>
      <c r="K3120">
        <v>0</v>
      </c>
      <c r="L3120">
        <v>0</v>
      </c>
      <c r="M3120">
        <v>0</v>
      </c>
      <c r="N3120">
        <v>0</v>
      </c>
      <c r="O3120">
        <v>0</v>
      </c>
      <c r="P3120">
        <v>0</v>
      </c>
      <c r="Q3120">
        <v>0</v>
      </c>
      <c r="R3120">
        <v>0</v>
      </c>
      <c r="S3120">
        <v>0</v>
      </c>
      <c r="T3120">
        <v>0</v>
      </c>
      <c r="U3120">
        <v>0</v>
      </c>
      <c r="V3120">
        <v>0</v>
      </c>
      <c r="W3120">
        <v>0</v>
      </c>
      <c r="X3120">
        <v>0</v>
      </c>
      <c r="Z3120">
        <v>2</v>
      </c>
      <c r="AA3120">
        <v>0</v>
      </c>
      <c r="AB3120">
        <v>0</v>
      </c>
      <c r="AC3120">
        <v>0</v>
      </c>
      <c r="AD3120" t="s">
        <v>956</v>
      </c>
    </row>
    <row r="3121" spans="1:30" x14ac:dyDescent="0.25">
      <c r="H3121" t="s">
        <v>6046</v>
      </c>
    </row>
    <row r="3122" spans="1:30" x14ac:dyDescent="0.25">
      <c r="A3122">
        <v>1558</v>
      </c>
      <c r="B3122">
        <v>2840</v>
      </c>
      <c r="C3122" t="s">
        <v>6047</v>
      </c>
      <c r="D3122" t="s">
        <v>76</v>
      </c>
      <c r="E3122" t="s">
        <v>49</v>
      </c>
      <c r="F3122" t="s">
        <v>6048</v>
      </c>
      <c r="G3122" t="str">
        <f>"00154289"</f>
        <v>00154289</v>
      </c>
      <c r="H3122">
        <v>649</v>
      </c>
      <c r="I3122">
        <v>0</v>
      </c>
      <c r="J3122">
        <v>0</v>
      </c>
      <c r="K3122">
        <v>0</v>
      </c>
      <c r="L3122">
        <v>0</v>
      </c>
      <c r="M3122">
        <v>0</v>
      </c>
      <c r="N3122">
        <v>30</v>
      </c>
      <c r="O3122">
        <v>0</v>
      </c>
      <c r="P3122">
        <v>0</v>
      </c>
      <c r="Q3122">
        <v>0</v>
      </c>
      <c r="R3122">
        <v>0</v>
      </c>
      <c r="S3122">
        <v>0</v>
      </c>
      <c r="T3122">
        <v>0</v>
      </c>
      <c r="U3122">
        <v>0</v>
      </c>
      <c r="V3122">
        <v>0</v>
      </c>
      <c r="W3122">
        <v>0</v>
      </c>
      <c r="X3122">
        <v>0</v>
      </c>
      <c r="Z3122">
        <v>0</v>
      </c>
      <c r="AA3122">
        <v>0</v>
      </c>
      <c r="AB3122">
        <v>0</v>
      </c>
      <c r="AC3122">
        <v>0</v>
      </c>
      <c r="AD3122">
        <v>679</v>
      </c>
    </row>
    <row r="3123" spans="1:30" x14ac:dyDescent="0.25">
      <c r="H3123" t="s">
        <v>6049</v>
      </c>
    </row>
    <row r="3124" spans="1:30" x14ac:dyDescent="0.25">
      <c r="A3124">
        <v>1559</v>
      </c>
      <c r="B3124">
        <v>380</v>
      </c>
      <c r="C3124" t="s">
        <v>271</v>
      </c>
      <c r="D3124" t="s">
        <v>6050</v>
      </c>
      <c r="E3124" t="s">
        <v>299</v>
      </c>
      <c r="F3124" t="s">
        <v>6051</v>
      </c>
      <c r="G3124" t="str">
        <f>"00281047"</f>
        <v>00281047</v>
      </c>
      <c r="H3124" t="s">
        <v>1080</v>
      </c>
      <c r="I3124">
        <v>0</v>
      </c>
      <c r="J3124">
        <v>0</v>
      </c>
      <c r="K3124">
        <v>0</v>
      </c>
      <c r="L3124">
        <v>0</v>
      </c>
      <c r="M3124">
        <v>0</v>
      </c>
      <c r="N3124">
        <v>0</v>
      </c>
      <c r="O3124">
        <v>0</v>
      </c>
      <c r="P3124">
        <v>0</v>
      </c>
      <c r="Q3124">
        <v>0</v>
      </c>
      <c r="R3124">
        <v>0</v>
      </c>
      <c r="S3124">
        <v>0</v>
      </c>
      <c r="T3124">
        <v>0</v>
      </c>
      <c r="U3124">
        <v>0</v>
      </c>
      <c r="V3124">
        <v>0</v>
      </c>
      <c r="W3124">
        <v>0</v>
      </c>
      <c r="X3124">
        <v>0</v>
      </c>
      <c r="Z3124">
        <v>0</v>
      </c>
      <c r="AA3124">
        <v>0</v>
      </c>
      <c r="AB3124">
        <v>0</v>
      </c>
      <c r="AC3124">
        <v>0</v>
      </c>
      <c r="AD3124" t="s">
        <v>1080</v>
      </c>
    </row>
    <row r="3125" spans="1:30" x14ac:dyDescent="0.25">
      <c r="H3125" t="s">
        <v>6052</v>
      </c>
    </row>
    <row r="3126" spans="1:30" x14ac:dyDescent="0.25">
      <c r="A3126">
        <v>1560</v>
      </c>
      <c r="B3126">
        <v>1888</v>
      </c>
      <c r="C3126" t="s">
        <v>5635</v>
      </c>
      <c r="D3126" t="s">
        <v>49</v>
      </c>
      <c r="E3126" t="s">
        <v>120</v>
      </c>
      <c r="F3126" t="s">
        <v>6053</v>
      </c>
      <c r="G3126" t="str">
        <f>"00310663"</f>
        <v>00310663</v>
      </c>
      <c r="H3126" t="s">
        <v>1177</v>
      </c>
      <c r="I3126">
        <v>0</v>
      </c>
      <c r="J3126">
        <v>0</v>
      </c>
      <c r="K3126">
        <v>0</v>
      </c>
      <c r="L3126">
        <v>0</v>
      </c>
      <c r="M3126">
        <v>0</v>
      </c>
      <c r="N3126">
        <v>30</v>
      </c>
      <c r="O3126">
        <v>0</v>
      </c>
      <c r="P3126">
        <v>0</v>
      </c>
      <c r="Q3126">
        <v>0</v>
      </c>
      <c r="R3126">
        <v>0</v>
      </c>
      <c r="S3126">
        <v>0</v>
      </c>
      <c r="T3126">
        <v>0</v>
      </c>
      <c r="U3126">
        <v>0</v>
      </c>
      <c r="V3126">
        <v>0</v>
      </c>
      <c r="W3126">
        <v>0</v>
      </c>
      <c r="X3126">
        <v>0</v>
      </c>
      <c r="Z3126">
        <v>0</v>
      </c>
      <c r="AA3126">
        <v>0</v>
      </c>
      <c r="AB3126">
        <v>0</v>
      </c>
      <c r="AC3126">
        <v>0</v>
      </c>
      <c r="AD3126" t="s">
        <v>6054</v>
      </c>
    </row>
    <row r="3127" spans="1:30" x14ac:dyDescent="0.25">
      <c r="H3127" t="s">
        <v>6055</v>
      </c>
    </row>
    <row r="3128" spans="1:30" x14ac:dyDescent="0.25">
      <c r="A3128">
        <v>1561</v>
      </c>
      <c r="B3128">
        <v>5848</v>
      </c>
      <c r="C3128" t="s">
        <v>588</v>
      </c>
      <c r="D3128" t="s">
        <v>166</v>
      </c>
      <c r="E3128" t="s">
        <v>254</v>
      </c>
      <c r="F3128" t="s">
        <v>6056</v>
      </c>
      <c r="G3128" t="str">
        <f>"00158302"</f>
        <v>00158302</v>
      </c>
      <c r="H3128" t="s">
        <v>2798</v>
      </c>
      <c r="I3128">
        <v>0</v>
      </c>
      <c r="J3128">
        <v>0</v>
      </c>
      <c r="K3128">
        <v>0</v>
      </c>
      <c r="L3128">
        <v>0</v>
      </c>
      <c r="M3128">
        <v>0</v>
      </c>
      <c r="N3128">
        <v>0</v>
      </c>
      <c r="O3128">
        <v>0</v>
      </c>
      <c r="P3128">
        <v>0</v>
      </c>
      <c r="Q3128">
        <v>0</v>
      </c>
      <c r="R3128">
        <v>0</v>
      </c>
      <c r="S3128">
        <v>0</v>
      </c>
      <c r="T3128">
        <v>0</v>
      </c>
      <c r="U3128">
        <v>0</v>
      </c>
      <c r="V3128">
        <v>0</v>
      </c>
      <c r="W3128">
        <v>0</v>
      </c>
      <c r="X3128">
        <v>0</v>
      </c>
      <c r="Z3128">
        <v>2</v>
      </c>
      <c r="AA3128">
        <v>0</v>
      </c>
      <c r="AB3128">
        <v>0</v>
      </c>
      <c r="AC3128">
        <v>0</v>
      </c>
      <c r="AD3128" t="s">
        <v>2798</v>
      </c>
    </row>
    <row r="3129" spans="1:30" x14ac:dyDescent="0.25">
      <c r="H3129" t="s">
        <v>5808</v>
      </c>
    </row>
    <row r="3130" spans="1:30" x14ac:dyDescent="0.25">
      <c r="A3130">
        <v>1562</v>
      </c>
      <c r="B3130">
        <v>4200</v>
      </c>
      <c r="C3130" t="s">
        <v>6057</v>
      </c>
      <c r="D3130" t="s">
        <v>83</v>
      </c>
      <c r="E3130" t="s">
        <v>49</v>
      </c>
      <c r="F3130" t="s">
        <v>6058</v>
      </c>
      <c r="G3130" t="str">
        <f>"00012815"</f>
        <v>00012815</v>
      </c>
      <c r="H3130" t="s">
        <v>2798</v>
      </c>
      <c r="I3130">
        <v>0</v>
      </c>
      <c r="J3130">
        <v>0</v>
      </c>
      <c r="K3130">
        <v>0</v>
      </c>
      <c r="L3130">
        <v>0</v>
      </c>
      <c r="M3130">
        <v>0</v>
      </c>
      <c r="N3130">
        <v>0</v>
      </c>
      <c r="O3130">
        <v>0</v>
      </c>
      <c r="P3130">
        <v>0</v>
      </c>
      <c r="Q3130">
        <v>0</v>
      </c>
      <c r="R3130">
        <v>0</v>
      </c>
      <c r="S3130">
        <v>0</v>
      </c>
      <c r="T3130">
        <v>0</v>
      </c>
      <c r="U3130">
        <v>0</v>
      </c>
      <c r="V3130">
        <v>0</v>
      </c>
      <c r="W3130">
        <v>0</v>
      </c>
      <c r="X3130">
        <v>0</v>
      </c>
      <c r="Z3130">
        <v>1</v>
      </c>
      <c r="AA3130">
        <v>0</v>
      </c>
      <c r="AB3130">
        <v>0</v>
      </c>
      <c r="AC3130">
        <v>0</v>
      </c>
      <c r="AD3130" t="s">
        <v>2798</v>
      </c>
    </row>
    <row r="3131" spans="1:30" x14ac:dyDescent="0.25">
      <c r="H3131" t="s">
        <v>6059</v>
      </c>
    </row>
    <row r="3132" spans="1:30" x14ac:dyDescent="0.25">
      <c r="A3132">
        <v>1563</v>
      </c>
      <c r="B3132">
        <v>3204</v>
      </c>
      <c r="C3132" t="s">
        <v>6060</v>
      </c>
      <c r="D3132" t="s">
        <v>449</v>
      </c>
      <c r="E3132" t="s">
        <v>1169</v>
      </c>
      <c r="F3132" t="s">
        <v>6061</v>
      </c>
      <c r="G3132" t="str">
        <f>"00203366"</f>
        <v>00203366</v>
      </c>
      <c r="H3132" t="s">
        <v>1040</v>
      </c>
      <c r="I3132">
        <v>0</v>
      </c>
      <c r="J3132">
        <v>0</v>
      </c>
      <c r="K3132">
        <v>0</v>
      </c>
      <c r="L3132">
        <v>0</v>
      </c>
      <c r="M3132">
        <v>0</v>
      </c>
      <c r="N3132">
        <v>0</v>
      </c>
      <c r="O3132">
        <v>0</v>
      </c>
      <c r="P3132">
        <v>0</v>
      </c>
      <c r="Q3132">
        <v>0</v>
      </c>
      <c r="R3132">
        <v>0</v>
      </c>
      <c r="S3132">
        <v>0</v>
      </c>
      <c r="T3132">
        <v>0</v>
      </c>
      <c r="U3132">
        <v>0</v>
      </c>
      <c r="V3132">
        <v>0</v>
      </c>
      <c r="W3132">
        <v>0</v>
      </c>
      <c r="X3132">
        <v>0</v>
      </c>
      <c r="Z3132">
        <v>0</v>
      </c>
      <c r="AA3132">
        <v>0</v>
      </c>
      <c r="AB3132">
        <v>0</v>
      </c>
      <c r="AC3132">
        <v>0</v>
      </c>
      <c r="AD3132" t="s">
        <v>1040</v>
      </c>
    </row>
    <row r="3133" spans="1:30" x14ac:dyDescent="0.25">
      <c r="H3133" t="s">
        <v>6062</v>
      </c>
    </row>
    <row r="3134" spans="1:30" x14ac:dyDescent="0.25">
      <c r="A3134">
        <v>1564</v>
      </c>
      <c r="B3134">
        <v>5716</v>
      </c>
      <c r="C3134" t="s">
        <v>6063</v>
      </c>
      <c r="D3134" t="s">
        <v>107</v>
      </c>
      <c r="E3134" t="s">
        <v>4102</v>
      </c>
      <c r="F3134" t="s">
        <v>6064</v>
      </c>
      <c r="G3134" t="str">
        <f>"00364019"</f>
        <v>00364019</v>
      </c>
      <c r="H3134" t="s">
        <v>1040</v>
      </c>
      <c r="I3134">
        <v>0</v>
      </c>
      <c r="J3134">
        <v>0</v>
      </c>
      <c r="K3134">
        <v>0</v>
      </c>
      <c r="L3134">
        <v>0</v>
      </c>
      <c r="M3134">
        <v>0</v>
      </c>
      <c r="N3134">
        <v>0</v>
      </c>
      <c r="O3134">
        <v>0</v>
      </c>
      <c r="P3134">
        <v>0</v>
      </c>
      <c r="Q3134">
        <v>0</v>
      </c>
      <c r="R3134">
        <v>0</v>
      </c>
      <c r="S3134">
        <v>0</v>
      </c>
      <c r="T3134">
        <v>0</v>
      </c>
      <c r="U3134">
        <v>0</v>
      </c>
      <c r="V3134">
        <v>0</v>
      </c>
      <c r="W3134">
        <v>0</v>
      </c>
      <c r="X3134">
        <v>0</v>
      </c>
      <c r="Z3134">
        <v>0</v>
      </c>
      <c r="AA3134">
        <v>0</v>
      </c>
      <c r="AB3134">
        <v>0</v>
      </c>
      <c r="AC3134">
        <v>0</v>
      </c>
      <c r="AD3134" t="s">
        <v>1040</v>
      </c>
    </row>
    <row r="3135" spans="1:30" x14ac:dyDescent="0.25">
      <c r="H3135" t="s">
        <v>6065</v>
      </c>
    </row>
    <row r="3136" spans="1:30" x14ac:dyDescent="0.25">
      <c r="A3136">
        <v>1565</v>
      </c>
      <c r="B3136">
        <v>29</v>
      </c>
      <c r="C3136" t="s">
        <v>6066</v>
      </c>
      <c r="D3136" t="s">
        <v>2302</v>
      </c>
      <c r="E3136" t="s">
        <v>15</v>
      </c>
      <c r="F3136" t="s">
        <v>6067</v>
      </c>
      <c r="G3136" t="str">
        <f>"00287399"</f>
        <v>00287399</v>
      </c>
      <c r="H3136" t="s">
        <v>3311</v>
      </c>
      <c r="I3136">
        <v>0</v>
      </c>
      <c r="J3136">
        <v>0</v>
      </c>
      <c r="K3136">
        <v>0</v>
      </c>
      <c r="L3136">
        <v>0</v>
      </c>
      <c r="M3136">
        <v>0</v>
      </c>
      <c r="N3136">
        <v>30</v>
      </c>
      <c r="O3136">
        <v>0</v>
      </c>
      <c r="P3136">
        <v>0</v>
      </c>
      <c r="Q3136">
        <v>0</v>
      </c>
      <c r="R3136">
        <v>0</v>
      </c>
      <c r="S3136">
        <v>0</v>
      </c>
      <c r="T3136">
        <v>0</v>
      </c>
      <c r="U3136">
        <v>0</v>
      </c>
      <c r="V3136">
        <v>0</v>
      </c>
      <c r="W3136">
        <v>0</v>
      </c>
      <c r="X3136">
        <v>0</v>
      </c>
      <c r="Z3136">
        <v>0</v>
      </c>
      <c r="AA3136">
        <v>0</v>
      </c>
      <c r="AB3136">
        <v>0</v>
      </c>
      <c r="AC3136">
        <v>0</v>
      </c>
      <c r="AD3136" t="s">
        <v>6068</v>
      </c>
    </row>
    <row r="3137" spans="1:30" x14ac:dyDescent="0.25">
      <c r="H3137" t="s">
        <v>6069</v>
      </c>
    </row>
    <row r="3138" spans="1:30" x14ac:dyDescent="0.25">
      <c r="A3138">
        <v>1566</v>
      </c>
      <c r="B3138">
        <v>5640</v>
      </c>
      <c r="C3138" t="s">
        <v>4040</v>
      </c>
      <c r="D3138" t="s">
        <v>6070</v>
      </c>
      <c r="E3138" t="s">
        <v>2764</v>
      </c>
      <c r="F3138" t="s">
        <v>6071</v>
      </c>
      <c r="G3138" t="str">
        <f>"00142308"</f>
        <v>00142308</v>
      </c>
      <c r="H3138" t="s">
        <v>2628</v>
      </c>
      <c r="I3138">
        <v>0</v>
      </c>
      <c r="J3138">
        <v>0</v>
      </c>
      <c r="K3138">
        <v>0</v>
      </c>
      <c r="L3138">
        <v>0</v>
      </c>
      <c r="M3138">
        <v>0</v>
      </c>
      <c r="N3138">
        <v>0</v>
      </c>
      <c r="O3138">
        <v>0</v>
      </c>
      <c r="P3138">
        <v>0</v>
      </c>
      <c r="Q3138">
        <v>0</v>
      </c>
      <c r="R3138">
        <v>0</v>
      </c>
      <c r="S3138">
        <v>0</v>
      </c>
      <c r="T3138">
        <v>0</v>
      </c>
      <c r="U3138">
        <v>0</v>
      </c>
      <c r="V3138">
        <v>0</v>
      </c>
      <c r="W3138">
        <v>0</v>
      </c>
      <c r="X3138">
        <v>0</v>
      </c>
      <c r="Z3138">
        <v>1</v>
      </c>
      <c r="AA3138">
        <v>0</v>
      </c>
      <c r="AB3138">
        <v>0</v>
      </c>
      <c r="AC3138">
        <v>0</v>
      </c>
      <c r="AD3138" t="s">
        <v>2628</v>
      </c>
    </row>
    <row r="3139" spans="1:30" x14ac:dyDescent="0.25">
      <c r="H3139" t="s">
        <v>6072</v>
      </c>
    </row>
    <row r="3140" spans="1:30" x14ac:dyDescent="0.25">
      <c r="A3140">
        <v>1567</v>
      </c>
      <c r="B3140">
        <v>3079</v>
      </c>
      <c r="C3140" t="s">
        <v>6073</v>
      </c>
      <c r="D3140" t="s">
        <v>28</v>
      </c>
      <c r="E3140" t="s">
        <v>49</v>
      </c>
      <c r="F3140" t="s">
        <v>6074</v>
      </c>
      <c r="G3140" t="str">
        <f>"00367145"</f>
        <v>00367145</v>
      </c>
      <c r="H3140" t="s">
        <v>2637</v>
      </c>
      <c r="I3140">
        <v>0</v>
      </c>
      <c r="J3140">
        <v>0</v>
      </c>
      <c r="K3140">
        <v>0</v>
      </c>
      <c r="L3140">
        <v>0</v>
      </c>
      <c r="M3140">
        <v>0</v>
      </c>
      <c r="N3140">
        <v>0</v>
      </c>
      <c r="O3140">
        <v>0</v>
      </c>
      <c r="P3140">
        <v>0</v>
      </c>
      <c r="Q3140">
        <v>0</v>
      </c>
      <c r="R3140">
        <v>0</v>
      </c>
      <c r="S3140">
        <v>0</v>
      </c>
      <c r="T3140">
        <v>0</v>
      </c>
      <c r="U3140">
        <v>0</v>
      </c>
      <c r="V3140">
        <v>0</v>
      </c>
      <c r="W3140">
        <v>0</v>
      </c>
      <c r="X3140">
        <v>0</v>
      </c>
      <c r="Z3140">
        <v>2</v>
      </c>
      <c r="AA3140">
        <v>0</v>
      </c>
      <c r="AB3140">
        <v>0</v>
      </c>
      <c r="AC3140">
        <v>0</v>
      </c>
      <c r="AD3140" t="s">
        <v>2637</v>
      </c>
    </row>
    <row r="3141" spans="1:30" x14ac:dyDescent="0.25">
      <c r="H3141" t="s">
        <v>483</v>
      </c>
    </row>
    <row r="3142" spans="1:30" x14ac:dyDescent="0.25">
      <c r="A3142">
        <v>1568</v>
      </c>
      <c r="B3142">
        <v>5949</v>
      </c>
      <c r="C3142" t="s">
        <v>6075</v>
      </c>
      <c r="D3142" t="s">
        <v>2918</v>
      </c>
      <c r="E3142" t="s">
        <v>102</v>
      </c>
      <c r="F3142" t="s">
        <v>6076</v>
      </c>
      <c r="G3142" t="str">
        <f>"201511038913"</f>
        <v>201511038913</v>
      </c>
      <c r="H3142" t="s">
        <v>1214</v>
      </c>
      <c r="I3142">
        <v>0</v>
      </c>
      <c r="J3142">
        <v>0</v>
      </c>
      <c r="K3142">
        <v>0</v>
      </c>
      <c r="L3142">
        <v>0</v>
      </c>
      <c r="M3142">
        <v>0</v>
      </c>
      <c r="N3142">
        <v>30</v>
      </c>
      <c r="O3142">
        <v>0</v>
      </c>
      <c r="P3142">
        <v>0</v>
      </c>
      <c r="Q3142">
        <v>0</v>
      </c>
      <c r="R3142">
        <v>0</v>
      </c>
      <c r="S3142">
        <v>0</v>
      </c>
      <c r="T3142">
        <v>0</v>
      </c>
      <c r="U3142">
        <v>0</v>
      </c>
      <c r="V3142">
        <v>0</v>
      </c>
      <c r="W3142">
        <v>0</v>
      </c>
      <c r="X3142">
        <v>0</v>
      </c>
      <c r="Z3142">
        <v>0</v>
      </c>
      <c r="AA3142">
        <v>0</v>
      </c>
      <c r="AB3142">
        <v>0</v>
      </c>
      <c r="AC3142">
        <v>0</v>
      </c>
      <c r="AD3142" t="s">
        <v>6077</v>
      </c>
    </row>
    <row r="3143" spans="1:30" x14ac:dyDescent="0.25">
      <c r="H3143" t="s">
        <v>6078</v>
      </c>
    </row>
    <row r="3144" spans="1:30" x14ac:dyDescent="0.25">
      <c r="A3144">
        <v>1569</v>
      </c>
      <c r="B3144">
        <v>558</v>
      </c>
      <c r="C3144" t="s">
        <v>6079</v>
      </c>
      <c r="D3144" t="s">
        <v>102</v>
      </c>
      <c r="E3144" t="s">
        <v>5733</v>
      </c>
      <c r="F3144" t="s">
        <v>6080</v>
      </c>
      <c r="G3144" t="str">
        <f>"00295130"</f>
        <v>00295130</v>
      </c>
      <c r="H3144" t="s">
        <v>1214</v>
      </c>
      <c r="I3144">
        <v>0</v>
      </c>
      <c r="J3144">
        <v>0</v>
      </c>
      <c r="K3144">
        <v>0</v>
      </c>
      <c r="L3144">
        <v>0</v>
      </c>
      <c r="M3144">
        <v>0</v>
      </c>
      <c r="N3144">
        <v>30</v>
      </c>
      <c r="O3144">
        <v>0</v>
      </c>
      <c r="P3144">
        <v>0</v>
      </c>
      <c r="Q3144">
        <v>0</v>
      </c>
      <c r="R3144">
        <v>0</v>
      </c>
      <c r="S3144">
        <v>0</v>
      </c>
      <c r="T3144">
        <v>0</v>
      </c>
      <c r="U3144">
        <v>0</v>
      </c>
      <c r="V3144">
        <v>0</v>
      </c>
      <c r="W3144">
        <v>0</v>
      </c>
      <c r="X3144">
        <v>0</v>
      </c>
      <c r="Z3144">
        <v>0</v>
      </c>
      <c r="AA3144">
        <v>0</v>
      </c>
      <c r="AB3144">
        <v>0</v>
      </c>
      <c r="AC3144">
        <v>0</v>
      </c>
      <c r="AD3144" t="s">
        <v>6077</v>
      </c>
    </row>
    <row r="3145" spans="1:30" x14ac:dyDescent="0.25">
      <c r="H3145" t="s">
        <v>6081</v>
      </c>
    </row>
    <row r="3146" spans="1:30" x14ac:dyDescent="0.25">
      <c r="A3146">
        <v>1570</v>
      </c>
      <c r="B3146">
        <v>2384</v>
      </c>
      <c r="C3146" t="s">
        <v>2152</v>
      </c>
      <c r="D3146" t="s">
        <v>95</v>
      </c>
      <c r="E3146" t="s">
        <v>141</v>
      </c>
      <c r="F3146" t="s">
        <v>6082</v>
      </c>
      <c r="G3146" t="str">
        <f>"00160702"</f>
        <v>00160702</v>
      </c>
      <c r="H3146" t="s">
        <v>2245</v>
      </c>
      <c r="I3146">
        <v>0</v>
      </c>
      <c r="J3146">
        <v>0</v>
      </c>
      <c r="K3146">
        <v>0</v>
      </c>
      <c r="L3146">
        <v>0</v>
      </c>
      <c r="M3146">
        <v>0</v>
      </c>
      <c r="N3146">
        <v>0</v>
      </c>
      <c r="O3146">
        <v>0</v>
      </c>
      <c r="P3146">
        <v>0</v>
      </c>
      <c r="Q3146">
        <v>0</v>
      </c>
      <c r="R3146">
        <v>0</v>
      </c>
      <c r="S3146">
        <v>0</v>
      </c>
      <c r="T3146">
        <v>0</v>
      </c>
      <c r="U3146">
        <v>0</v>
      </c>
      <c r="V3146">
        <v>0</v>
      </c>
      <c r="W3146">
        <v>0</v>
      </c>
      <c r="X3146">
        <v>0</v>
      </c>
      <c r="Z3146">
        <v>2</v>
      </c>
      <c r="AA3146">
        <v>0</v>
      </c>
      <c r="AB3146">
        <v>0</v>
      </c>
      <c r="AC3146">
        <v>0</v>
      </c>
      <c r="AD3146" t="s">
        <v>2245</v>
      </c>
    </row>
    <row r="3147" spans="1:30" x14ac:dyDescent="0.25">
      <c r="H3147" t="s">
        <v>6083</v>
      </c>
    </row>
    <row r="3148" spans="1:30" x14ac:dyDescent="0.25">
      <c r="A3148">
        <v>1571</v>
      </c>
      <c r="B3148">
        <v>5744</v>
      </c>
      <c r="C3148" t="s">
        <v>6084</v>
      </c>
      <c r="D3148" t="s">
        <v>27</v>
      </c>
      <c r="E3148" t="s">
        <v>32</v>
      </c>
      <c r="F3148" t="s">
        <v>6085</v>
      </c>
      <c r="G3148" t="str">
        <f>"00004549"</f>
        <v>00004549</v>
      </c>
      <c r="H3148" t="s">
        <v>2245</v>
      </c>
      <c r="I3148">
        <v>0</v>
      </c>
      <c r="J3148">
        <v>0</v>
      </c>
      <c r="K3148">
        <v>0</v>
      </c>
      <c r="L3148">
        <v>0</v>
      </c>
      <c r="M3148">
        <v>0</v>
      </c>
      <c r="N3148">
        <v>0</v>
      </c>
      <c r="O3148">
        <v>0</v>
      </c>
      <c r="P3148">
        <v>0</v>
      </c>
      <c r="Q3148">
        <v>0</v>
      </c>
      <c r="R3148">
        <v>0</v>
      </c>
      <c r="S3148">
        <v>0</v>
      </c>
      <c r="T3148">
        <v>0</v>
      </c>
      <c r="U3148">
        <v>0</v>
      </c>
      <c r="V3148">
        <v>0</v>
      </c>
      <c r="W3148">
        <v>0</v>
      </c>
      <c r="X3148">
        <v>0</v>
      </c>
      <c r="Z3148">
        <v>0</v>
      </c>
      <c r="AA3148">
        <v>0</v>
      </c>
      <c r="AB3148">
        <v>0</v>
      </c>
      <c r="AC3148">
        <v>0</v>
      </c>
      <c r="AD3148" t="s">
        <v>2245</v>
      </c>
    </row>
    <row r="3149" spans="1:30" x14ac:dyDescent="0.25">
      <c r="H3149" t="s">
        <v>6072</v>
      </c>
    </row>
    <row r="3150" spans="1:30" x14ac:dyDescent="0.25">
      <c r="A3150">
        <v>1572</v>
      </c>
      <c r="B3150">
        <v>6159</v>
      </c>
      <c r="C3150" t="s">
        <v>1582</v>
      </c>
      <c r="D3150" t="s">
        <v>218</v>
      </c>
      <c r="E3150" t="s">
        <v>49</v>
      </c>
      <c r="F3150" t="s">
        <v>6086</v>
      </c>
      <c r="G3150" t="str">
        <f>"00241301"</f>
        <v>00241301</v>
      </c>
      <c r="H3150" t="s">
        <v>861</v>
      </c>
      <c r="I3150">
        <v>0</v>
      </c>
      <c r="J3150">
        <v>0</v>
      </c>
      <c r="K3150">
        <v>0</v>
      </c>
      <c r="L3150">
        <v>0</v>
      </c>
      <c r="M3150">
        <v>0</v>
      </c>
      <c r="N3150">
        <v>0</v>
      </c>
      <c r="O3150">
        <v>0</v>
      </c>
      <c r="P3150">
        <v>0</v>
      </c>
      <c r="Q3150">
        <v>0</v>
      </c>
      <c r="R3150">
        <v>0</v>
      </c>
      <c r="S3150">
        <v>0</v>
      </c>
      <c r="T3150">
        <v>0</v>
      </c>
      <c r="U3150">
        <v>0</v>
      </c>
      <c r="V3150">
        <v>0</v>
      </c>
      <c r="W3150">
        <v>0</v>
      </c>
      <c r="X3150">
        <v>0</v>
      </c>
      <c r="Z3150">
        <v>0</v>
      </c>
      <c r="AA3150">
        <v>0</v>
      </c>
      <c r="AB3150">
        <v>0</v>
      </c>
      <c r="AC3150">
        <v>0</v>
      </c>
      <c r="AD3150" t="s">
        <v>861</v>
      </c>
    </row>
    <row r="3151" spans="1:30" x14ac:dyDescent="0.25">
      <c r="H3151" t="s">
        <v>6087</v>
      </c>
    </row>
    <row r="3152" spans="1:30" x14ac:dyDescent="0.25">
      <c r="A3152">
        <v>1573</v>
      </c>
      <c r="B3152">
        <v>2293</v>
      </c>
      <c r="C3152" t="s">
        <v>6088</v>
      </c>
      <c r="D3152" t="s">
        <v>102</v>
      </c>
      <c r="E3152" t="s">
        <v>32</v>
      </c>
      <c r="F3152" t="s">
        <v>6089</v>
      </c>
      <c r="G3152" t="str">
        <f>"00295704"</f>
        <v>00295704</v>
      </c>
      <c r="H3152" t="s">
        <v>5153</v>
      </c>
      <c r="I3152">
        <v>0</v>
      </c>
      <c r="J3152">
        <v>0</v>
      </c>
      <c r="K3152">
        <v>0</v>
      </c>
      <c r="L3152">
        <v>0</v>
      </c>
      <c r="M3152">
        <v>0</v>
      </c>
      <c r="N3152">
        <v>0</v>
      </c>
      <c r="O3152">
        <v>0</v>
      </c>
      <c r="P3152">
        <v>0</v>
      </c>
      <c r="Q3152">
        <v>0</v>
      </c>
      <c r="R3152">
        <v>0</v>
      </c>
      <c r="S3152">
        <v>0</v>
      </c>
      <c r="T3152">
        <v>0</v>
      </c>
      <c r="U3152">
        <v>0</v>
      </c>
      <c r="V3152">
        <v>0</v>
      </c>
      <c r="W3152">
        <v>0</v>
      </c>
      <c r="X3152">
        <v>0</v>
      </c>
      <c r="Z3152">
        <v>0</v>
      </c>
      <c r="AA3152">
        <v>0</v>
      </c>
      <c r="AB3152">
        <v>0</v>
      </c>
      <c r="AC3152">
        <v>0</v>
      </c>
      <c r="AD3152" t="s">
        <v>5153</v>
      </c>
    </row>
    <row r="3153" spans="1:30" x14ac:dyDescent="0.25">
      <c r="H3153" t="s">
        <v>6090</v>
      </c>
    </row>
    <row r="3154" spans="1:30" x14ac:dyDescent="0.25">
      <c r="A3154">
        <v>1574</v>
      </c>
      <c r="B3154">
        <v>4122</v>
      </c>
      <c r="C3154" t="s">
        <v>490</v>
      </c>
      <c r="D3154" t="s">
        <v>6091</v>
      </c>
      <c r="E3154" t="s">
        <v>120</v>
      </c>
      <c r="F3154" t="s">
        <v>6092</v>
      </c>
      <c r="G3154" t="str">
        <f>"00362937"</f>
        <v>00362937</v>
      </c>
      <c r="H3154" t="s">
        <v>2733</v>
      </c>
      <c r="I3154">
        <v>0</v>
      </c>
      <c r="J3154">
        <v>0</v>
      </c>
      <c r="K3154">
        <v>0</v>
      </c>
      <c r="L3154">
        <v>0</v>
      </c>
      <c r="M3154">
        <v>0</v>
      </c>
      <c r="N3154">
        <v>0</v>
      </c>
      <c r="O3154">
        <v>0</v>
      </c>
      <c r="P3154">
        <v>0</v>
      </c>
      <c r="Q3154">
        <v>0</v>
      </c>
      <c r="R3154">
        <v>0</v>
      </c>
      <c r="S3154">
        <v>0</v>
      </c>
      <c r="T3154">
        <v>0</v>
      </c>
      <c r="U3154">
        <v>0</v>
      </c>
      <c r="V3154">
        <v>4</v>
      </c>
      <c r="W3154">
        <v>28</v>
      </c>
      <c r="X3154">
        <v>0</v>
      </c>
      <c r="Z3154">
        <v>0</v>
      </c>
      <c r="AA3154">
        <v>0</v>
      </c>
      <c r="AB3154">
        <v>0</v>
      </c>
      <c r="AC3154">
        <v>0</v>
      </c>
      <c r="AD3154" t="s">
        <v>6093</v>
      </c>
    </row>
    <row r="3155" spans="1:30" x14ac:dyDescent="0.25">
      <c r="H3155" t="s">
        <v>6094</v>
      </c>
    </row>
    <row r="3156" spans="1:30" x14ac:dyDescent="0.25">
      <c r="A3156">
        <v>1575</v>
      </c>
      <c r="B3156">
        <v>2107</v>
      </c>
      <c r="C3156" t="s">
        <v>6095</v>
      </c>
      <c r="D3156" t="s">
        <v>465</v>
      </c>
      <c r="E3156" t="s">
        <v>107</v>
      </c>
      <c r="F3156" t="s">
        <v>6096</v>
      </c>
      <c r="G3156" t="str">
        <f>"00146564"</f>
        <v>00146564</v>
      </c>
      <c r="H3156" t="s">
        <v>3871</v>
      </c>
      <c r="I3156">
        <v>0</v>
      </c>
      <c r="J3156">
        <v>0</v>
      </c>
      <c r="K3156">
        <v>0</v>
      </c>
      <c r="L3156">
        <v>0</v>
      </c>
      <c r="M3156">
        <v>0</v>
      </c>
      <c r="N3156">
        <v>30</v>
      </c>
      <c r="O3156">
        <v>0</v>
      </c>
      <c r="P3156">
        <v>0</v>
      </c>
      <c r="Q3156">
        <v>0</v>
      </c>
      <c r="R3156">
        <v>0</v>
      </c>
      <c r="S3156">
        <v>0</v>
      </c>
      <c r="T3156">
        <v>0</v>
      </c>
      <c r="U3156">
        <v>0</v>
      </c>
      <c r="V3156">
        <v>0</v>
      </c>
      <c r="W3156">
        <v>0</v>
      </c>
      <c r="X3156">
        <v>0</v>
      </c>
      <c r="Z3156">
        <v>0</v>
      </c>
      <c r="AA3156">
        <v>0</v>
      </c>
      <c r="AB3156">
        <v>0</v>
      </c>
      <c r="AC3156">
        <v>0</v>
      </c>
      <c r="AD3156" t="s">
        <v>6097</v>
      </c>
    </row>
    <row r="3157" spans="1:30" x14ac:dyDescent="0.25">
      <c r="H3157" t="s">
        <v>6098</v>
      </c>
    </row>
    <row r="3158" spans="1:30" x14ac:dyDescent="0.25">
      <c r="A3158">
        <v>1576</v>
      </c>
      <c r="B3158">
        <v>3047</v>
      </c>
      <c r="C3158" t="s">
        <v>6099</v>
      </c>
      <c r="D3158" t="s">
        <v>56</v>
      </c>
      <c r="E3158" t="s">
        <v>142</v>
      </c>
      <c r="F3158" t="s">
        <v>6100</v>
      </c>
      <c r="G3158" t="str">
        <f>"201604001740"</f>
        <v>201604001740</v>
      </c>
      <c r="H3158">
        <v>660</v>
      </c>
      <c r="I3158">
        <v>0</v>
      </c>
      <c r="J3158">
        <v>0</v>
      </c>
      <c r="K3158">
        <v>0</v>
      </c>
      <c r="L3158">
        <v>0</v>
      </c>
      <c r="M3158">
        <v>0</v>
      </c>
      <c r="N3158">
        <v>0</v>
      </c>
      <c r="O3158">
        <v>0</v>
      </c>
      <c r="P3158">
        <v>0</v>
      </c>
      <c r="Q3158">
        <v>0</v>
      </c>
      <c r="R3158">
        <v>0</v>
      </c>
      <c r="S3158">
        <v>0</v>
      </c>
      <c r="T3158">
        <v>0</v>
      </c>
      <c r="U3158">
        <v>0</v>
      </c>
      <c r="V3158">
        <v>0</v>
      </c>
      <c r="W3158">
        <v>0</v>
      </c>
      <c r="X3158">
        <v>0</v>
      </c>
      <c r="Z3158">
        <v>0</v>
      </c>
      <c r="AA3158">
        <v>0</v>
      </c>
      <c r="AB3158">
        <v>0</v>
      </c>
      <c r="AC3158">
        <v>0</v>
      </c>
      <c r="AD3158">
        <v>660</v>
      </c>
    </row>
    <row r="3159" spans="1:30" x14ac:dyDescent="0.25">
      <c r="H3159" t="s">
        <v>2131</v>
      </c>
    </row>
    <row r="3160" spans="1:30" x14ac:dyDescent="0.25">
      <c r="A3160">
        <v>1577</v>
      </c>
      <c r="B3160">
        <v>1475</v>
      </c>
      <c r="C3160" t="s">
        <v>6101</v>
      </c>
      <c r="D3160" t="s">
        <v>167</v>
      </c>
      <c r="E3160" t="s">
        <v>389</v>
      </c>
      <c r="F3160" t="s">
        <v>6102</v>
      </c>
      <c r="G3160" t="str">
        <f>"201511031457"</f>
        <v>201511031457</v>
      </c>
      <c r="H3160" t="s">
        <v>3322</v>
      </c>
      <c r="I3160">
        <v>0</v>
      </c>
      <c r="J3160">
        <v>0</v>
      </c>
      <c r="K3160">
        <v>0</v>
      </c>
      <c r="L3160">
        <v>0</v>
      </c>
      <c r="M3160">
        <v>0</v>
      </c>
      <c r="N3160">
        <v>0</v>
      </c>
      <c r="O3160">
        <v>0</v>
      </c>
      <c r="P3160">
        <v>0</v>
      </c>
      <c r="Q3160">
        <v>0</v>
      </c>
      <c r="R3160">
        <v>0</v>
      </c>
      <c r="S3160">
        <v>0</v>
      </c>
      <c r="T3160">
        <v>0</v>
      </c>
      <c r="U3160">
        <v>0</v>
      </c>
      <c r="V3160">
        <v>0</v>
      </c>
      <c r="W3160">
        <v>0</v>
      </c>
      <c r="X3160">
        <v>0</v>
      </c>
      <c r="Z3160">
        <v>0</v>
      </c>
      <c r="AA3160">
        <v>0</v>
      </c>
      <c r="AB3160">
        <v>0</v>
      </c>
      <c r="AC3160">
        <v>0</v>
      </c>
      <c r="AD3160" t="s">
        <v>3322</v>
      </c>
    </row>
    <row r="3161" spans="1:30" x14ac:dyDescent="0.25">
      <c r="H3161" t="s">
        <v>2131</v>
      </c>
    </row>
    <row r="3162" spans="1:30" x14ac:dyDescent="0.25">
      <c r="A3162">
        <v>1578</v>
      </c>
      <c r="B3162">
        <v>2153</v>
      </c>
      <c r="C3162" t="s">
        <v>5889</v>
      </c>
      <c r="D3162" t="s">
        <v>106</v>
      </c>
      <c r="E3162" t="s">
        <v>49</v>
      </c>
      <c r="F3162" t="s">
        <v>6103</v>
      </c>
      <c r="G3162" t="str">
        <f>"00027894"</f>
        <v>00027894</v>
      </c>
      <c r="H3162">
        <v>627</v>
      </c>
      <c r="I3162">
        <v>0</v>
      </c>
      <c r="J3162">
        <v>0</v>
      </c>
      <c r="K3162">
        <v>0</v>
      </c>
      <c r="L3162">
        <v>0</v>
      </c>
      <c r="M3162">
        <v>0</v>
      </c>
      <c r="N3162">
        <v>30</v>
      </c>
      <c r="O3162">
        <v>0</v>
      </c>
      <c r="P3162">
        <v>0</v>
      </c>
      <c r="Q3162">
        <v>0</v>
      </c>
      <c r="R3162">
        <v>0</v>
      </c>
      <c r="S3162">
        <v>0</v>
      </c>
      <c r="T3162">
        <v>0</v>
      </c>
      <c r="U3162">
        <v>0</v>
      </c>
      <c r="V3162">
        <v>0</v>
      </c>
      <c r="W3162">
        <v>0</v>
      </c>
      <c r="X3162">
        <v>0</v>
      </c>
      <c r="Z3162">
        <v>0</v>
      </c>
      <c r="AA3162">
        <v>0</v>
      </c>
      <c r="AB3162">
        <v>0</v>
      </c>
      <c r="AC3162">
        <v>0</v>
      </c>
      <c r="AD3162">
        <v>657</v>
      </c>
    </row>
    <row r="3163" spans="1:30" x14ac:dyDescent="0.25">
      <c r="H3163" t="s">
        <v>6104</v>
      </c>
    </row>
    <row r="3164" spans="1:30" x14ac:dyDescent="0.25">
      <c r="A3164">
        <v>1579</v>
      </c>
      <c r="B3164">
        <v>2250</v>
      </c>
      <c r="C3164" t="s">
        <v>6105</v>
      </c>
      <c r="D3164" t="s">
        <v>453</v>
      </c>
      <c r="E3164" t="s">
        <v>102</v>
      </c>
      <c r="F3164" t="s">
        <v>6106</v>
      </c>
      <c r="G3164" t="str">
        <f>"00302938"</f>
        <v>00302938</v>
      </c>
      <c r="H3164">
        <v>627</v>
      </c>
      <c r="I3164">
        <v>0</v>
      </c>
      <c r="J3164">
        <v>0</v>
      </c>
      <c r="K3164">
        <v>0</v>
      </c>
      <c r="L3164">
        <v>0</v>
      </c>
      <c r="M3164">
        <v>0</v>
      </c>
      <c r="N3164">
        <v>30</v>
      </c>
      <c r="O3164">
        <v>0</v>
      </c>
      <c r="P3164">
        <v>0</v>
      </c>
      <c r="Q3164">
        <v>0</v>
      </c>
      <c r="R3164">
        <v>0</v>
      </c>
      <c r="S3164">
        <v>0</v>
      </c>
      <c r="T3164">
        <v>0</v>
      </c>
      <c r="U3164">
        <v>0</v>
      </c>
      <c r="V3164">
        <v>0</v>
      </c>
      <c r="W3164">
        <v>0</v>
      </c>
      <c r="X3164">
        <v>0</v>
      </c>
      <c r="Z3164">
        <v>2</v>
      </c>
      <c r="AA3164">
        <v>0</v>
      </c>
      <c r="AB3164">
        <v>0</v>
      </c>
      <c r="AC3164">
        <v>0</v>
      </c>
      <c r="AD3164">
        <v>657</v>
      </c>
    </row>
    <row r="3165" spans="1:30" x14ac:dyDescent="0.25">
      <c r="H3165" t="s">
        <v>6107</v>
      </c>
    </row>
    <row r="3166" spans="1:30" x14ac:dyDescent="0.25">
      <c r="A3166">
        <v>1580</v>
      </c>
      <c r="B3166">
        <v>1672</v>
      </c>
      <c r="C3166" t="s">
        <v>6108</v>
      </c>
      <c r="D3166" t="s">
        <v>1658</v>
      </c>
      <c r="E3166" t="s">
        <v>299</v>
      </c>
      <c r="F3166" t="s">
        <v>6109</v>
      </c>
      <c r="G3166" t="str">
        <f>"00298567"</f>
        <v>00298567</v>
      </c>
      <c r="H3166">
        <v>627</v>
      </c>
      <c r="I3166">
        <v>0</v>
      </c>
      <c r="J3166">
        <v>0</v>
      </c>
      <c r="K3166">
        <v>0</v>
      </c>
      <c r="L3166">
        <v>0</v>
      </c>
      <c r="M3166">
        <v>0</v>
      </c>
      <c r="N3166">
        <v>30</v>
      </c>
      <c r="O3166">
        <v>0</v>
      </c>
      <c r="P3166">
        <v>0</v>
      </c>
      <c r="Q3166">
        <v>0</v>
      </c>
      <c r="R3166">
        <v>0</v>
      </c>
      <c r="S3166">
        <v>0</v>
      </c>
      <c r="T3166">
        <v>0</v>
      </c>
      <c r="U3166">
        <v>0</v>
      </c>
      <c r="V3166">
        <v>0</v>
      </c>
      <c r="W3166">
        <v>0</v>
      </c>
      <c r="X3166">
        <v>0</v>
      </c>
      <c r="Z3166">
        <v>0</v>
      </c>
      <c r="AA3166">
        <v>0</v>
      </c>
      <c r="AB3166">
        <v>0</v>
      </c>
      <c r="AC3166">
        <v>0</v>
      </c>
      <c r="AD3166">
        <v>657</v>
      </c>
    </row>
    <row r="3167" spans="1:30" x14ac:dyDescent="0.25">
      <c r="H3167" t="s">
        <v>6110</v>
      </c>
    </row>
    <row r="3168" spans="1:30" x14ac:dyDescent="0.25">
      <c r="A3168">
        <v>1581</v>
      </c>
      <c r="B3168">
        <v>250</v>
      </c>
      <c r="C3168" t="s">
        <v>6111</v>
      </c>
      <c r="D3168" t="s">
        <v>6112</v>
      </c>
      <c r="E3168" t="s">
        <v>4298</v>
      </c>
      <c r="F3168" t="s">
        <v>6113</v>
      </c>
      <c r="G3168" t="str">
        <f>"00295322"</f>
        <v>00295322</v>
      </c>
      <c r="H3168" t="s">
        <v>248</v>
      </c>
      <c r="I3168">
        <v>0</v>
      </c>
      <c r="J3168">
        <v>0</v>
      </c>
      <c r="K3168">
        <v>0</v>
      </c>
      <c r="L3168">
        <v>0</v>
      </c>
      <c r="M3168">
        <v>0</v>
      </c>
      <c r="N3168">
        <v>0</v>
      </c>
      <c r="O3168">
        <v>0</v>
      </c>
      <c r="P3168">
        <v>0</v>
      </c>
      <c r="Q3168">
        <v>0</v>
      </c>
      <c r="R3168">
        <v>0</v>
      </c>
      <c r="S3168">
        <v>0</v>
      </c>
      <c r="T3168">
        <v>0</v>
      </c>
      <c r="U3168">
        <v>0</v>
      </c>
      <c r="V3168">
        <v>0</v>
      </c>
      <c r="W3168">
        <v>0</v>
      </c>
      <c r="X3168">
        <v>0</v>
      </c>
      <c r="Z3168">
        <v>0</v>
      </c>
      <c r="AA3168">
        <v>0</v>
      </c>
      <c r="AB3168">
        <v>0</v>
      </c>
      <c r="AC3168">
        <v>0</v>
      </c>
      <c r="AD3168" t="s">
        <v>248</v>
      </c>
    </row>
    <row r="3169" spans="1:30" x14ac:dyDescent="0.25">
      <c r="H3169" t="s">
        <v>1235</v>
      </c>
    </row>
    <row r="3170" spans="1:30" x14ac:dyDescent="0.25">
      <c r="A3170">
        <v>1582</v>
      </c>
      <c r="B3170">
        <v>5671</v>
      </c>
      <c r="C3170" t="s">
        <v>6114</v>
      </c>
      <c r="D3170" t="s">
        <v>1044</v>
      </c>
      <c r="E3170" t="s">
        <v>49</v>
      </c>
      <c r="F3170" t="s">
        <v>6115</v>
      </c>
      <c r="G3170" t="str">
        <f>"201412006088"</f>
        <v>201412006088</v>
      </c>
      <c r="H3170" t="s">
        <v>1559</v>
      </c>
      <c r="I3170">
        <v>0</v>
      </c>
      <c r="J3170">
        <v>0</v>
      </c>
      <c r="K3170">
        <v>0</v>
      </c>
      <c r="L3170">
        <v>0</v>
      </c>
      <c r="M3170">
        <v>0</v>
      </c>
      <c r="N3170">
        <v>0</v>
      </c>
      <c r="O3170">
        <v>0</v>
      </c>
      <c r="P3170">
        <v>0</v>
      </c>
      <c r="Q3170">
        <v>0</v>
      </c>
      <c r="R3170">
        <v>0</v>
      </c>
      <c r="S3170">
        <v>0</v>
      </c>
      <c r="T3170">
        <v>0</v>
      </c>
      <c r="U3170">
        <v>0</v>
      </c>
      <c r="V3170">
        <v>0</v>
      </c>
      <c r="W3170">
        <v>0</v>
      </c>
      <c r="X3170">
        <v>0</v>
      </c>
      <c r="Z3170">
        <v>0</v>
      </c>
      <c r="AA3170">
        <v>0</v>
      </c>
      <c r="AB3170">
        <v>0</v>
      </c>
      <c r="AC3170">
        <v>0</v>
      </c>
      <c r="AD3170" t="s">
        <v>1559</v>
      </c>
    </row>
    <row r="3171" spans="1:30" x14ac:dyDescent="0.25">
      <c r="H3171" t="s">
        <v>6116</v>
      </c>
    </row>
    <row r="3172" spans="1:30" x14ac:dyDescent="0.25">
      <c r="A3172">
        <v>1583</v>
      </c>
      <c r="B3172">
        <v>4412</v>
      </c>
      <c r="C3172" t="s">
        <v>6117</v>
      </c>
      <c r="D3172" t="s">
        <v>77</v>
      </c>
      <c r="E3172" t="s">
        <v>45</v>
      </c>
      <c r="F3172" t="s">
        <v>6118</v>
      </c>
      <c r="G3172" t="str">
        <f>"00357008"</f>
        <v>00357008</v>
      </c>
      <c r="H3172" t="s">
        <v>1734</v>
      </c>
      <c r="I3172">
        <v>0</v>
      </c>
      <c r="J3172">
        <v>0</v>
      </c>
      <c r="K3172">
        <v>0</v>
      </c>
      <c r="L3172">
        <v>0</v>
      </c>
      <c r="M3172">
        <v>0</v>
      </c>
      <c r="N3172">
        <v>0</v>
      </c>
      <c r="O3172">
        <v>0</v>
      </c>
      <c r="P3172">
        <v>0</v>
      </c>
      <c r="Q3172">
        <v>0</v>
      </c>
      <c r="R3172">
        <v>0</v>
      </c>
      <c r="S3172">
        <v>0</v>
      </c>
      <c r="T3172">
        <v>0</v>
      </c>
      <c r="U3172">
        <v>0</v>
      </c>
      <c r="V3172">
        <v>0</v>
      </c>
      <c r="W3172">
        <v>0</v>
      </c>
      <c r="X3172">
        <v>0</v>
      </c>
      <c r="Z3172">
        <v>0</v>
      </c>
      <c r="AA3172">
        <v>0</v>
      </c>
      <c r="AB3172">
        <v>0</v>
      </c>
      <c r="AC3172">
        <v>0</v>
      </c>
      <c r="AD3172" t="s">
        <v>1734</v>
      </c>
    </row>
    <row r="3173" spans="1:30" x14ac:dyDescent="0.25">
      <c r="H3173" t="s">
        <v>6119</v>
      </c>
    </row>
    <row r="3174" spans="1:30" x14ac:dyDescent="0.25">
      <c r="A3174">
        <v>1584</v>
      </c>
      <c r="B3174">
        <v>4818</v>
      </c>
      <c r="C3174" t="s">
        <v>6120</v>
      </c>
      <c r="D3174" t="s">
        <v>107</v>
      </c>
      <c r="E3174" t="s">
        <v>49</v>
      </c>
      <c r="F3174" t="s">
        <v>6121</v>
      </c>
      <c r="G3174" t="str">
        <f>"00366234"</f>
        <v>00366234</v>
      </c>
      <c r="H3174" t="s">
        <v>950</v>
      </c>
      <c r="I3174">
        <v>0</v>
      </c>
      <c r="J3174">
        <v>0</v>
      </c>
      <c r="K3174">
        <v>0</v>
      </c>
      <c r="L3174">
        <v>0</v>
      </c>
      <c r="M3174">
        <v>0</v>
      </c>
      <c r="N3174">
        <v>0</v>
      </c>
      <c r="O3174">
        <v>0</v>
      </c>
      <c r="P3174">
        <v>0</v>
      </c>
      <c r="Q3174">
        <v>0</v>
      </c>
      <c r="R3174">
        <v>0</v>
      </c>
      <c r="S3174">
        <v>0</v>
      </c>
      <c r="T3174">
        <v>0</v>
      </c>
      <c r="U3174">
        <v>0</v>
      </c>
      <c r="V3174">
        <v>0</v>
      </c>
      <c r="W3174">
        <v>0</v>
      </c>
      <c r="X3174">
        <v>0</v>
      </c>
      <c r="Z3174">
        <v>0</v>
      </c>
      <c r="AA3174">
        <v>0</v>
      </c>
      <c r="AB3174">
        <v>0</v>
      </c>
      <c r="AC3174">
        <v>0</v>
      </c>
      <c r="AD3174" t="s">
        <v>950</v>
      </c>
    </row>
    <row r="3175" spans="1:30" x14ac:dyDescent="0.25">
      <c r="H3175" t="s">
        <v>6122</v>
      </c>
    </row>
    <row r="3176" spans="1:30" x14ac:dyDescent="0.25">
      <c r="A3176">
        <v>1585</v>
      </c>
      <c r="B3176">
        <v>1067</v>
      </c>
      <c r="C3176" t="s">
        <v>2676</v>
      </c>
      <c r="D3176" t="s">
        <v>27</v>
      </c>
      <c r="E3176" t="s">
        <v>167</v>
      </c>
      <c r="F3176" t="s">
        <v>6123</v>
      </c>
      <c r="G3176" t="str">
        <f>"00252728"</f>
        <v>00252728</v>
      </c>
      <c r="H3176">
        <v>649</v>
      </c>
      <c r="I3176">
        <v>0</v>
      </c>
      <c r="J3176">
        <v>0</v>
      </c>
      <c r="K3176">
        <v>0</v>
      </c>
      <c r="L3176">
        <v>0</v>
      </c>
      <c r="M3176">
        <v>0</v>
      </c>
      <c r="N3176">
        <v>0</v>
      </c>
      <c r="O3176">
        <v>0</v>
      </c>
      <c r="P3176">
        <v>0</v>
      </c>
      <c r="Q3176">
        <v>0</v>
      </c>
      <c r="R3176">
        <v>0</v>
      </c>
      <c r="S3176">
        <v>0</v>
      </c>
      <c r="T3176">
        <v>0</v>
      </c>
      <c r="U3176">
        <v>0</v>
      </c>
      <c r="V3176">
        <v>0</v>
      </c>
      <c r="W3176">
        <v>0</v>
      </c>
      <c r="X3176">
        <v>0</v>
      </c>
      <c r="Z3176">
        <v>0</v>
      </c>
      <c r="AA3176">
        <v>0</v>
      </c>
      <c r="AB3176">
        <v>0</v>
      </c>
      <c r="AC3176">
        <v>0</v>
      </c>
      <c r="AD3176">
        <v>649</v>
      </c>
    </row>
    <row r="3177" spans="1:30" x14ac:dyDescent="0.25">
      <c r="H3177" t="s">
        <v>6124</v>
      </c>
    </row>
    <row r="3178" spans="1:30" x14ac:dyDescent="0.25">
      <c r="A3178">
        <v>1586</v>
      </c>
      <c r="B3178">
        <v>5770</v>
      </c>
      <c r="C3178" t="s">
        <v>6125</v>
      </c>
      <c r="D3178" t="s">
        <v>6126</v>
      </c>
      <c r="E3178" t="s">
        <v>28</v>
      </c>
      <c r="F3178" t="s">
        <v>6127</v>
      </c>
      <c r="G3178" t="str">
        <f>"00343690"</f>
        <v>00343690</v>
      </c>
      <c r="H3178" t="s">
        <v>1310</v>
      </c>
      <c r="I3178">
        <v>0</v>
      </c>
      <c r="J3178">
        <v>0</v>
      </c>
      <c r="K3178">
        <v>0</v>
      </c>
      <c r="L3178">
        <v>0</v>
      </c>
      <c r="M3178">
        <v>0</v>
      </c>
      <c r="N3178">
        <v>30</v>
      </c>
      <c r="O3178">
        <v>0</v>
      </c>
      <c r="P3178">
        <v>0</v>
      </c>
      <c r="Q3178">
        <v>0</v>
      </c>
      <c r="R3178">
        <v>0</v>
      </c>
      <c r="S3178">
        <v>0</v>
      </c>
      <c r="T3178">
        <v>0</v>
      </c>
      <c r="U3178">
        <v>0</v>
      </c>
      <c r="V3178">
        <v>0</v>
      </c>
      <c r="W3178">
        <v>0</v>
      </c>
      <c r="X3178">
        <v>0</v>
      </c>
      <c r="Z3178">
        <v>2</v>
      </c>
      <c r="AA3178">
        <v>0</v>
      </c>
      <c r="AB3178">
        <v>0</v>
      </c>
      <c r="AC3178">
        <v>0</v>
      </c>
      <c r="AD3178" t="s">
        <v>6128</v>
      </c>
    </row>
    <row r="3179" spans="1:30" x14ac:dyDescent="0.25">
      <c r="H3179" t="s">
        <v>570</v>
      </c>
    </row>
    <row r="3180" spans="1:30" x14ac:dyDescent="0.25">
      <c r="A3180">
        <v>1587</v>
      </c>
      <c r="B3180">
        <v>346</v>
      </c>
      <c r="C3180" t="s">
        <v>6129</v>
      </c>
      <c r="D3180" t="s">
        <v>6130</v>
      </c>
      <c r="E3180" t="s">
        <v>107</v>
      </c>
      <c r="F3180" t="s">
        <v>6131</v>
      </c>
      <c r="G3180" t="str">
        <f>"201412002455"</f>
        <v>201412002455</v>
      </c>
      <c r="H3180" t="s">
        <v>1119</v>
      </c>
      <c r="I3180">
        <v>0</v>
      </c>
      <c r="J3180">
        <v>0</v>
      </c>
      <c r="K3180">
        <v>0</v>
      </c>
      <c r="L3180">
        <v>0</v>
      </c>
      <c r="M3180">
        <v>0</v>
      </c>
      <c r="N3180">
        <v>30</v>
      </c>
      <c r="O3180">
        <v>0</v>
      </c>
      <c r="P3180">
        <v>0</v>
      </c>
      <c r="Q3180">
        <v>0</v>
      </c>
      <c r="R3180">
        <v>0</v>
      </c>
      <c r="S3180">
        <v>0</v>
      </c>
      <c r="T3180">
        <v>0</v>
      </c>
      <c r="U3180">
        <v>0</v>
      </c>
      <c r="V3180">
        <v>0</v>
      </c>
      <c r="W3180">
        <v>0</v>
      </c>
      <c r="X3180">
        <v>0</v>
      </c>
      <c r="Z3180">
        <v>2</v>
      </c>
      <c r="AA3180">
        <v>0</v>
      </c>
      <c r="AB3180">
        <v>0</v>
      </c>
      <c r="AC3180">
        <v>0</v>
      </c>
      <c r="AD3180" t="s">
        <v>6132</v>
      </c>
    </row>
    <row r="3181" spans="1:30" x14ac:dyDescent="0.25">
      <c r="H3181" t="s">
        <v>6133</v>
      </c>
    </row>
    <row r="3182" spans="1:30" x14ac:dyDescent="0.25">
      <c r="A3182">
        <v>1588</v>
      </c>
      <c r="B3182">
        <v>4667</v>
      </c>
      <c r="C3182" t="s">
        <v>6134</v>
      </c>
      <c r="D3182" t="s">
        <v>49</v>
      </c>
      <c r="E3182" t="s">
        <v>102</v>
      </c>
      <c r="F3182" t="s">
        <v>6135</v>
      </c>
      <c r="G3182" t="str">
        <f>"00217606"</f>
        <v>00217606</v>
      </c>
      <c r="H3182" t="s">
        <v>1119</v>
      </c>
      <c r="I3182">
        <v>0</v>
      </c>
      <c r="J3182">
        <v>0</v>
      </c>
      <c r="K3182">
        <v>0</v>
      </c>
      <c r="L3182">
        <v>0</v>
      </c>
      <c r="M3182">
        <v>0</v>
      </c>
      <c r="N3182">
        <v>30</v>
      </c>
      <c r="O3182">
        <v>0</v>
      </c>
      <c r="P3182">
        <v>0</v>
      </c>
      <c r="Q3182">
        <v>0</v>
      </c>
      <c r="R3182">
        <v>0</v>
      </c>
      <c r="S3182">
        <v>0</v>
      </c>
      <c r="T3182">
        <v>0</v>
      </c>
      <c r="U3182">
        <v>0</v>
      </c>
      <c r="V3182">
        <v>0</v>
      </c>
      <c r="W3182">
        <v>0</v>
      </c>
      <c r="X3182">
        <v>0</v>
      </c>
      <c r="Z3182">
        <v>2</v>
      </c>
      <c r="AA3182">
        <v>0</v>
      </c>
      <c r="AB3182">
        <v>0</v>
      </c>
      <c r="AC3182">
        <v>0</v>
      </c>
      <c r="AD3182" t="s">
        <v>6132</v>
      </c>
    </row>
    <row r="3183" spans="1:30" x14ac:dyDescent="0.25">
      <c r="H3183" t="s">
        <v>6136</v>
      </c>
    </row>
    <row r="3184" spans="1:30" x14ac:dyDescent="0.25">
      <c r="A3184">
        <v>1589</v>
      </c>
      <c r="B3184">
        <v>2762</v>
      </c>
      <c r="C3184" t="s">
        <v>6137</v>
      </c>
      <c r="D3184" t="s">
        <v>6138</v>
      </c>
      <c r="E3184" t="s">
        <v>6139</v>
      </c>
      <c r="F3184" t="s">
        <v>6140</v>
      </c>
      <c r="G3184" t="str">
        <f>"00225058"</f>
        <v>00225058</v>
      </c>
      <c r="H3184" t="s">
        <v>1132</v>
      </c>
      <c r="I3184">
        <v>0</v>
      </c>
      <c r="J3184">
        <v>0</v>
      </c>
      <c r="K3184">
        <v>0</v>
      </c>
      <c r="L3184">
        <v>0</v>
      </c>
      <c r="M3184">
        <v>0</v>
      </c>
      <c r="N3184">
        <v>0</v>
      </c>
      <c r="O3184">
        <v>0</v>
      </c>
      <c r="P3184">
        <v>0</v>
      </c>
      <c r="Q3184">
        <v>0</v>
      </c>
      <c r="R3184">
        <v>0</v>
      </c>
      <c r="S3184">
        <v>0</v>
      </c>
      <c r="T3184">
        <v>0</v>
      </c>
      <c r="U3184">
        <v>0</v>
      </c>
      <c r="V3184">
        <v>0</v>
      </c>
      <c r="W3184">
        <v>0</v>
      </c>
      <c r="X3184">
        <v>0</v>
      </c>
      <c r="Z3184">
        <v>0</v>
      </c>
      <c r="AA3184">
        <v>0</v>
      </c>
      <c r="AB3184">
        <v>0</v>
      </c>
      <c r="AC3184">
        <v>0</v>
      </c>
      <c r="AD3184" t="s">
        <v>1132</v>
      </c>
    </row>
    <row r="3185" spans="1:30" x14ac:dyDescent="0.25">
      <c r="H3185" t="s">
        <v>6141</v>
      </c>
    </row>
    <row r="3186" spans="1:30" x14ac:dyDescent="0.25">
      <c r="A3186">
        <v>1590</v>
      </c>
      <c r="B3186">
        <v>5160</v>
      </c>
      <c r="C3186" t="s">
        <v>6142</v>
      </c>
      <c r="D3186" t="s">
        <v>6143</v>
      </c>
      <c r="E3186" t="s">
        <v>5117</v>
      </c>
      <c r="F3186" t="s">
        <v>6144</v>
      </c>
      <c r="G3186" t="str">
        <f>"00217499"</f>
        <v>00217499</v>
      </c>
      <c r="H3186" t="s">
        <v>2724</v>
      </c>
      <c r="I3186">
        <v>0</v>
      </c>
      <c r="J3186">
        <v>0</v>
      </c>
      <c r="K3186">
        <v>0</v>
      </c>
      <c r="L3186">
        <v>0</v>
      </c>
      <c r="M3186">
        <v>0</v>
      </c>
      <c r="N3186">
        <v>30</v>
      </c>
      <c r="O3186">
        <v>0</v>
      </c>
      <c r="P3186">
        <v>0</v>
      </c>
      <c r="Q3186">
        <v>0</v>
      </c>
      <c r="R3186">
        <v>0</v>
      </c>
      <c r="S3186">
        <v>0</v>
      </c>
      <c r="T3186">
        <v>0</v>
      </c>
      <c r="U3186">
        <v>0</v>
      </c>
      <c r="V3186">
        <v>0</v>
      </c>
      <c r="W3186">
        <v>0</v>
      </c>
      <c r="X3186">
        <v>0</v>
      </c>
      <c r="Z3186">
        <v>0</v>
      </c>
      <c r="AA3186">
        <v>0</v>
      </c>
      <c r="AB3186">
        <v>0</v>
      </c>
      <c r="AC3186">
        <v>0</v>
      </c>
      <c r="AD3186" t="s">
        <v>6145</v>
      </c>
    </row>
    <row r="3187" spans="1:30" x14ac:dyDescent="0.25">
      <c r="H3187" t="s">
        <v>6146</v>
      </c>
    </row>
    <row r="3188" spans="1:30" x14ac:dyDescent="0.25">
      <c r="A3188">
        <v>1591</v>
      </c>
      <c r="B3188">
        <v>3166</v>
      </c>
      <c r="C3188" t="s">
        <v>6147</v>
      </c>
      <c r="D3188" t="s">
        <v>230</v>
      </c>
      <c r="E3188" t="s">
        <v>6148</v>
      </c>
      <c r="F3188" t="s">
        <v>6149</v>
      </c>
      <c r="G3188" t="str">
        <f>"00338523"</f>
        <v>00338523</v>
      </c>
      <c r="H3188" t="s">
        <v>2724</v>
      </c>
      <c r="I3188">
        <v>0</v>
      </c>
      <c r="J3188">
        <v>0</v>
      </c>
      <c r="K3188">
        <v>0</v>
      </c>
      <c r="L3188">
        <v>0</v>
      </c>
      <c r="M3188">
        <v>0</v>
      </c>
      <c r="N3188">
        <v>30</v>
      </c>
      <c r="O3188">
        <v>0</v>
      </c>
      <c r="P3188">
        <v>0</v>
      </c>
      <c r="Q3188">
        <v>0</v>
      </c>
      <c r="R3188">
        <v>0</v>
      </c>
      <c r="S3188">
        <v>0</v>
      </c>
      <c r="T3188">
        <v>0</v>
      </c>
      <c r="U3188">
        <v>0</v>
      </c>
      <c r="V3188">
        <v>0</v>
      </c>
      <c r="W3188">
        <v>0</v>
      </c>
      <c r="X3188">
        <v>0</v>
      </c>
      <c r="Z3188">
        <v>2</v>
      </c>
      <c r="AA3188">
        <v>0</v>
      </c>
      <c r="AB3188">
        <v>0</v>
      </c>
      <c r="AC3188">
        <v>0</v>
      </c>
      <c r="AD3188" t="s">
        <v>6145</v>
      </c>
    </row>
    <row r="3189" spans="1:30" x14ac:dyDescent="0.25">
      <c r="H3189" t="s">
        <v>6150</v>
      </c>
    </row>
    <row r="3190" spans="1:30" x14ac:dyDescent="0.25">
      <c r="A3190">
        <v>1592</v>
      </c>
      <c r="B3190">
        <v>5836</v>
      </c>
      <c r="C3190" t="s">
        <v>6060</v>
      </c>
      <c r="D3190" t="s">
        <v>218</v>
      </c>
      <c r="E3190" t="s">
        <v>1169</v>
      </c>
      <c r="F3190" t="s">
        <v>6151</v>
      </c>
      <c r="G3190" t="str">
        <f>"00205881"</f>
        <v>00205881</v>
      </c>
      <c r="H3190" t="s">
        <v>1189</v>
      </c>
      <c r="I3190">
        <v>0</v>
      </c>
      <c r="J3190">
        <v>0</v>
      </c>
      <c r="K3190">
        <v>0</v>
      </c>
      <c r="L3190">
        <v>0</v>
      </c>
      <c r="M3190">
        <v>0</v>
      </c>
      <c r="N3190">
        <v>0</v>
      </c>
      <c r="O3190">
        <v>0</v>
      </c>
      <c r="P3190">
        <v>0</v>
      </c>
      <c r="Q3190">
        <v>0</v>
      </c>
      <c r="R3190">
        <v>0</v>
      </c>
      <c r="S3190">
        <v>0</v>
      </c>
      <c r="T3190">
        <v>0</v>
      </c>
      <c r="U3190">
        <v>0</v>
      </c>
      <c r="V3190">
        <v>0</v>
      </c>
      <c r="W3190">
        <v>0</v>
      </c>
      <c r="X3190">
        <v>0</v>
      </c>
      <c r="Z3190">
        <v>0</v>
      </c>
      <c r="AA3190">
        <v>0</v>
      </c>
      <c r="AB3190">
        <v>0</v>
      </c>
      <c r="AC3190">
        <v>0</v>
      </c>
      <c r="AD3190" t="s">
        <v>1189</v>
      </c>
    </row>
    <row r="3191" spans="1:30" x14ac:dyDescent="0.25">
      <c r="H3191" t="s">
        <v>6152</v>
      </c>
    </row>
    <row r="3192" spans="1:30" x14ac:dyDescent="0.25">
      <c r="A3192">
        <v>1593</v>
      </c>
      <c r="B3192">
        <v>5500</v>
      </c>
      <c r="C3192" t="s">
        <v>5446</v>
      </c>
      <c r="D3192" t="s">
        <v>181</v>
      </c>
      <c r="E3192" t="s">
        <v>32</v>
      </c>
      <c r="F3192" t="s">
        <v>6153</v>
      </c>
      <c r="G3192" t="str">
        <f>"201601000551"</f>
        <v>201601000551</v>
      </c>
      <c r="H3192" t="s">
        <v>3311</v>
      </c>
      <c r="I3192">
        <v>0</v>
      </c>
      <c r="J3192">
        <v>0</v>
      </c>
      <c r="K3192">
        <v>0</v>
      </c>
      <c r="L3192">
        <v>0</v>
      </c>
      <c r="M3192">
        <v>0</v>
      </c>
      <c r="N3192">
        <v>0</v>
      </c>
      <c r="O3192">
        <v>0</v>
      </c>
      <c r="P3192">
        <v>0</v>
      </c>
      <c r="Q3192">
        <v>0</v>
      </c>
      <c r="R3192">
        <v>0</v>
      </c>
      <c r="S3192">
        <v>0</v>
      </c>
      <c r="T3192">
        <v>0</v>
      </c>
      <c r="U3192">
        <v>0</v>
      </c>
      <c r="V3192">
        <v>0</v>
      </c>
      <c r="W3192">
        <v>0</v>
      </c>
      <c r="X3192">
        <v>0</v>
      </c>
      <c r="Z3192">
        <v>0</v>
      </c>
      <c r="AA3192">
        <v>0</v>
      </c>
      <c r="AB3192">
        <v>0</v>
      </c>
      <c r="AC3192">
        <v>0</v>
      </c>
      <c r="AD3192" t="s">
        <v>3311</v>
      </c>
    </row>
    <row r="3193" spans="1:30" x14ac:dyDescent="0.25">
      <c r="H3193" t="s">
        <v>6154</v>
      </c>
    </row>
    <row r="3194" spans="1:30" x14ac:dyDescent="0.25">
      <c r="A3194">
        <v>1594</v>
      </c>
      <c r="B3194">
        <v>4488</v>
      </c>
      <c r="C3194" t="s">
        <v>6155</v>
      </c>
      <c r="D3194" t="s">
        <v>465</v>
      </c>
      <c r="E3194" t="s">
        <v>743</v>
      </c>
      <c r="F3194" t="s">
        <v>6156</v>
      </c>
      <c r="G3194" t="str">
        <f>"00188336"</f>
        <v>00188336</v>
      </c>
      <c r="H3194" t="s">
        <v>3311</v>
      </c>
      <c r="I3194">
        <v>0</v>
      </c>
      <c r="J3194">
        <v>0</v>
      </c>
      <c r="K3194">
        <v>0</v>
      </c>
      <c r="L3194">
        <v>0</v>
      </c>
      <c r="M3194">
        <v>0</v>
      </c>
      <c r="N3194">
        <v>0</v>
      </c>
      <c r="O3194">
        <v>0</v>
      </c>
      <c r="P3194">
        <v>0</v>
      </c>
      <c r="Q3194">
        <v>0</v>
      </c>
      <c r="R3194">
        <v>0</v>
      </c>
      <c r="S3194">
        <v>0</v>
      </c>
      <c r="T3194">
        <v>0</v>
      </c>
      <c r="U3194">
        <v>0</v>
      </c>
      <c r="V3194">
        <v>0</v>
      </c>
      <c r="W3194">
        <v>0</v>
      </c>
      <c r="X3194">
        <v>0</v>
      </c>
      <c r="Z3194">
        <v>0</v>
      </c>
      <c r="AA3194">
        <v>0</v>
      </c>
      <c r="AB3194">
        <v>0</v>
      </c>
      <c r="AC3194">
        <v>0</v>
      </c>
      <c r="AD3194" t="s">
        <v>3311</v>
      </c>
    </row>
    <row r="3195" spans="1:30" x14ac:dyDescent="0.25">
      <c r="H3195" t="s">
        <v>6157</v>
      </c>
    </row>
    <row r="3196" spans="1:30" x14ac:dyDescent="0.25">
      <c r="A3196">
        <v>1595</v>
      </c>
      <c r="B3196">
        <v>5793</v>
      </c>
      <c r="C3196" t="s">
        <v>2710</v>
      </c>
      <c r="D3196" t="s">
        <v>368</v>
      </c>
      <c r="E3196" t="s">
        <v>49</v>
      </c>
      <c r="F3196" t="s">
        <v>6158</v>
      </c>
      <c r="G3196" t="str">
        <f>"201511040350"</f>
        <v>201511040350</v>
      </c>
      <c r="H3196" t="s">
        <v>2924</v>
      </c>
      <c r="I3196">
        <v>0</v>
      </c>
      <c r="J3196">
        <v>0</v>
      </c>
      <c r="K3196">
        <v>0</v>
      </c>
      <c r="L3196">
        <v>0</v>
      </c>
      <c r="M3196">
        <v>0</v>
      </c>
      <c r="N3196">
        <v>0</v>
      </c>
      <c r="O3196">
        <v>0</v>
      </c>
      <c r="P3196">
        <v>0</v>
      </c>
      <c r="Q3196">
        <v>0</v>
      </c>
      <c r="R3196">
        <v>0</v>
      </c>
      <c r="S3196">
        <v>0</v>
      </c>
      <c r="T3196">
        <v>0</v>
      </c>
      <c r="U3196">
        <v>0</v>
      </c>
      <c r="V3196">
        <v>0</v>
      </c>
      <c r="W3196">
        <v>0</v>
      </c>
      <c r="X3196">
        <v>0</v>
      </c>
      <c r="Z3196">
        <v>1</v>
      </c>
      <c r="AA3196">
        <v>0</v>
      </c>
      <c r="AB3196">
        <v>0</v>
      </c>
      <c r="AC3196">
        <v>0</v>
      </c>
      <c r="AD3196" t="s">
        <v>2924</v>
      </c>
    </row>
    <row r="3197" spans="1:30" x14ac:dyDescent="0.25">
      <c r="H3197" t="s">
        <v>6159</v>
      </c>
    </row>
    <row r="3198" spans="1:30" x14ac:dyDescent="0.25">
      <c r="A3198">
        <v>1596</v>
      </c>
      <c r="B3198">
        <v>4629</v>
      </c>
      <c r="C3198" t="s">
        <v>6160</v>
      </c>
      <c r="D3198" t="s">
        <v>859</v>
      </c>
      <c r="E3198" t="s">
        <v>542</v>
      </c>
      <c r="F3198" t="s">
        <v>6161</v>
      </c>
      <c r="G3198" t="str">
        <f>"00163258"</f>
        <v>00163258</v>
      </c>
      <c r="H3198" t="s">
        <v>1066</v>
      </c>
      <c r="I3198">
        <v>0</v>
      </c>
      <c r="J3198">
        <v>0</v>
      </c>
      <c r="K3198">
        <v>0</v>
      </c>
      <c r="L3198">
        <v>0</v>
      </c>
      <c r="M3198">
        <v>0</v>
      </c>
      <c r="N3198">
        <v>0</v>
      </c>
      <c r="O3198">
        <v>0</v>
      </c>
      <c r="P3198">
        <v>0</v>
      </c>
      <c r="Q3198">
        <v>0</v>
      </c>
      <c r="R3198">
        <v>0</v>
      </c>
      <c r="S3198">
        <v>0</v>
      </c>
      <c r="T3198">
        <v>0</v>
      </c>
      <c r="U3198">
        <v>0</v>
      </c>
      <c r="V3198">
        <v>0</v>
      </c>
      <c r="W3198">
        <v>0</v>
      </c>
      <c r="X3198">
        <v>0</v>
      </c>
      <c r="Z3198">
        <v>1</v>
      </c>
      <c r="AA3198">
        <v>0</v>
      </c>
      <c r="AB3198">
        <v>0</v>
      </c>
      <c r="AC3198">
        <v>0</v>
      </c>
      <c r="AD3198" t="s">
        <v>1066</v>
      </c>
    </row>
    <row r="3199" spans="1:30" x14ac:dyDescent="0.25">
      <c r="H3199" t="s">
        <v>6162</v>
      </c>
    </row>
    <row r="3200" spans="1:30" x14ac:dyDescent="0.25">
      <c r="A3200">
        <v>1597</v>
      </c>
      <c r="B3200">
        <v>595</v>
      </c>
      <c r="C3200" t="s">
        <v>6163</v>
      </c>
      <c r="D3200" t="s">
        <v>32</v>
      </c>
      <c r="E3200" t="s">
        <v>1406</v>
      </c>
      <c r="F3200" t="s">
        <v>6164</v>
      </c>
      <c r="G3200" t="str">
        <f>"201402003738"</f>
        <v>201402003738</v>
      </c>
      <c r="H3200" t="s">
        <v>187</v>
      </c>
      <c r="I3200">
        <v>0</v>
      </c>
      <c r="J3200">
        <v>0</v>
      </c>
      <c r="K3200">
        <v>0</v>
      </c>
      <c r="L3200">
        <v>0</v>
      </c>
      <c r="M3200">
        <v>0</v>
      </c>
      <c r="N3200">
        <v>0</v>
      </c>
      <c r="O3200">
        <v>0</v>
      </c>
      <c r="P3200">
        <v>0</v>
      </c>
      <c r="Q3200">
        <v>0</v>
      </c>
      <c r="R3200">
        <v>0</v>
      </c>
      <c r="S3200">
        <v>0</v>
      </c>
      <c r="T3200">
        <v>0</v>
      </c>
      <c r="U3200">
        <v>0</v>
      </c>
      <c r="V3200">
        <v>0</v>
      </c>
      <c r="W3200">
        <v>0</v>
      </c>
      <c r="X3200">
        <v>0</v>
      </c>
      <c r="Z3200">
        <v>0</v>
      </c>
      <c r="AA3200">
        <v>0</v>
      </c>
      <c r="AB3200">
        <v>0</v>
      </c>
      <c r="AC3200">
        <v>0</v>
      </c>
      <c r="AD3200" t="s">
        <v>187</v>
      </c>
    </row>
    <row r="3201" spans="1:30" x14ac:dyDescent="0.25">
      <c r="H3201" t="s">
        <v>6165</v>
      </c>
    </row>
    <row r="3202" spans="1:30" x14ac:dyDescent="0.25">
      <c r="A3202">
        <v>1598</v>
      </c>
      <c r="B3202">
        <v>6005</v>
      </c>
      <c r="C3202" t="s">
        <v>6166</v>
      </c>
      <c r="D3202" t="s">
        <v>1622</v>
      </c>
      <c r="E3202" t="s">
        <v>120</v>
      </c>
      <c r="F3202" t="s">
        <v>6167</v>
      </c>
      <c r="G3202" t="str">
        <f>"00366219"</f>
        <v>00366219</v>
      </c>
      <c r="H3202" t="s">
        <v>6168</v>
      </c>
      <c r="I3202">
        <v>0</v>
      </c>
      <c r="J3202">
        <v>0</v>
      </c>
      <c r="K3202">
        <v>0</v>
      </c>
      <c r="L3202">
        <v>0</v>
      </c>
      <c r="M3202">
        <v>0</v>
      </c>
      <c r="N3202">
        <v>0</v>
      </c>
      <c r="O3202">
        <v>0</v>
      </c>
      <c r="P3202">
        <v>0</v>
      </c>
      <c r="Q3202">
        <v>0</v>
      </c>
      <c r="R3202">
        <v>0</v>
      </c>
      <c r="S3202">
        <v>0</v>
      </c>
      <c r="T3202">
        <v>0</v>
      </c>
      <c r="U3202">
        <v>0</v>
      </c>
      <c r="V3202">
        <v>0</v>
      </c>
      <c r="W3202">
        <v>0</v>
      </c>
      <c r="X3202">
        <v>0</v>
      </c>
      <c r="Z3202">
        <v>0</v>
      </c>
      <c r="AA3202">
        <v>0</v>
      </c>
      <c r="AB3202">
        <v>0</v>
      </c>
      <c r="AC3202">
        <v>0</v>
      </c>
      <c r="AD3202" t="s">
        <v>6168</v>
      </c>
    </row>
    <row r="3203" spans="1:30" x14ac:dyDescent="0.25">
      <c r="H3203" t="s">
        <v>6169</v>
      </c>
    </row>
    <row r="3205" spans="1:30" x14ac:dyDescent="0.25">
      <c r="A3205" t="s">
        <v>6170</v>
      </c>
    </row>
    <row r="3206" spans="1:30" x14ac:dyDescent="0.25">
      <c r="A3206" t="s">
        <v>6171</v>
      </c>
    </row>
    <row r="3207" spans="1:30" x14ac:dyDescent="0.25">
      <c r="A3207" t="s">
        <v>6172</v>
      </c>
    </row>
    <row r="3208" spans="1:30" x14ac:dyDescent="0.25">
      <c r="A3208" t="s">
        <v>6173</v>
      </c>
    </row>
    <row r="3209" spans="1:30" x14ac:dyDescent="0.25">
      <c r="A3209" t="s">
        <v>6174</v>
      </c>
    </row>
    <row r="3210" spans="1:30" x14ac:dyDescent="0.25">
      <c r="A3210" t="s">
        <v>6175</v>
      </c>
    </row>
    <row r="3211" spans="1:30" x14ac:dyDescent="0.25">
      <c r="A3211" t="s">
        <v>6176</v>
      </c>
    </row>
    <row r="3212" spans="1:30" x14ac:dyDescent="0.25">
      <c r="A3212" t="s">
        <v>6177</v>
      </c>
    </row>
    <row r="3213" spans="1:30" x14ac:dyDescent="0.25">
      <c r="A3213" t="s">
        <v>6178</v>
      </c>
    </row>
    <row r="3214" spans="1:30" x14ac:dyDescent="0.25">
      <c r="A3214" t="s">
        <v>6179</v>
      </c>
    </row>
    <row r="3215" spans="1:30" x14ac:dyDescent="0.25">
      <c r="A3215" t="s">
        <v>6180</v>
      </c>
    </row>
    <row r="3216" spans="1:30" x14ac:dyDescent="0.25">
      <c r="A3216" t="s">
        <v>6181</v>
      </c>
    </row>
    <row r="3217" spans="1:1" x14ac:dyDescent="0.25">
      <c r="A3217" t="s">
        <v>6182</v>
      </c>
    </row>
    <row r="3218" spans="1:1" x14ac:dyDescent="0.25">
      <c r="A3218" t="s">
        <v>6183</v>
      </c>
    </row>
    <row r="3219" spans="1:1" x14ac:dyDescent="0.25">
      <c r="A3219" t="s">
        <v>6184</v>
      </c>
    </row>
    <row r="3220" spans="1:1" x14ac:dyDescent="0.25">
      <c r="A3220" t="s">
        <v>6185</v>
      </c>
    </row>
    <row r="3221" spans="1:1" x14ac:dyDescent="0.25">
      <c r="A3221" t="s">
        <v>6186</v>
      </c>
    </row>
    <row r="3222" spans="1:1" x14ac:dyDescent="0.25">
      <c r="A3222" t="s">
        <v>6187</v>
      </c>
    </row>
    <row r="3223" spans="1:1" x14ac:dyDescent="0.25">
      <c r="A3223" t="s">
        <v>6188</v>
      </c>
    </row>
    <row r="3224" spans="1:1" x14ac:dyDescent="0.25">
      <c r="A3224" t="s">
        <v>6189</v>
      </c>
    </row>
    <row r="3225" spans="1:1" x14ac:dyDescent="0.25">
      <c r="A3225" t="s">
        <v>6190</v>
      </c>
    </row>
    <row r="3226" spans="1:1" x14ac:dyDescent="0.25">
      <c r="A3226" t="s">
        <v>6191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2018-03-28T09:33:42Z</dcterms:created>
  <dcterms:modified xsi:type="dcterms:W3CDTF">2018-03-28T09:33:57Z</dcterms:modified>
</cp:coreProperties>
</file>